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Z:\01 - LOGOS COMPANHIA SECURITIZADORA S.A\002 - GST\004 - Securitização\16ª17ªS - Londrina\01 - Relatórios Mensais dos Recebíveis\2021\03 - MARÇO\"/>
    </mc:Choice>
  </mc:AlternateContent>
  <xr:revisionPtr revIDLastSave="0" documentId="13_ncr:1_{AB313141-0577-44C0-9817-49643DB39FD8}" xr6:coauthVersionLast="46" xr6:coauthVersionMax="46" xr10:uidLastSave="{00000000-0000-0000-0000-000000000000}"/>
  <bookViews>
    <workbookView xWindow="-120" yWindow="-120" windowWidth="20730" windowHeight="11160" tabRatio="481" firstSheet="2" activeTab="2" xr2:uid="{00000000-000D-0000-FFFF-FFFF00000000}"/>
  </bookViews>
  <sheets>
    <sheet name="Geral" sheetId="1" state="hidden" r:id="rId1"/>
    <sheet name="Planilha2" sheetId="26" r:id="rId2"/>
    <sheet name="Recebíveis" sheetId="8" r:id="rId3"/>
    <sheet name="Inadimplencia" sheetId="22" r:id="rId4"/>
    <sheet name="Vendas" sheetId="7" r:id="rId5"/>
    <sheet name="LTV" sheetId="15" r:id="rId6"/>
    <sheet name="Estoque" sheetId="9" r:id="rId7"/>
    <sheet name="Recuperações" sheetId="13" r:id="rId8"/>
    <sheet name="Planilha1" sheetId="25" state="hidden" r:id="rId9"/>
    <sheet name="nexus" sheetId="23" state="hidden" r:id="rId10"/>
    <sheet name="Ações Ativas e Passivas" sheetId="20" r:id="rId11"/>
    <sheet name="Cessões" sheetId="10" state="hidden" r:id="rId12"/>
    <sheet name="Distratos" sheetId="4" state="hidden" r:id="rId13"/>
    <sheet name="Ações Passivas" sheetId="5" state="hidden" r:id="rId14"/>
    <sheet name="Ações Ativas" sheetId="12" state="hidden" r:id="rId15"/>
    <sheet name="Pagtos Distratos" sheetId="14" state="hidden" r:id="rId16"/>
    <sheet name="Plan1" sheetId="24" r:id="rId17"/>
  </sheets>
  <definedNames>
    <definedName name="_xlnm._FilterDatabase" localSheetId="14" hidden="1">'Ações Ativas'!$A$3:$I$32</definedName>
    <definedName name="_xlnm._FilterDatabase" localSheetId="10" hidden="1">'Ações Ativas e Passivas'!$B$1:$T$74</definedName>
    <definedName name="_xlnm._FilterDatabase" localSheetId="13" hidden="1">'Ações Passivas'!$A$3:$J$15</definedName>
    <definedName name="_xlnm._FilterDatabase" localSheetId="11" hidden="1">Cessões!$A$1:$H$15</definedName>
    <definedName name="_xlnm._FilterDatabase" localSheetId="3" hidden="1">Inadimplencia!$B$5:$L$116</definedName>
    <definedName name="_xlnm._FilterDatabase" localSheetId="5" hidden="1">LTV!$A$3:$AV$485</definedName>
    <definedName name="_xlnm._FilterDatabase" localSheetId="15" hidden="1">'Pagtos Distratos'!$A$5:$X$54</definedName>
    <definedName name="_xlnm._FilterDatabase" localSheetId="2" hidden="1">Recebíveis!$B$4:$L$520</definedName>
    <definedName name="_xlnm._FilterDatabase" localSheetId="4" hidden="1">Vendas!$A$4:$P$468</definedName>
  </definedNames>
  <calcPr calcId="181029"/>
  <pivotCaches>
    <pivotCache cacheId="1" r:id="rId18"/>
    <pivotCache cacheId="2" r:id="rId19"/>
    <pivotCache cacheId="3" r:id="rId20"/>
    <pivotCache cacheId="4" r:id="rId21"/>
    <pivotCache cacheId="18" r:id="rId22"/>
    <pivotCache cacheId="22" r:id="rId23"/>
  </pivotCaches>
</workbook>
</file>

<file path=xl/calcChain.xml><?xml version="1.0" encoding="utf-8"?>
<calcChain xmlns="http://schemas.openxmlformats.org/spreadsheetml/2006/main">
  <c r="U41" i="8" l="1"/>
  <c r="U42" i="8"/>
  <c r="U43" i="8"/>
  <c r="M3" i="15" l="1"/>
  <c r="P517" i="15"/>
  <c r="P518" i="15"/>
  <c r="P519" i="15"/>
  <c r="O512" i="15"/>
  <c r="O513" i="15"/>
  <c r="O514" i="15"/>
  <c r="O515" i="15"/>
  <c r="O516" i="15"/>
  <c r="O517" i="15"/>
  <c r="O518" i="15"/>
  <c r="O519" i="15"/>
  <c r="N513" i="15"/>
  <c r="N514" i="15"/>
  <c r="N515" i="15"/>
  <c r="N516" i="15"/>
  <c r="N517" i="15"/>
  <c r="N518" i="15"/>
  <c r="N519" i="15"/>
  <c r="L510" i="15"/>
  <c r="L511" i="15"/>
  <c r="L512" i="15"/>
  <c r="L513" i="15"/>
  <c r="L514" i="15"/>
  <c r="L515" i="15"/>
  <c r="L516" i="15"/>
  <c r="L517" i="15"/>
  <c r="L518" i="15"/>
  <c r="L519" i="15"/>
  <c r="G517" i="15"/>
  <c r="G518" i="15"/>
  <c r="G519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341" i="15"/>
  <c r="G342" i="15"/>
  <c r="G343" i="15"/>
  <c r="G344" i="15"/>
  <c r="G345" i="15"/>
  <c r="G346" i="15"/>
  <c r="G347" i="15"/>
  <c r="G348" i="15"/>
  <c r="G349" i="15"/>
  <c r="G350" i="15"/>
  <c r="G351" i="15"/>
  <c r="G352" i="15"/>
  <c r="G353" i="15"/>
  <c r="G354" i="15"/>
  <c r="G355" i="15"/>
  <c r="G356" i="15"/>
  <c r="G357" i="15"/>
  <c r="G358" i="15"/>
  <c r="G359" i="15"/>
  <c r="G360" i="15"/>
  <c r="G361" i="15"/>
  <c r="G362" i="15"/>
  <c r="G363" i="15"/>
  <c r="G364" i="15"/>
  <c r="G365" i="15"/>
  <c r="G366" i="15"/>
  <c r="G367" i="15"/>
  <c r="G368" i="15"/>
  <c r="G369" i="15"/>
  <c r="G370" i="15"/>
  <c r="G371" i="15"/>
  <c r="G372" i="15"/>
  <c r="G373" i="15"/>
  <c r="G374" i="15"/>
  <c r="G375" i="15"/>
  <c r="G376" i="15"/>
  <c r="G377" i="15"/>
  <c r="G378" i="15"/>
  <c r="G379" i="15"/>
  <c r="G380" i="15"/>
  <c r="G381" i="15"/>
  <c r="G382" i="15"/>
  <c r="G383" i="15"/>
  <c r="G384" i="15"/>
  <c r="G385" i="15"/>
  <c r="G386" i="15"/>
  <c r="G387" i="15"/>
  <c r="G388" i="15"/>
  <c r="G389" i="15"/>
  <c r="G390" i="15"/>
  <c r="G391" i="15"/>
  <c r="G392" i="15"/>
  <c r="G393" i="15"/>
  <c r="G394" i="15"/>
  <c r="G395" i="15"/>
  <c r="G396" i="15"/>
  <c r="G397" i="15"/>
  <c r="G398" i="15"/>
  <c r="G399" i="15"/>
  <c r="G400" i="15"/>
  <c r="G401" i="15"/>
  <c r="G402" i="15"/>
  <c r="G403" i="15"/>
  <c r="G404" i="15"/>
  <c r="G405" i="15"/>
  <c r="G406" i="15"/>
  <c r="G407" i="15"/>
  <c r="G408" i="15"/>
  <c r="G409" i="15"/>
  <c r="G410" i="15"/>
  <c r="G411" i="15"/>
  <c r="G412" i="15"/>
  <c r="G413" i="15"/>
  <c r="G414" i="15"/>
  <c r="G415" i="15"/>
  <c r="G416" i="15"/>
  <c r="G417" i="15"/>
  <c r="G418" i="15"/>
  <c r="G419" i="15"/>
  <c r="G420" i="15"/>
  <c r="G421" i="15"/>
  <c r="G422" i="15"/>
  <c r="G423" i="15"/>
  <c r="G424" i="15"/>
  <c r="G425" i="15"/>
  <c r="G426" i="15"/>
  <c r="G427" i="15"/>
  <c r="G428" i="15"/>
  <c r="G429" i="15"/>
  <c r="G430" i="15"/>
  <c r="G431" i="15"/>
  <c r="G432" i="15"/>
  <c r="G433" i="15"/>
  <c r="G434" i="15"/>
  <c r="G435" i="15"/>
  <c r="G436" i="15"/>
  <c r="G437" i="15"/>
  <c r="G438" i="15"/>
  <c r="G439" i="15"/>
  <c r="G440" i="15"/>
  <c r="G441" i="15"/>
  <c r="G442" i="15"/>
  <c r="G443" i="15"/>
  <c r="G444" i="15"/>
  <c r="G445" i="15"/>
  <c r="G446" i="15"/>
  <c r="G447" i="15"/>
  <c r="G448" i="15"/>
  <c r="G449" i="15"/>
  <c r="G450" i="15"/>
  <c r="G451" i="15"/>
  <c r="G452" i="15"/>
  <c r="G453" i="15"/>
  <c r="G454" i="15"/>
  <c r="G455" i="15"/>
  <c r="G456" i="15"/>
  <c r="G457" i="15"/>
  <c r="G458" i="15"/>
  <c r="G459" i="15"/>
  <c r="G460" i="15"/>
  <c r="G461" i="15"/>
  <c r="G462" i="15"/>
  <c r="G463" i="15"/>
  <c r="G464" i="15"/>
  <c r="G465" i="15"/>
  <c r="G466" i="15"/>
  <c r="G467" i="15"/>
  <c r="G468" i="15"/>
  <c r="G469" i="15"/>
  <c r="G470" i="15"/>
  <c r="G471" i="15"/>
  <c r="G472" i="15"/>
  <c r="G473" i="15"/>
  <c r="G474" i="15"/>
  <c r="G475" i="15"/>
  <c r="G476" i="15"/>
  <c r="G477" i="15"/>
  <c r="G478" i="15"/>
  <c r="G479" i="15"/>
  <c r="G480" i="15"/>
  <c r="G481" i="15"/>
  <c r="G482" i="15"/>
  <c r="G483" i="15"/>
  <c r="G484" i="15"/>
  <c r="G485" i="15"/>
  <c r="G486" i="15"/>
  <c r="G487" i="15"/>
  <c r="G488" i="15"/>
  <c r="G489" i="15"/>
  <c r="G490" i="15"/>
  <c r="G491" i="15"/>
  <c r="G492" i="15"/>
  <c r="G493" i="15"/>
  <c r="G494" i="15"/>
  <c r="G495" i="15"/>
  <c r="G496" i="15"/>
  <c r="G497" i="15"/>
  <c r="G498" i="15"/>
  <c r="G499" i="15"/>
  <c r="G500" i="15"/>
  <c r="G501" i="15"/>
  <c r="G502" i="15"/>
  <c r="G503" i="15"/>
  <c r="G504" i="15"/>
  <c r="G505" i="15"/>
  <c r="G506" i="15"/>
  <c r="G507" i="15"/>
  <c r="G508" i="15"/>
  <c r="G509" i="15"/>
  <c r="G510" i="15"/>
  <c r="G511" i="15"/>
  <c r="G512" i="15"/>
  <c r="G513" i="15"/>
  <c r="G514" i="15"/>
  <c r="G515" i="15"/>
  <c r="G516" i="15"/>
  <c r="U26" i="7"/>
  <c r="U27" i="7"/>
  <c r="U29" i="7"/>
  <c r="U30" i="7"/>
  <c r="U31" i="7"/>
  <c r="U32" i="7"/>
  <c r="Q512" i="15" s="1"/>
  <c r="P516" i="15" l="1"/>
  <c r="Q519" i="15"/>
  <c r="Q515" i="15"/>
  <c r="P515" i="15"/>
  <c r="Q518" i="15"/>
  <c r="Q514" i="15"/>
  <c r="P514" i="15"/>
  <c r="Q517" i="15"/>
  <c r="Q513" i="15"/>
  <c r="P513" i="15"/>
  <c r="Q516" i="15"/>
  <c r="O47" i="8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103" i="8"/>
  <c r="AF104" i="8"/>
  <c r="AF105" i="8"/>
  <c r="AF106" i="8"/>
  <c r="AF107" i="8"/>
  <c r="AF108" i="8"/>
  <c r="AF109" i="8"/>
  <c r="AF110" i="8"/>
  <c r="AF111" i="8"/>
  <c r="AF112" i="8"/>
  <c r="AF113" i="8"/>
  <c r="AF114" i="8"/>
  <c r="AF115" i="8"/>
  <c r="AF116" i="8"/>
  <c r="AF117" i="8"/>
  <c r="AF118" i="8"/>
  <c r="AF119" i="8"/>
  <c r="AF120" i="8"/>
  <c r="AF121" i="8"/>
  <c r="AF122" i="8"/>
  <c r="AF123" i="8"/>
  <c r="AF124" i="8"/>
  <c r="AF125" i="8"/>
  <c r="AF126" i="8"/>
  <c r="AF127" i="8"/>
  <c r="AF128" i="8"/>
  <c r="AF129" i="8"/>
  <c r="AF130" i="8"/>
  <c r="AF131" i="8"/>
  <c r="AF132" i="8"/>
  <c r="AF133" i="8"/>
  <c r="AF134" i="8"/>
  <c r="AF135" i="8"/>
  <c r="AF136" i="8"/>
  <c r="AF137" i="8"/>
  <c r="AF138" i="8"/>
  <c r="AF139" i="8"/>
  <c r="AF140" i="8"/>
  <c r="AF141" i="8"/>
  <c r="AF142" i="8"/>
  <c r="AF143" i="8"/>
  <c r="AF144" i="8"/>
  <c r="AF145" i="8"/>
  <c r="AF146" i="8"/>
  <c r="AF147" i="8"/>
  <c r="AF148" i="8"/>
  <c r="AF149" i="8"/>
  <c r="AF150" i="8"/>
  <c r="AF151" i="8"/>
  <c r="AF152" i="8"/>
  <c r="AF153" i="8"/>
  <c r="AF154" i="8"/>
  <c r="AF155" i="8"/>
  <c r="AF156" i="8"/>
  <c r="AF157" i="8"/>
  <c r="AF158" i="8"/>
  <c r="AF159" i="8"/>
  <c r="AF160" i="8"/>
  <c r="AF161" i="8"/>
  <c r="AF162" i="8"/>
  <c r="AF163" i="8"/>
  <c r="AF164" i="8"/>
  <c r="AF165" i="8"/>
  <c r="AF166" i="8"/>
  <c r="AF167" i="8"/>
  <c r="AF168" i="8"/>
  <c r="AF169" i="8"/>
  <c r="AF170" i="8"/>
  <c r="AF171" i="8"/>
  <c r="AF172" i="8"/>
  <c r="AF173" i="8"/>
  <c r="AF174" i="8"/>
  <c r="AF175" i="8"/>
  <c r="AF176" i="8"/>
  <c r="AF177" i="8"/>
  <c r="AF178" i="8"/>
  <c r="AF179" i="8"/>
  <c r="AF180" i="8"/>
  <c r="AF181" i="8"/>
  <c r="AF182" i="8"/>
  <c r="AF183" i="8"/>
  <c r="AF184" i="8"/>
  <c r="AF185" i="8"/>
  <c r="AF186" i="8"/>
  <c r="AF187" i="8"/>
  <c r="AF188" i="8"/>
  <c r="AF189" i="8"/>
  <c r="AF190" i="8"/>
  <c r="AF191" i="8"/>
  <c r="AF192" i="8"/>
  <c r="AF193" i="8"/>
  <c r="AF194" i="8"/>
  <c r="AF195" i="8"/>
  <c r="AF196" i="8"/>
  <c r="AF197" i="8"/>
  <c r="AF198" i="8"/>
  <c r="AF199" i="8"/>
  <c r="AF200" i="8"/>
  <c r="AF201" i="8"/>
  <c r="AF202" i="8"/>
  <c r="AF203" i="8"/>
  <c r="AF204" i="8"/>
  <c r="AF205" i="8"/>
  <c r="AF206" i="8"/>
  <c r="AF207" i="8"/>
  <c r="AF208" i="8"/>
  <c r="AF209" i="8"/>
  <c r="AF210" i="8"/>
  <c r="AF211" i="8"/>
  <c r="AF212" i="8"/>
  <c r="AF213" i="8"/>
  <c r="AF214" i="8"/>
  <c r="AF215" i="8"/>
  <c r="AF216" i="8"/>
  <c r="AF217" i="8"/>
  <c r="AF218" i="8"/>
  <c r="AF219" i="8"/>
  <c r="AF220" i="8"/>
  <c r="AF221" i="8"/>
  <c r="AF222" i="8"/>
  <c r="AF223" i="8"/>
  <c r="AF224" i="8"/>
  <c r="AF225" i="8"/>
  <c r="AF226" i="8"/>
  <c r="AF227" i="8"/>
  <c r="AF228" i="8"/>
  <c r="AF229" i="8"/>
  <c r="AF230" i="8"/>
  <c r="AF231" i="8"/>
  <c r="AF232" i="8"/>
  <c r="AF233" i="8"/>
  <c r="AF234" i="8"/>
  <c r="AF235" i="8"/>
  <c r="AF236" i="8"/>
  <c r="AF237" i="8"/>
  <c r="AF238" i="8"/>
  <c r="AF239" i="8"/>
  <c r="AF240" i="8"/>
  <c r="AG240" i="8" s="1"/>
  <c r="AF241" i="8"/>
  <c r="AF242" i="8"/>
  <c r="AF243" i="8"/>
  <c r="AF244" i="8"/>
  <c r="AG244" i="8" s="1"/>
  <c r="AF245" i="8"/>
  <c r="AF246" i="8"/>
  <c r="AF247" i="8"/>
  <c r="AF248" i="8"/>
  <c r="AG248" i="8" s="1"/>
  <c r="AF249" i="8"/>
  <c r="AF250" i="8"/>
  <c r="AF251" i="8"/>
  <c r="AF252" i="8"/>
  <c r="AG252" i="8" s="1"/>
  <c r="AF253" i="8"/>
  <c r="AF254" i="8"/>
  <c r="AF255" i="8"/>
  <c r="AF256" i="8"/>
  <c r="AG256" i="8" s="1"/>
  <c r="AF257" i="8"/>
  <c r="AF258" i="8"/>
  <c r="AF259" i="8"/>
  <c r="AF260" i="8"/>
  <c r="AG260" i="8" s="1"/>
  <c r="AF261" i="8"/>
  <c r="AF262" i="8"/>
  <c r="AF263" i="8"/>
  <c r="AF264" i="8"/>
  <c r="AG264" i="8" s="1"/>
  <c r="AF265" i="8"/>
  <c r="AF266" i="8"/>
  <c r="AF267" i="8"/>
  <c r="AF268" i="8"/>
  <c r="AG268" i="8" s="1"/>
  <c r="AF269" i="8"/>
  <c r="AF270" i="8"/>
  <c r="AF271" i="8"/>
  <c r="AF272" i="8"/>
  <c r="AG272" i="8" s="1"/>
  <c r="AF273" i="8"/>
  <c r="AF274" i="8"/>
  <c r="AF275" i="8"/>
  <c r="AF276" i="8"/>
  <c r="AG276" i="8" s="1"/>
  <c r="AF277" i="8"/>
  <c r="AF278" i="8"/>
  <c r="AF279" i="8"/>
  <c r="AF280" i="8"/>
  <c r="AG280" i="8" s="1"/>
  <c r="AF281" i="8"/>
  <c r="AF282" i="8"/>
  <c r="AF283" i="8"/>
  <c r="AF284" i="8"/>
  <c r="AG284" i="8" s="1"/>
  <c r="AF285" i="8"/>
  <c r="AF286" i="8"/>
  <c r="AF287" i="8"/>
  <c r="AF288" i="8"/>
  <c r="AG288" i="8" s="1"/>
  <c r="AF289" i="8"/>
  <c r="AF290" i="8"/>
  <c r="AF291" i="8"/>
  <c r="AF292" i="8"/>
  <c r="AG292" i="8" s="1"/>
  <c r="AF293" i="8"/>
  <c r="AF294" i="8"/>
  <c r="AF295" i="8"/>
  <c r="AF296" i="8"/>
  <c r="AG296" i="8" s="1"/>
  <c r="AF297" i="8"/>
  <c r="AF298" i="8"/>
  <c r="AF299" i="8"/>
  <c r="AF300" i="8"/>
  <c r="AG300" i="8" s="1"/>
  <c r="AF301" i="8"/>
  <c r="AF302" i="8"/>
  <c r="AF303" i="8"/>
  <c r="AF304" i="8"/>
  <c r="AG304" i="8" s="1"/>
  <c r="AF305" i="8"/>
  <c r="AF306" i="8"/>
  <c r="AF307" i="8"/>
  <c r="AF308" i="8"/>
  <c r="AG308" i="8" s="1"/>
  <c r="AF309" i="8"/>
  <c r="AF310" i="8"/>
  <c r="AF311" i="8"/>
  <c r="AF312" i="8"/>
  <c r="AG312" i="8" s="1"/>
  <c r="AF313" i="8"/>
  <c r="AF314" i="8"/>
  <c r="AF315" i="8"/>
  <c r="AF316" i="8"/>
  <c r="AG316" i="8" s="1"/>
  <c r="AF317" i="8"/>
  <c r="AF318" i="8"/>
  <c r="AF319" i="8"/>
  <c r="AF320" i="8"/>
  <c r="AG320" i="8" s="1"/>
  <c r="AF321" i="8"/>
  <c r="AF322" i="8"/>
  <c r="AF323" i="8"/>
  <c r="AF324" i="8"/>
  <c r="AG324" i="8" s="1"/>
  <c r="AF325" i="8"/>
  <c r="AF326" i="8"/>
  <c r="AF327" i="8"/>
  <c r="AF328" i="8"/>
  <c r="AG328" i="8" s="1"/>
  <c r="AF329" i="8"/>
  <c r="AF330" i="8"/>
  <c r="AF331" i="8"/>
  <c r="AF332" i="8"/>
  <c r="AG332" i="8" s="1"/>
  <c r="AF333" i="8"/>
  <c r="AF334" i="8"/>
  <c r="AF335" i="8"/>
  <c r="AF336" i="8"/>
  <c r="AG336" i="8" s="1"/>
  <c r="AF337" i="8"/>
  <c r="AF338" i="8"/>
  <c r="AF339" i="8"/>
  <c r="AF340" i="8"/>
  <c r="AG340" i="8" s="1"/>
  <c r="AF341" i="8"/>
  <c r="AF342" i="8"/>
  <c r="AF343" i="8"/>
  <c r="AF344" i="8"/>
  <c r="AG344" i="8" s="1"/>
  <c r="AF345" i="8"/>
  <c r="AF346" i="8"/>
  <c r="AF347" i="8"/>
  <c r="AF348" i="8"/>
  <c r="AG348" i="8" s="1"/>
  <c r="AF349" i="8"/>
  <c r="AF350" i="8"/>
  <c r="AF351" i="8"/>
  <c r="AF352" i="8"/>
  <c r="AG352" i="8" s="1"/>
  <c r="AF353" i="8"/>
  <c r="AF354" i="8"/>
  <c r="AF355" i="8"/>
  <c r="AF356" i="8"/>
  <c r="AG356" i="8" s="1"/>
  <c r="AF357" i="8"/>
  <c r="AF358" i="8"/>
  <c r="AF359" i="8"/>
  <c r="AF360" i="8"/>
  <c r="AG360" i="8" s="1"/>
  <c r="AF361" i="8"/>
  <c r="AF362" i="8"/>
  <c r="AF363" i="8"/>
  <c r="AF364" i="8"/>
  <c r="AG364" i="8" s="1"/>
  <c r="AF365" i="8"/>
  <c r="AF366" i="8"/>
  <c r="AF367" i="8"/>
  <c r="AF368" i="8"/>
  <c r="AG368" i="8" s="1"/>
  <c r="AF369" i="8"/>
  <c r="AF370" i="8"/>
  <c r="AF371" i="8"/>
  <c r="AF372" i="8"/>
  <c r="AG372" i="8" s="1"/>
  <c r="AF373" i="8"/>
  <c r="AF374" i="8"/>
  <c r="AF375" i="8"/>
  <c r="AF376" i="8"/>
  <c r="AG376" i="8" s="1"/>
  <c r="AF377" i="8"/>
  <c r="AF378" i="8"/>
  <c r="AF379" i="8"/>
  <c r="AF380" i="8"/>
  <c r="AG380" i="8" s="1"/>
  <c r="AF381" i="8"/>
  <c r="AF382" i="8"/>
  <c r="AF383" i="8"/>
  <c r="AF384" i="8"/>
  <c r="AG384" i="8" s="1"/>
  <c r="AF385" i="8"/>
  <c r="AF386" i="8"/>
  <c r="AF387" i="8"/>
  <c r="AF388" i="8"/>
  <c r="AG388" i="8" s="1"/>
  <c r="AF389" i="8"/>
  <c r="AF390" i="8"/>
  <c r="AF391" i="8"/>
  <c r="AF392" i="8"/>
  <c r="AG392" i="8" s="1"/>
  <c r="AF393" i="8"/>
  <c r="AF394" i="8"/>
  <c r="AF395" i="8"/>
  <c r="AF396" i="8"/>
  <c r="AG396" i="8" s="1"/>
  <c r="AF397" i="8"/>
  <c r="AF398" i="8"/>
  <c r="AF399" i="8"/>
  <c r="AF400" i="8"/>
  <c r="AG400" i="8" s="1"/>
  <c r="AF401" i="8"/>
  <c r="AF402" i="8"/>
  <c r="AF403" i="8"/>
  <c r="AF404" i="8"/>
  <c r="AG404" i="8" s="1"/>
  <c r="AF405" i="8"/>
  <c r="AF406" i="8"/>
  <c r="AF407" i="8"/>
  <c r="AF408" i="8"/>
  <c r="AG408" i="8" s="1"/>
  <c r="AF409" i="8"/>
  <c r="AF410" i="8"/>
  <c r="AF411" i="8"/>
  <c r="AF412" i="8"/>
  <c r="AG412" i="8" s="1"/>
  <c r="AF413" i="8"/>
  <c r="AF414" i="8"/>
  <c r="AF415" i="8"/>
  <c r="AF416" i="8"/>
  <c r="AG416" i="8" s="1"/>
  <c r="AF417" i="8"/>
  <c r="AF418" i="8"/>
  <c r="AF419" i="8"/>
  <c r="AF420" i="8"/>
  <c r="AG420" i="8" s="1"/>
  <c r="AF421" i="8"/>
  <c r="AF422" i="8"/>
  <c r="AF423" i="8"/>
  <c r="AF424" i="8"/>
  <c r="AG424" i="8" s="1"/>
  <c r="AF425" i="8"/>
  <c r="AF426" i="8"/>
  <c r="AF427" i="8"/>
  <c r="AF428" i="8"/>
  <c r="AG428" i="8" s="1"/>
  <c r="AF429" i="8"/>
  <c r="AF430" i="8"/>
  <c r="AF431" i="8"/>
  <c r="AF432" i="8"/>
  <c r="AG432" i="8" s="1"/>
  <c r="AF433" i="8"/>
  <c r="AF434" i="8"/>
  <c r="AF435" i="8"/>
  <c r="AF436" i="8"/>
  <c r="AG436" i="8" s="1"/>
  <c r="AF437" i="8"/>
  <c r="AF438" i="8"/>
  <c r="AF439" i="8"/>
  <c r="AF440" i="8"/>
  <c r="AG440" i="8" s="1"/>
  <c r="AF441" i="8"/>
  <c r="AF442" i="8"/>
  <c r="AF443" i="8"/>
  <c r="AF444" i="8"/>
  <c r="AG444" i="8" s="1"/>
  <c r="AF445" i="8"/>
  <c r="AF446" i="8"/>
  <c r="AF447" i="8"/>
  <c r="AF448" i="8"/>
  <c r="AG448" i="8" s="1"/>
  <c r="AF449" i="8"/>
  <c r="AF450" i="8"/>
  <c r="AF451" i="8"/>
  <c r="AF452" i="8"/>
  <c r="AG452" i="8" s="1"/>
  <c r="AF453" i="8"/>
  <c r="AF454" i="8"/>
  <c r="AF455" i="8"/>
  <c r="AF456" i="8"/>
  <c r="AG456" i="8" s="1"/>
  <c r="AF457" i="8"/>
  <c r="AF458" i="8"/>
  <c r="AF459" i="8"/>
  <c r="AF460" i="8"/>
  <c r="AG460" i="8" s="1"/>
  <c r="AF461" i="8"/>
  <c r="AF462" i="8"/>
  <c r="AF463" i="8"/>
  <c r="AF464" i="8"/>
  <c r="AG464" i="8" s="1"/>
  <c r="AF465" i="8"/>
  <c r="AF466" i="8"/>
  <c r="AF467" i="8"/>
  <c r="AF468" i="8"/>
  <c r="AG468" i="8" s="1"/>
  <c r="AF469" i="8"/>
  <c r="AF470" i="8"/>
  <c r="AF471" i="8"/>
  <c r="AF472" i="8"/>
  <c r="AG472" i="8" s="1"/>
  <c r="AF473" i="8"/>
  <c r="AF474" i="8"/>
  <c r="AF475" i="8"/>
  <c r="AF476" i="8"/>
  <c r="AG476" i="8" s="1"/>
  <c r="AF477" i="8"/>
  <c r="AF478" i="8"/>
  <c r="AF479" i="8"/>
  <c r="AF480" i="8"/>
  <c r="AG480" i="8" s="1"/>
  <c r="AF481" i="8"/>
  <c r="AF482" i="8"/>
  <c r="AF483" i="8"/>
  <c r="AF484" i="8"/>
  <c r="AG484" i="8" s="1"/>
  <c r="AF485" i="8"/>
  <c r="AF486" i="8"/>
  <c r="AF487" i="8"/>
  <c r="AF488" i="8"/>
  <c r="AG488" i="8" s="1"/>
  <c r="AF489" i="8"/>
  <c r="AF490" i="8"/>
  <c r="AF491" i="8"/>
  <c r="AF492" i="8"/>
  <c r="AG492" i="8" s="1"/>
  <c r="AF493" i="8"/>
  <c r="AF494" i="8"/>
  <c r="AF495" i="8"/>
  <c r="AF496" i="8"/>
  <c r="AG496" i="8" s="1"/>
  <c r="AF497" i="8"/>
  <c r="AF498" i="8"/>
  <c r="AF499" i="8"/>
  <c r="AF500" i="8"/>
  <c r="AG500" i="8" s="1"/>
  <c r="AF501" i="8"/>
  <c r="AF502" i="8"/>
  <c r="AF503" i="8"/>
  <c r="AF504" i="8"/>
  <c r="AG504" i="8" s="1"/>
  <c r="AF505" i="8"/>
  <c r="AF506" i="8"/>
  <c r="AF507" i="8"/>
  <c r="AF508" i="8"/>
  <c r="AG508" i="8" s="1"/>
  <c r="AF509" i="8"/>
  <c r="AF510" i="8"/>
  <c r="AF511" i="8"/>
  <c r="AF512" i="8"/>
  <c r="AG512" i="8" s="1"/>
  <c r="AF513" i="8"/>
  <c r="AF514" i="8"/>
  <c r="AF515" i="8"/>
  <c r="AF516" i="8"/>
  <c r="AG516" i="8" s="1"/>
  <c r="AF517" i="8"/>
  <c r="AG517" i="8" s="1"/>
  <c r="AF518" i="8"/>
  <c r="AF519" i="8"/>
  <c r="AF520" i="8"/>
  <c r="AG520" i="8" s="1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AG114" i="8"/>
  <c r="AG115" i="8"/>
  <c r="AG116" i="8"/>
  <c r="AG117" i="8"/>
  <c r="AG118" i="8"/>
  <c r="AG119" i="8"/>
  <c r="AG120" i="8"/>
  <c r="AG121" i="8"/>
  <c r="AG122" i="8"/>
  <c r="AG123" i="8"/>
  <c r="AG124" i="8"/>
  <c r="AG125" i="8"/>
  <c r="AG126" i="8"/>
  <c r="AG127" i="8"/>
  <c r="AG128" i="8"/>
  <c r="AG129" i="8"/>
  <c r="AG130" i="8"/>
  <c r="AG131" i="8"/>
  <c r="AG132" i="8"/>
  <c r="AG133" i="8"/>
  <c r="AG134" i="8"/>
  <c r="AG135" i="8"/>
  <c r="AG136" i="8"/>
  <c r="AG137" i="8"/>
  <c r="AG138" i="8"/>
  <c r="AG139" i="8"/>
  <c r="AG140" i="8"/>
  <c r="AG141" i="8"/>
  <c r="AG142" i="8"/>
  <c r="AG143" i="8"/>
  <c r="AG144" i="8"/>
  <c r="AG145" i="8"/>
  <c r="AG146" i="8"/>
  <c r="AG147" i="8"/>
  <c r="AG148" i="8"/>
  <c r="AG149" i="8"/>
  <c r="AG150" i="8"/>
  <c r="AG151" i="8"/>
  <c r="AG152" i="8"/>
  <c r="AG153" i="8"/>
  <c r="AG154" i="8"/>
  <c r="AG155" i="8"/>
  <c r="AG156" i="8"/>
  <c r="AG157" i="8"/>
  <c r="AG158" i="8"/>
  <c r="AG159" i="8"/>
  <c r="AG160" i="8"/>
  <c r="AG161" i="8"/>
  <c r="AG162" i="8"/>
  <c r="AG163" i="8"/>
  <c r="AG164" i="8"/>
  <c r="AG165" i="8"/>
  <c r="AG166" i="8"/>
  <c r="AG167" i="8"/>
  <c r="AG168" i="8"/>
  <c r="AG169" i="8"/>
  <c r="AG170" i="8"/>
  <c r="AG171" i="8"/>
  <c r="AG172" i="8"/>
  <c r="AG173" i="8"/>
  <c r="AG174" i="8"/>
  <c r="AG175" i="8"/>
  <c r="AG176" i="8"/>
  <c r="AG177" i="8"/>
  <c r="AG178" i="8"/>
  <c r="AG179" i="8"/>
  <c r="AG180" i="8"/>
  <c r="AG181" i="8"/>
  <c r="AG182" i="8"/>
  <c r="AG183" i="8"/>
  <c r="AG184" i="8"/>
  <c r="AG185" i="8"/>
  <c r="AG186" i="8"/>
  <c r="AG187" i="8"/>
  <c r="AG188" i="8"/>
  <c r="AG189" i="8"/>
  <c r="AG190" i="8"/>
  <c r="AG191" i="8"/>
  <c r="AG192" i="8"/>
  <c r="AG193" i="8"/>
  <c r="AG194" i="8"/>
  <c r="AG195" i="8"/>
  <c r="AG196" i="8"/>
  <c r="AG197" i="8"/>
  <c r="AG198" i="8"/>
  <c r="AG199" i="8"/>
  <c r="AG200" i="8"/>
  <c r="AG201" i="8"/>
  <c r="AG202" i="8"/>
  <c r="AG203" i="8"/>
  <c r="AG204" i="8"/>
  <c r="AG205" i="8"/>
  <c r="AG206" i="8"/>
  <c r="AG207" i="8"/>
  <c r="AG208" i="8"/>
  <c r="AG209" i="8"/>
  <c r="AG210" i="8"/>
  <c r="AG211" i="8"/>
  <c r="AG212" i="8"/>
  <c r="AG213" i="8"/>
  <c r="AG214" i="8"/>
  <c r="AG215" i="8"/>
  <c r="AG216" i="8"/>
  <c r="AG217" i="8"/>
  <c r="AG218" i="8"/>
  <c r="AG219" i="8"/>
  <c r="AG220" i="8"/>
  <c r="AG221" i="8"/>
  <c r="AG222" i="8"/>
  <c r="AG223" i="8"/>
  <c r="AG224" i="8"/>
  <c r="AG225" i="8"/>
  <c r="AG226" i="8"/>
  <c r="AG227" i="8"/>
  <c r="AG228" i="8"/>
  <c r="AG229" i="8"/>
  <c r="AG230" i="8"/>
  <c r="AG231" i="8"/>
  <c r="AG232" i="8"/>
  <c r="AG233" i="8"/>
  <c r="AG234" i="8"/>
  <c r="AG235" i="8"/>
  <c r="AG236" i="8"/>
  <c r="AG237" i="8"/>
  <c r="AG238" i="8"/>
  <c r="AG239" i="8"/>
  <c r="AG241" i="8"/>
  <c r="AG242" i="8"/>
  <c r="AG243" i="8"/>
  <c r="AG245" i="8"/>
  <c r="AG246" i="8"/>
  <c r="AG247" i="8"/>
  <c r="AG249" i="8"/>
  <c r="AG250" i="8"/>
  <c r="AG251" i="8"/>
  <c r="AG253" i="8"/>
  <c r="AG254" i="8"/>
  <c r="AG255" i="8"/>
  <c r="AG257" i="8"/>
  <c r="AG258" i="8"/>
  <c r="AG259" i="8"/>
  <c r="AG261" i="8"/>
  <c r="AG262" i="8"/>
  <c r="AG263" i="8"/>
  <c r="AG265" i="8"/>
  <c r="AG266" i="8"/>
  <c r="AG267" i="8"/>
  <c r="AG269" i="8"/>
  <c r="AG270" i="8"/>
  <c r="AG271" i="8"/>
  <c r="AG273" i="8"/>
  <c r="AG274" i="8"/>
  <c r="AG275" i="8"/>
  <c r="AG277" i="8"/>
  <c r="AG278" i="8"/>
  <c r="AG279" i="8"/>
  <c r="AG281" i="8"/>
  <c r="AG282" i="8"/>
  <c r="AG283" i="8"/>
  <c r="AG285" i="8"/>
  <c r="AG286" i="8"/>
  <c r="AG287" i="8"/>
  <c r="AG289" i="8"/>
  <c r="AG290" i="8"/>
  <c r="AG291" i="8"/>
  <c r="AG293" i="8"/>
  <c r="AG294" i="8"/>
  <c r="AG295" i="8"/>
  <c r="AG297" i="8"/>
  <c r="AG298" i="8"/>
  <c r="AG299" i="8"/>
  <c r="AG301" i="8"/>
  <c r="AG302" i="8"/>
  <c r="AG303" i="8"/>
  <c r="AG305" i="8"/>
  <c r="AG306" i="8"/>
  <c r="AG307" i="8"/>
  <c r="AG309" i="8"/>
  <c r="AG310" i="8"/>
  <c r="AG311" i="8"/>
  <c r="AG313" i="8"/>
  <c r="AG314" i="8"/>
  <c r="AG315" i="8"/>
  <c r="AG317" i="8"/>
  <c r="AG318" i="8"/>
  <c r="AG319" i="8"/>
  <c r="AG321" i="8"/>
  <c r="AG322" i="8"/>
  <c r="AG323" i="8"/>
  <c r="AG325" i="8"/>
  <c r="AG326" i="8"/>
  <c r="AG327" i="8"/>
  <c r="AG329" i="8"/>
  <c r="AG330" i="8"/>
  <c r="AG331" i="8"/>
  <c r="AG333" i="8"/>
  <c r="AG334" i="8"/>
  <c r="AG335" i="8"/>
  <c r="AG337" i="8"/>
  <c r="AG338" i="8"/>
  <c r="AG339" i="8"/>
  <c r="AG341" i="8"/>
  <c r="AG342" i="8"/>
  <c r="AG343" i="8"/>
  <c r="AG345" i="8"/>
  <c r="AG346" i="8"/>
  <c r="AG347" i="8"/>
  <c r="AG349" i="8"/>
  <c r="AG350" i="8"/>
  <c r="AG351" i="8"/>
  <c r="AG353" i="8"/>
  <c r="AG354" i="8"/>
  <c r="AG355" i="8"/>
  <c r="AG357" i="8"/>
  <c r="AG358" i="8"/>
  <c r="AG359" i="8"/>
  <c r="AG361" i="8"/>
  <c r="AG362" i="8"/>
  <c r="AG363" i="8"/>
  <c r="AG365" i="8"/>
  <c r="AG366" i="8"/>
  <c r="AG367" i="8"/>
  <c r="AG369" i="8"/>
  <c r="AG370" i="8"/>
  <c r="AG371" i="8"/>
  <c r="AG373" i="8"/>
  <c r="AG374" i="8"/>
  <c r="AG375" i="8"/>
  <c r="AG377" i="8"/>
  <c r="AG378" i="8"/>
  <c r="AG379" i="8"/>
  <c r="AG381" i="8"/>
  <c r="AG382" i="8"/>
  <c r="AG383" i="8"/>
  <c r="AG385" i="8"/>
  <c r="AG386" i="8"/>
  <c r="AG387" i="8"/>
  <c r="AG389" i="8"/>
  <c r="AG390" i="8"/>
  <c r="AG391" i="8"/>
  <c r="AG393" i="8"/>
  <c r="AG394" i="8"/>
  <c r="AG395" i="8"/>
  <c r="AG397" i="8"/>
  <c r="AG398" i="8"/>
  <c r="AG399" i="8"/>
  <c r="AG401" i="8"/>
  <c r="AG402" i="8"/>
  <c r="AG403" i="8"/>
  <c r="AG405" i="8"/>
  <c r="AG406" i="8"/>
  <c r="AG407" i="8"/>
  <c r="AG409" i="8"/>
  <c r="AG410" i="8"/>
  <c r="AG411" i="8"/>
  <c r="AG413" i="8"/>
  <c r="AG414" i="8"/>
  <c r="AG415" i="8"/>
  <c r="AG417" i="8"/>
  <c r="AG418" i="8"/>
  <c r="AG419" i="8"/>
  <c r="AG421" i="8"/>
  <c r="AG422" i="8"/>
  <c r="AG423" i="8"/>
  <c r="AG425" i="8"/>
  <c r="AG426" i="8"/>
  <c r="AG427" i="8"/>
  <c r="AG429" i="8"/>
  <c r="AG430" i="8"/>
  <c r="AG431" i="8"/>
  <c r="AG433" i="8"/>
  <c r="AG434" i="8"/>
  <c r="AG435" i="8"/>
  <c r="AG437" i="8"/>
  <c r="AG438" i="8"/>
  <c r="AG439" i="8"/>
  <c r="AG441" i="8"/>
  <c r="AG442" i="8"/>
  <c r="AG443" i="8"/>
  <c r="AG445" i="8"/>
  <c r="AG446" i="8"/>
  <c r="AG447" i="8"/>
  <c r="AG449" i="8"/>
  <c r="AG450" i="8"/>
  <c r="AG451" i="8"/>
  <c r="AG453" i="8"/>
  <c r="AG454" i="8"/>
  <c r="AG455" i="8"/>
  <c r="AG457" i="8"/>
  <c r="AG458" i="8"/>
  <c r="AG459" i="8"/>
  <c r="AG461" i="8"/>
  <c r="AG462" i="8"/>
  <c r="AG463" i="8"/>
  <c r="AG465" i="8"/>
  <c r="AG466" i="8"/>
  <c r="AG467" i="8"/>
  <c r="AG469" i="8"/>
  <c r="AG470" i="8"/>
  <c r="AG471" i="8"/>
  <c r="AG473" i="8"/>
  <c r="AG474" i="8"/>
  <c r="AG475" i="8"/>
  <c r="AG477" i="8"/>
  <c r="AG478" i="8"/>
  <c r="AG479" i="8"/>
  <c r="AG481" i="8"/>
  <c r="AG482" i="8"/>
  <c r="AG483" i="8"/>
  <c r="AG485" i="8"/>
  <c r="AG486" i="8"/>
  <c r="AG487" i="8"/>
  <c r="AG489" i="8"/>
  <c r="AG490" i="8"/>
  <c r="AG491" i="8"/>
  <c r="AG493" i="8"/>
  <c r="AG494" i="8"/>
  <c r="AG495" i="8"/>
  <c r="AG497" i="8"/>
  <c r="AG498" i="8"/>
  <c r="AG499" i="8"/>
  <c r="AG501" i="8"/>
  <c r="AG502" i="8"/>
  <c r="AG503" i="8"/>
  <c r="AG505" i="8"/>
  <c r="AG506" i="8"/>
  <c r="AG507" i="8"/>
  <c r="AG509" i="8"/>
  <c r="AG510" i="8"/>
  <c r="AG511" i="8"/>
  <c r="AG513" i="8"/>
  <c r="AG514" i="8"/>
  <c r="AG515" i="8"/>
  <c r="AG518" i="8"/>
  <c r="AG519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71" i="8"/>
  <c r="Z172" i="8"/>
  <c r="Z173" i="8"/>
  <c r="Z174" i="8"/>
  <c r="Z175" i="8"/>
  <c r="Z176" i="8"/>
  <c r="Z177" i="8"/>
  <c r="Z178" i="8"/>
  <c r="Z179" i="8"/>
  <c r="Z180" i="8"/>
  <c r="Z181" i="8"/>
  <c r="Z182" i="8"/>
  <c r="Z183" i="8"/>
  <c r="Z184" i="8"/>
  <c r="Z185" i="8"/>
  <c r="Z186" i="8"/>
  <c r="Z187" i="8"/>
  <c r="Z188" i="8"/>
  <c r="Z189" i="8"/>
  <c r="Z190" i="8"/>
  <c r="Z191" i="8"/>
  <c r="Z192" i="8"/>
  <c r="Z193" i="8"/>
  <c r="Z194" i="8"/>
  <c r="Z195" i="8"/>
  <c r="Z196" i="8"/>
  <c r="Z197" i="8"/>
  <c r="Z198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12" i="8"/>
  <c r="Z213" i="8"/>
  <c r="Z214" i="8"/>
  <c r="Z215" i="8"/>
  <c r="Z216" i="8"/>
  <c r="Z217" i="8"/>
  <c r="Z218" i="8"/>
  <c r="Z219" i="8"/>
  <c r="Z220" i="8"/>
  <c r="Z221" i="8"/>
  <c r="Z222" i="8"/>
  <c r="Z223" i="8"/>
  <c r="Z224" i="8"/>
  <c r="Z225" i="8"/>
  <c r="Z226" i="8"/>
  <c r="Z227" i="8"/>
  <c r="Z228" i="8"/>
  <c r="Z229" i="8"/>
  <c r="Z230" i="8"/>
  <c r="Z231" i="8"/>
  <c r="Z232" i="8"/>
  <c r="Z233" i="8"/>
  <c r="Z234" i="8"/>
  <c r="Z235" i="8"/>
  <c r="Z236" i="8"/>
  <c r="Z237" i="8"/>
  <c r="Z238" i="8"/>
  <c r="Z239" i="8"/>
  <c r="Z240" i="8"/>
  <c r="Z241" i="8"/>
  <c r="Z242" i="8"/>
  <c r="Z243" i="8"/>
  <c r="Z244" i="8"/>
  <c r="Z245" i="8"/>
  <c r="Z246" i="8"/>
  <c r="Z247" i="8"/>
  <c r="Z248" i="8"/>
  <c r="Z249" i="8"/>
  <c r="Z250" i="8"/>
  <c r="Z251" i="8"/>
  <c r="Z252" i="8"/>
  <c r="Z253" i="8"/>
  <c r="Z254" i="8"/>
  <c r="Z255" i="8"/>
  <c r="Z256" i="8"/>
  <c r="Z257" i="8"/>
  <c r="Z258" i="8"/>
  <c r="Z259" i="8"/>
  <c r="Z260" i="8"/>
  <c r="Z261" i="8"/>
  <c r="Z262" i="8"/>
  <c r="Z263" i="8"/>
  <c r="Z264" i="8"/>
  <c r="Z265" i="8"/>
  <c r="Z266" i="8"/>
  <c r="Z267" i="8"/>
  <c r="Z268" i="8"/>
  <c r="Z269" i="8"/>
  <c r="Z270" i="8"/>
  <c r="Z271" i="8"/>
  <c r="Z272" i="8"/>
  <c r="Z273" i="8"/>
  <c r="Z274" i="8"/>
  <c r="Z275" i="8"/>
  <c r="Z276" i="8"/>
  <c r="Z277" i="8"/>
  <c r="Z278" i="8"/>
  <c r="Z279" i="8"/>
  <c r="Z280" i="8"/>
  <c r="Z281" i="8"/>
  <c r="Z282" i="8"/>
  <c r="Z283" i="8"/>
  <c r="Z284" i="8"/>
  <c r="Z285" i="8"/>
  <c r="Z286" i="8"/>
  <c r="Z287" i="8"/>
  <c r="Z288" i="8"/>
  <c r="Z289" i="8"/>
  <c r="Z290" i="8"/>
  <c r="Z291" i="8"/>
  <c r="Z292" i="8"/>
  <c r="Z293" i="8"/>
  <c r="Z294" i="8"/>
  <c r="Z295" i="8"/>
  <c r="Z296" i="8"/>
  <c r="Z297" i="8"/>
  <c r="Z298" i="8"/>
  <c r="Z299" i="8"/>
  <c r="Z300" i="8"/>
  <c r="Z301" i="8"/>
  <c r="Z302" i="8"/>
  <c r="Z303" i="8"/>
  <c r="Z304" i="8"/>
  <c r="Z305" i="8"/>
  <c r="Z306" i="8"/>
  <c r="Z307" i="8"/>
  <c r="Z308" i="8"/>
  <c r="Z309" i="8"/>
  <c r="Z310" i="8"/>
  <c r="Z311" i="8"/>
  <c r="Z312" i="8"/>
  <c r="Z313" i="8"/>
  <c r="Z314" i="8"/>
  <c r="Z315" i="8"/>
  <c r="Z316" i="8"/>
  <c r="Z317" i="8"/>
  <c r="Z318" i="8"/>
  <c r="Z319" i="8"/>
  <c r="Z320" i="8"/>
  <c r="Z321" i="8"/>
  <c r="Z322" i="8"/>
  <c r="Z323" i="8"/>
  <c r="Z324" i="8"/>
  <c r="Z325" i="8"/>
  <c r="Z326" i="8"/>
  <c r="Z327" i="8"/>
  <c r="Z328" i="8"/>
  <c r="Z329" i="8"/>
  <c r="Z330" i="8"/>
  <c r="Z331" i="8"/>
  <c r="Z332" i="8"/>
  <c r="Z333" i="8"/>
  <c r="Z334" i="8"/>
  <c r="Z335" i="8"/>
  <c r="Z336" i="8"/>
  <c r="Z337" i="8"/>
  <c r="Z338" i="8"/>
  <c r="Z339" i="8"/>
  <c r="Z340" i="8"/>
  <c r="Z341" i="8"/>
  <c r="Z342" i="8"/>
  <c r="Z343" i="8"/>
  <c r="Z344" i="8"/>
  <c r="Z345" i="8"/>
  <c r="Z346" i="8"/>
  <c r="Z347" i="8"/>
  <c r="Z348" i="8"/>
  <c r="Z349" i="8"/>
  <c r="Z350" i="8"/>
  <c r="Z351" i="8"/>
  <c r="Z352" i="8"/>
  <c r="Z353" i="8"/>
  <c r="Z354" i="8"/>
  <c r="Z355" i="8"/>
  <c r="Z356" i="8"/>
  <c r="Z357" i="8"/>
  <c r="Z358" i="8"/>
  <c r="Z359" i="8"/>
  <c r="Z360" i="8"/>
  <c r="Z361" i="8"/>
  <c r="Z362" i="8"/>
  <c r="Z363" i="8"/>
  <c r="Z364" i="8"/>
  <c r="Z365" i="8"/>
  <c r="Z366" i="8"/>
  <c r="Z367" i="8"/>
  <c r="Z368" i="8"/>
  <c r="Z369" i="8"/>
  <c r="Z370" i="8"/>
  <c r="Z371" i="8"/>
  <c r="Z372" i="8"/>
  <c r="Z373" i="8"/>
  <c r="Z374" i="8"/>
  <c r="Z375" i="8"/>
  <c r="Z376" i="8"/>
  <c r="Z377" i="8"/>
  <c r="Z378" i="8"/>
  <c r="Z379" i="8"/>
  <c r="Z380" i="8"/>
  <c r="Z381" i="8"/>
  <c r="Z382" i="8"/>
  <c r="Z383" i="8"/>
  <c r="Z384" i="8"/>
  <c r="Z385" i="8"/>
  <c r="Z386" i="8"/>
  <c r="Z387" i="8"/>
  <c r="Z388" i="8"/>
  <c r="Z389" i="8"/>
  <c r="Z390" i="8"/>
  <c r="Z391" i="8"/>
  <c r="Z392" i="8"/>
  <c r="Z393" i="8"/>
  <c r="Z394" i="8"/>
  <c r="Z395" i="8"/>
  <c r="Z396" i="8"/>
  <c r="Z397" i="8"/>
  <c r="Z398" i="8"/>
  <c r="Z399" i="8"/>
  <c r="Z400" i="8"/>
  <c r="Z401" i="8"/>
  <c r="Z402" i="8"/>
  <c r="Z403" i="8"/>
  <c r="Z404" i="8"/>
  <c r="Z405" i="8"/>
  <c r="Z406" i="8"/>
  <c r="Z407" i="8"/>
  <c r="Z408" i="8"/>
  <c r="Z409" i="8"/>
  <c r="Z410" i="8"/>
  <c r="Z411" i="8"/>
  <c r="Z412" i="8"/>
  <c r="Z413" i="8"/>
  <c r="Z414" i="8"/>
  <c r="Z415" i="8"/>
  <c r="Z416" i="8"/>
  <c r="Z417" i="8"/>
  <c r="Z418" i="8"/>
  <c r="Z419" i="8"/>
  <c r="Z420" i="8"/>
  <c r="Z421" i="8"/>
  <c r="Z422" i="8"/>
  <c r="Z423" i="8"/>
  <c r="Z424" i="8"/>
  <c r="Z425" i="8"/>
  <c r="Z426" i="8"/>
  <c r="Z427" i="8"/>
  <c r="Z428" i="8"/>
  <c r="Z429" i="8"/>
  <c r="Z430" i="8"/>
  <c r="Z431" i="8"/>
  <c r="Z432" i="8"/>
  <c r="Z433" i="8"/>
  <c r="Z434" i="8"/>
  <c r="Z435" i="8"/>
  <c r="Z436" i="8"/>
  <c r="Z437" i="8"/>
  <c r="Z438" i="8"/>
  <c r="Z439" i="8"/>
  <c r="Z440" i="8"/>
  <c r="Z441" i="8"/>
  <c r="Z442" i="8"/>
  <c r="Z443" i="8"/>
  <c r="Z444" i="8"/>
  <c r="Z445" i="8"/>
  <c r="Z446" i="8"/>
  <c r="Z447" i="8"/>
  <c r="Z448" i="8"/>
  <c r="Z449" i="8"/>
  <c r="Z450" i="8"/>
  <c r="Z451" i="8"/>
  <c r="Z452" i="8"/>
  <c r="Z453" i="8"/>
  <c r="Z454" i="8"/>
  <c r="Z455" i="8"/>
  <c r="Z456" i="8"/>
  <c r="Z457" i="8"/>
  <c r="Z458" i="8"/>
  <c r="Z459" i="8"/>
  <c r="Z460" i="8"/>
  <c r="Z461" i="8"/>
  <c r="Z462" i="8"/>
  <c r="Z463" i="8"/>
  <c r="Z464" i="8"/>
  <c r="Z465" i="8"/>
  <c r="Z466" i="8"/>
  <c r="Z467" i="8"/>
  <c r="Z468" i="8"/>
  <c r="Z469" i="8"/>
  <c r="Z470" i="8"/>
  <c r="Z471" i="8"/>
  <c r="Z472" i="8"/>
  <c r="Z473" i="8"/>
  <c r="Z474" i="8"/>
  <c r="Z475" i="8"/>
  <c r="Z476" i="8"/>
  <c r="Z477" i="8"/>
  <c r="Z478" i="8"/>
  <c r="Z479" i="8"/>
  <c r="Z480" i="8"/>
  <c r="Z481" i="8"/>
  <c r="Z482" i="8"/>
  <c r="Z483" i="8"/>
  <c r="Z484" i="8"/>
  <c r="Z485" i="8"/>
  <c r="Z486" i="8"/>
  <c r="Z487" i="8"/>
  <c r="Z488" i="8"/>
  <c r="Z489" i="8"/>
  <c r="Z490" i="8"/>
  <c r="Z491" i="8"/>
  <c r="Z492" i="8"/>
  <c r="Z493" i="8"/>
  <c r="Z494" i="8"/>
  <c r="Z495" i="8"/>
  <c r="Z496" i="8"/>
  <c r="Z497" i="8"/>
  <c r="Z498" i="8"/>
  <c r="Z499" i="8"/>
  <c r="Z500" i="8"/>
  <c r="Z501" i="8"/>
  <c r="Z502" i="8"/>
  <c r="Z503" i="8"/>
  <c r="Z504" i="8"/>
  <c r="Z505" i="8"/>
  <c r="Z506" i="8"/>
  <c r="Z507" i="8"/>
  <c r="Z508" i="8"/>
  <c r="Z509" i="8"/>
  <c r="Z510" i="8"/>
  <c r="Z511" i="8"/>
  <c r="Z512" i="8"/>
  <c r="Z513" i="8"/>
  <c r="Z514" i="8"/>
  <c r="Z515" i="8"/>
  <c r="Z516" i="8"/>
  <c r="Z517" i="8"/>
  <c r="Z518" i="8"/>
  <c r="Z519" i="8"/>
  <c r="Z520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213" i="8"/>
  <c r="Y214" i="8"/>
  <c r="Y215" i="8"/>
  <c r="Y216" i="8"/>
  <c r="Y217" i="8"/>
  <c r="Y218" i="8"/>
  <c r="Y219" i="8"/>
  <c r="Y220" i="8"/>
  <c r="Y221" i="8"/>
  <c r="Y222" i="8"/>
  <c r="Y223" i="8"/>
  <c r="Y224" i="8"/>
  <c r="Y225" i="8"/>
  <c r="Y226" i="8"/>
  <c r="Y227" i="8"/>
  <c r="Y228" i="8"/>
  <c r="Y229" i="8"/>
  <c r="Y230" i="8"/>
  <c r="Y231" i="8"/>
  <c r="Y232" i="8"/>
  <c r="Y233" i="8"/>
  <c r="Y234" i="8"/>
  <c r="Y235" i="8"/>
  <c r="Y236" i="8"/>
  <c r="Y237" i="8"/>
  <c r="Y238" i="8"/>
  <c r="Y239" i="8"/>
  <c r="Y240" i="8"/>
  <c r="Y241" i="8"/>
  <c r="Y242" i="8"/>
  <c r="Y243" i="8"/>
  <c r="Y244" i="8"/>
  <c r="Y245" i="8"/>
  <c r="Y246" i="8"/>
  <c r="Y247" i="8"/>
  <c r="Y248" i="8"/>
  <c r="Y249" i="8"/>
  <c r="Y250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4" i="8"/>
  <c r="Y275" i="8"/>
  <c r="Y276" i="8"/>
  <c r="Y277" i="8"/>
  <c r="Y278" i="8"/>
  <c r="Y279" i="8"/>
  <c r="Y280" i="8"/>
  <c r="Y281" i="8"/>
  <c r="Y282" i="8"/>
  <c r="Y283" i="8"/>
  <c r="Y284" i="8"/>
  <c r="Y285" i="8"/>
  <c r="Y286" i="8"/>
  <c r="Y287" i="8"/>
  <c r="Y288" i="8"/>
  <c r="Y289" i="8"/>
  <c r="Y290" i="8"/>
  <c r="Y291" i="8"/>
  <c r="Y292" i="8"/>
  <c r="Y293" i="8"/>
  <c r="Y294" i="8"/>
  <c r="Y295" i="8"/>
  <c r="Y296" i="8"/>
  <c r="Y297" i="8"/>
  <c r="Y298" i="8"/>
  <c r="Y299" i="8"/>
  <c r="Y300" i="8"/>
  <c r="Y301" i="8"/>
  <c r="Y302" i="8"/>
  <c r="Y303" i="8"/>
  <c r="Y304" i="8"/>
  <c r="Y305" i="8"/>
  <c r="Y306" i="8"/>
  <c r="Y307" i="8"/>
  <c r="Y308" i="8"/>
  <c r="Y309" i="8"/>
  <c r="Y310" i="8"/>
  <c r="Y311" i="8"/>
  <c r="Y312" i="8"/>
  <c r="Y313" i="8"/>
  <c r="Y314" i="8"/>
  <c r="Y315" i="8"/>
  <c r="Y316" i="8"/>
  <c r="Y317" i="8"/>
  <c r="Y318" i="8"/>
  <c r="Y319" i="8"/>
  <c r="Y320" i="8"/>
  <c r="Y321" i="8"/>
  <c r="Y322" i="8"/>
  <c r="Y323" i="8"/>
  <c r="Y324" i="8"/>
  <c r="Y325" i="8"/>
  <c r="Y326" i="8"/>
  <c r="Y327" i="8"/>
  <c r="Y328" i="8"/>
  <c r="Y329" i="8"/>
  <c r="Y330" i="8"/>
  <c r="Y331" i="8"/>
  <c r="Y332" i="8"/>
  <c r="Y333" i="8"/>
  <c r="Y334" i="8"/>
  <c r="Y335" i="8"/>
  <c r="Y336" i="8"/>
  <c r="Y337" i="8"/>
  <c r="Y338" i="8"/>
  <c r="Y339" i="8"/>
  <c r="Y340" i="8"/>
  <c r="Y341" i="8"/>
  <c r="Y342" i="8"/>
  <c r="Y343" i="8"/>
  <c r="Y344" i="8"/>
  <c r="Y345" i="8"/>
  <c r="Y346" i="8"/>
  <c r="Y347" i="8"/>
  <c r="Y348" i="8"/>
  <c r="Y349" i="8"/>
  <c r="Y350" i="8"/>
  <c r="Y351" i="8"/>
  <c r="Y352" i="8"/>
  <c r="Y353" i="8"/>
  <c r="Y354" i="8"/>
  <c r="Y355" i="8"/>
  <c r="Y356" i="8"/>
  <c r="Y357" i="8"/>
  <c r="Y358" i="8"/>
  <c r="Y359" i="8"/>
  <c r="Y360" i="8"/>
  <c r="Y361" i="8"/>
  <c r="Y362" i="8"/>
  <c r="Y363" i="8"/>
  <c r="Y364" i="8"/>
  <c r="Y365" i="8"/>
  <c r="Y366" i="8"/>
  <c r="Y367" i="8"/>
  <c r="Y368" i="8"/>
  <c r="Y369" i="8"/>
  <c r="Y370" i="8"/>
  <c r="Y371" i="8"/>
  <c r="Y372" i="8"/>
  <c r="Y373" i="8"/>
  <c r="Y374" i="8"/>
  <c r="Y375" i="8"/>
  <c r="Y376" i="8"/>
  <c r="Y377" i="8"/>
  <c r="Y378" i="8"/>
  <c r="Y379" i="8"/>
  <c r="Y380" i="8"/>
  <c r="Y381" i="8"/>
  <c r="Y382" i="8"/>
  <c r="Y383" i="8"/>
  <c r="Y384" i="8"/>
  <c r="Y385" i="8"/>
  <c r="Y386" i="8"/>
  <c r="Y387" i="8"/>
  <c r="Y388" i="8"/>
  <c r="Y389" i="8"/>
  <c r="Y390" i="8"/>
  <c r="Y391" i="8"/>
  <c r="Y392" i="8"/>
  <c r="Y393" i="8"/>
  <c r="Y394" i="8"/>
  <c r="Y395" i="8"/>
  <c r="Y396" i="8"/>
  <c r="Y397" i="8"/>
  <c r="Y398" i="8"/>
  <c r="Y399" i="8"/>
  <c r="Y400" i="8"/>
  <c r="Y401" i="8"/>
  <c r="Y402" i="8"/>
  <c r="Y403" i="8"/>
  <c r="Y404" i="8"/>
  <c r="Y405" i="8"/>
  <c r="Y406" i="8"/>
  <c r="Y407" i="8"/>
  <c r="Y408" i="8"/>
  <c r="Y409" i="8"/>
  <c r="Y410" i="8"/>
  <c r="Y411" i="8"/>
  <c r="Y412" i="8"/>
  <c r="Y413" i="8"/>
  <c r="Y414" i="8"/>
  <c r="Y415" i="8"/>
  <c r="Y416" i="8"/>
  <c r="Y417" i="8"/>
  <c r="Y418" i="8"/>
  <c r="Y419" i="8"/>
  <c r="Y420" i="8"/>
  <c r="Y421" i="8"/>
  <c r="Y422" i="8"/>
  <c r="Y423" i="8"/>
  <c r="Y424" i="8"/>
  <c r="Y425" i="8"/>
  <c r="Y426" i="8"/>
  <c r="Y427" i="8"/>
  <c r="Y428" i="8"/>
  <c r="Y429" i="8"/>
  <c r="Y430" i="8"/>
  <c r="Y431" i="8"/>
  <c r="Y432" i="8"/>
  <c r="Y433" i="8"/>
  <c r="Y434" i="8"/>
  <c r="Y435" i="8"/>
  <c r="Y436" i="8"/>
  <c r="Y437" i="8"/>
  <c r="Y438" i="8"/>
  <c r="Y439" i="8"/>
  <c r="Y440" i="8"/>
  <c r="Y441" i="8"/>
  <c r="Y442" i="8"/>
  <c r="Y443" i="8"/>
  <c r="Y444" i="8"/>
  <c r="Y445" i="8"/>
  <c r="Y446" i="8"/>
  <c r="Y447" i="8"/>
  <c r="Y448" i="8"/>
  <c r="Y449" i="8"/>
  <c r="Y450" i="8"/>
  <c r="Y451" i="8"/>
  <c r="Y452" i="8"/>
  <c r="Y453" i="8"/>
  <c r="Y454" i="8"/>
  <c r="Y455" i="8"/>
  <c r="Y456" i="8"/>
  <c r="Y457" i="8"/>
  <c r="Y458" i="8"/>
  <c r="Y459" i="8"/>
  <c r="Y460" i="8"/>
  <c r="Y461" i="8"/>
  <c r="Y462" i="8"/>
  <c r="Y463" i="8"/>
  <c r="Y464" i="8"/>
  <c r="Y465" i="8"/>
  <c r="Y466" i="8"/>
  <c r="Y467" i="8"/>
  <c r="Y468" i="8"/>
  <c r="Y469" i="8"/>
  <c r="Y470" i="8"/>
  <c r="Y471" i="8"/>
  <c r="Y472" i="8"/>
  <c r="Y473" i="8"/>
  <c r="Y474" i="8"/>
  <c r="Y475" i="8"/>
  <c r="Y476" i="8"/>
  <c r="Y477" i="8"/>
  <c r="Y478" i="8"/>
  <c r="Y479" i="8"/>
  <c r="Y480" i="8"/>
  <c r="Y481" i="8"/>
  <c r="Y482" i="8"/>
  <c r="Y483" i="8"/>
  <c r="Y484" i="8"/>
  <c r="Y485" i="8"/>
  <c r="Y486" i="8"/>
  <c r="Y487" i="8"/>
  <c r="Y488" i="8"/>
  <c r="Y489" i="8"/>
  <c r="Y490" i="8"/>
  <c r="Y491" i="8"/>
  <c r="Y492" i="8"/>
  <c r="Y493" i="8"/>
  <c r="Y494" i="8"/>
  <c r="Y495" i="8"/>
  <c r="Y496" i="8"/>
  <c r="Y497" i="8"/>
  <c r="Y498" i="8"/>
  <c r="Y499" i="8"/>
  <c r="Y500" i="8"/>
  <c r="Y501" i="8"/>
  <c r="Y502" i="8"/>
  <c r="Y503" i="8"/>
  <c r="Y504" i="8"/>
  <c r="Y505" i="8"/>
  <c r="Y506" i="8"/>
  <c r="Y507" i="8"/>
  <c r="Y508" i="8"/>
  <c r="Y509" i="8"/>
  <c r="Y510" i="8"/>
  <c r="Y511" i="8"/>
  <c r="Y512" i="8"/>
  <c r="Y513" i="8"/>
  <c r="Y514" i="8"/>
  <c r="Y515" i="8"/>
  <c r="Y516" i="8"/>
  <c r="Y517" i="8"/>
  <c r="Y518" i="8"/>
  <c r="Y519" i="8"/>
  <c r="Y520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F5" i="8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N9" i="7"/>
  <c r="N10" i="7"/>
  <c r="N11" i="7"/>
  <c r="N12" i="7"/>
  <c r="N13" i="7"/>
  <c r="N14" i="7"/>
  <c r="N15" i="7"/>
  <c r="N16" i="7"/>
  <c r="P16" i="7" s="1"/>
  <c r="N17" i="7"/>
  <c r="N18" i="7"/>
  <c r="N19" i="7"/>
  <c r="N20" i="7"/>
  <c r="N21" i="7"/>
  <c r="N22" i="7"/>
  <c r="N23" i="7"/>
  <c r="N24" i="7"/>
  <c r="P24" i="7" s="1"/>
  <c r="N25" i="7"/>
  <c r="N26" i="7"/>
  <c r="N27" i="7"/>
  <c r="N28" i="7"/>
  <c r="N29" i="7"/>
  <c r="N30" i="7"/>
  <c r="N31" i="7"/>
  <c r="N32" i="7"/>
  <c r="P32" i="7" s="1"/>
  <c r="N33" i="7"/>
  <c r="N34" i="7"/>
  <c r="N35" i="7"/>
  <c r="N36" i="7"/>
  <c r="N37" i="7"/>
  <c r="N38" i="7"/>
  <c r="N39" i="7"/>
  <c r="N40" i="7"/>
  <c r="P40" i="7" s="1"/>
  <c r="N41" i="7"/>
  <c r="N42" i="7"/>
  <c r="N43" i="7"/>
  <c r="N44" i="7"/>
  <c r="N45" i="7"/>
  <c r="N46" i="7"/>
  <c r="N47" i="7"/>
  <c r="N48" i="7"/>
  <c r="P48" i="7" s="1"/>
  <c r="N49" i="7"/>
  <c r="N50" i="7"/>
  <c r="N51" i="7"/>
  <c r="N52" i="7"/>
  <c r="N53" i="7"/>
  <c r="N54" i="7"/>
  <c r="N55" i="7"/>
  <c r="N56" i="7"/>
  <c r="P56" i="7" s="1"/>
  <c r="N57" i="7"/>
  <c r="N58" i="7"/>
  <c r="N59" i="7"/>
  <c r="N60" i="7"/>
  <c r="N61" i="7"/>
  <c r="N62" i="7"/>
  <c r="N63" i="7"/>
  <c r="N64" i="7"/>
  <c r="P64" i="7" s="1"/>
  <c r="N65" i="7"/>
  <c r="N66" i="7"/>
  <c r="N67" i="7"/>
  <c r="N68" i="7"/>
  <c r="N69" i="7"/>
  <c r="N70" i="7"/>
  <c r="N71" i="7"/>
  <c r="N72" i="7"/>
  <c r="P72" i="7" s="1"/>
  <c r="N73" i="7"/>
  <c r="N74" i="7"/>
  <c r="N75" i="7"/>
  <c r="N76" i="7"/>
  <c r="N77" i="7"/>
  <c r="N78" i="7"/>
  <c r="N79" i="7"/>
  <c r="N80" i="7"/>
  <c r="P80" i="7" s="1"/>
  <c r="N81" i="7"/>
  <c r="N82" i="7"/>
  <c r="N83" i="7"/>
  <c r="N84" i="7"/>
  <c r="N85" i="7"/>
  <c r="N86" i="7"/>
  <c r="N87" i="7"/>
  <c r="N88" i="7"/>
  <c r="P88" i="7" s="1"/>
  <c r="N89" i="7"/>
  <c r="N90" i="7"/>
  <c r="N91" i="7"/>
  <c r="N92" i="7"/>
  <c r="N93" i="7"/>
  <c r="N94" i="7"/>
  <c r="N95" i="7"/>
  <c r="N96" i="7"/>
  <c r="P96" i="7" s="1"/>
  <c r="N97" i="7"/>
  <c r="N98" i="7"/>
  <c r="N99" i="7"/>
  <c r="N100" i="7"/>
  <c r="N101" i="7"/>
  <c r="N102" i="7"/>
  <c r="N103" i="7"/>
  <c r="N104" i="7"/>
  <c r="P104" i="7" s="1"/>
  <c r="N105" i="7"/>
  <c r="N106" i="7"/>
  <c r="N107" i="7"/>
  <c r="N108" i="7"/>
  <c r="N109" i="7"/>
  <c r="N110" i="7"/>
  <c r="N111" i="7"/>
  <c r="N112" i="7"/>
  <c r="P112" i="7" s="1"/>
  <c r="N113" i="7"/>
  <c r="N114" i="7"/>
  <c r="N115" i="7"/>
  <c r="N116" i="7"/>
  <c r="N117" i="7"/>
  <c r="N118" i="7"/>
  <c r="N119" i="7"/>
  <c r="N120" i="7"/>
  <c r="P120" i="7" s="1"/>
  <c r="N121" i="7"/>
  <c r="N122" i="7"/>
  <c r="N123" i="7"/>
  <c r="N124" i="7"/>
  <c r="N125" i="7"/>
  <c r="N126" i="7"/>
  <c r="P126" i="7" s="1"/>
  <c r="N127" i="7"/>
  <c r="N128" i="7"/>
  <c r="N129" i="7"/>
  <c r="N130" i="7"/>
  <c r="P130" i="7" s="1"/>
  <c r="N131" i="7"/>
  <c r="N132" i="7"/>
  <c r="N133" i="7"/>
  <c r="N134" i="7"/>
  <c r="P134" i="7" s="1"/>
  <c r="N135" i="7"/>
  <c r="N136" i="7"/>
  <c r="O136" i="7" s="1"/>
  <c r="N137" i="7"/>
  <c r="N138" i="7"/>
  <c r="P138" i="7" s="1"/>
  <c r="N139" i="7"/>
  <c r="N140" i="7"/>
  <c r="N141" i="7"/>
  <c r="N142" i="7"/>
  <c r="P142" i="7" s="1"/>
  <c r="N143" i="7"/>
  <c r="N144" i="7"/>
  <c r="N145" i="7"/>
  <c r="N146" i="7"/>
  <c r="P146" i="7" s="1"/>
  <c r="N147" i="7"/>
  <c r="N148" i="7"/>
  <c r="N149" i="7"/>
  <c r="N150" i="7"/>
  <c r="P150" i="7" s="1"/>
  <c r="N151" i="7"/>
  <c r="N152" i="7"/>
  <c r="N153" i="7"/>
  <c r="N154" i="7"/>
  <c r="P154" i="7" s="1"/>
  <c r="N155" i="7"/>
  <c r="N156" i="7"/>
  <c r="N157" i="7"/>
  <c r="N158" i="7"/>
  <c r="P158" i="7" s="1"/>
  <c r="N159" i="7"/>
  <c r="N160" i="7"/>
  <c r="N161" i="7"/>
  <c r="N162" i="7"/>
  <c r="P162" i="7" s="1"/>
  <c r="N163" i="7"/>
  <c r="N164" i="7"/>
  <c r="N165" i="7"/>
  <c r="N166" i="7"/>
  <c r="P166" i="7" s="1"/>
  <c r="N167" i="7"/>
  <c r="N168" i="7"/>
  <c r="N169" i="7"/>
  <c r="N170" i="7"/>
  <c r="P170" i="7" s="1"/>
  <c r="N171" i="7"/>
  <c r="N172" i="7"/>
  <c r="N173" i="7"/>
  <c r="N174" i="7"/>
  <c r="P174" i="7" s="1"/>
  <c r="N175" i="7"/>
  <c r="N176" i="7"/>
  <c r="N177" i="7"/>
  <c r="N178" i="7"/>
  <c r="P178" i="7" s="1"/>
  <c r="N179" i="7"/>
  <c r="N180" i="7"/>
  <c r="N181" i="7"/>
  <c r="N182" i="7"/>
  <c r="P182" i="7" s="1"/>
  <c r="N183" i="7"/>
  <c r="N184" i="7"/>
  <c r="N185" i="7"/>
  <c r="N186" i="7"/>
  <c r="P186" i="7" s="1"/>
  <c r="N187" i="7"/>
  <c r="N188" i="7"/>
  <c r="N189" i="7"/>
  <c r="N190" i="7"/>
  <c r="P190" i="7" s="1"/>
  <c r="N191" i="7"/>
  <c r="N192" i="7"/>
  <c r="N193" i="7"/>
  <c r="N194" i="7"/>
  <c r="P194" i="7" s="1"/>
  <c r="N195" i="7"/>
  <c r="N196" i="7"/>
  <c r="N197" i="7"/>
  <c r="N198" i="7"/>
  <c r="P198" i="7" s="1"/>
  <c r="N199" i="7"/>
  <c r="P199" i="7" s="1"/>
  <c r="N200" i="7"/>
  <c r="O200" i="7" s="1"/>
  <c r="N201" i="7"/>
  <c r="N202" i="7"/>
  <c r="P202" i="7" s="1"/>
  <c r="N203" i="7"/>
  <c r="P203" i="7" s="1"/>
  <c r="N204" i="7"/>
  <c r="N205" i="7"/>
  <c r="N206" i="7"/>
  <c r="P206" i="7" s="1"/>
  <c r="N207" i="7"/>
  <c r="P207" i="7" s="1"/>
  <c r="N208" i="7"/>
  <c r="N209" i="7"/>
  <c r="N210" i="7"/>
  <c r="P210" i="7" s="1"/>
  <c r="N211" i="7"/>
  <c r="P211" i="7" s="1"/>
  <c r="N212" i="7"/>
  <c r="N213" i="7"/>
  <c r="N214" i="7"/>
  <c r="P214" i="7" s="1"/>
  <c r="N215" i="7"/>
  <c r="P215" i="7" s="1"/>
  <c r="N216" i="7"/>
  <c r="N217" i="7"/>
  <c r="N218" i="7"/>
  <c r="P218" i="7" s="1"/>
  <c r="N219" i="7"/>
  <c r="P219" i="7" s="1"/>
  <c r="N220" i="7"/>
  <c r="N221" i="7"/>
  <c r="N222" i="7"/>
  <c r="P222" i="7" s="1"/>
  <c r="N223" i="7"/>
  <c r="P223" i="7" s="1"/>
  <c r="N224" i="7"/>
  <c r="N225" i="7"/>
  <c r="N226" i="7"/>
  <c r="P226" i="7" s="1"/>
  <c r="N227" i="7"/>
  <c r="P227" i="7" s="1"/>
  <c r="N228" i="7"/>
  <c r="N229" i="7"/>
  <c r="N230" i="7"/>
  <c r="P230" i="7" s="1"/>
  <c r="N231" i="7"/>
  <c r="P231" i="7" s="1"/>
  <c r="N232" i="7"/>
  <c r="N233" i="7"/>
  <c r="N234" i="7"/>
  <c r="P234" i="7" s="1"/>
  <c r="N235" i="7"/>
  <c r="P235" i="7" s="1"/>
  <c r="N236" i="7"/>
  <c r="N237" i="7"/>
  <c r="N238" i="7"/>
  <c r="P238" i="7" s="1"/>
  <c r="N239" i="7"/>
  <c r="P239" i="7" s="1"/>
  <c r="N240" i="7"/>
  <c r="N241" i="7"/>
  <c r="N242" i="7"/>
  <c r="P242" i="7" s="1"/>
  <c r="N243" i="7"/>
  <c r="P243" i="7" s="1"/>
  <c r="N244" i="7"/>
  <c r="N245" i="7"/>
  <c r="N246" i="7"/>
  <c r="P246" i="7" s="1"/>
  <c r="N247" i="7"/>
  <c r="P247" i="7" s="1"/>
  <c r="N248" i="7"/>
  <c r="N249" i="7"/>
  <c r="N250" i="7"/>
  <c r="P250" i="7" s="1"/>
  <c r="N251" i="7"/>
  <c r="P251" i="7" s="1"/>
  <c r="N252" i="7"/>
  <c r="N253" i="7"/>
  <c r="N254" i="7"/>
  <c r="P254" i="7" s="1"/>
  <c r="N255" i="7"/>
  <c r="P255" i="7" s="1"/>
  <c r="N256" i="7"/>
  <c r="N257" i="7"/>
  <c r="N258" i="7"/>
  <c r="P258" i="7" s="1"/>
  <c r="N259" i="7"/>
  <c r="P259" i="7" s="1"/>
  <c r="N260" i="7"/>
  <c r="N261" i="7"/>
  <c r="N262" i="7"/>
  <c r="P262" i="7" s="1"/>
  <c r="N263" i="7"/>
  <c r="P263" i="7" s="1"/>
  <c r="N264" i="7"/>
  <c r="O264" i="7" s="1"/>
  <c r="N265" i="7"/>
  <c r="N266" i="7"/>
  <c r="P266" i="7" s="1"/>
  <c r="N267" i="7"/>
  <c r="P267" i="7" s="1"/>
  <c r="N268" i="7"/>
  <c r="N269" i="7"/>
  <c r="N270" i="7"/>
  <c r="P270" i="7" s="1"/>
  <c r="N271" i="7"/>
  <c r="P271" i="7" s="1"/>
  <c r="N272" i="7"/>
  <c r="N273" i="7"/>
  <c r="N274" i="7"/>
  <c r="P274" i="7" s="1"/>
  <c r="N275" i="7"/>
  <c r="P275" i="7" s="1"/>
  <c r="N276" i="7"/>
  <c r="N277" i="7"/>
  <c r="N278" i="7"/>
  <c r="P278" i="7" s="1"/>
  <c r="N279" i="7"/>
  <c r="P279" i="7" s="1"/>
  <c r="N280" i="7"/>
  <c r="N281" i="7"/>
  <c r="N282" i="7"/>
  <c r="P282" i="7" s="1"/>
  <c r="N283" i="7"/>
  <c r="P283" i="7" s="1"/>
  <c r="N284" i="7"/>
  <c r="N285" i="7"/>
  <c r="N286" i="7"/>
  <c r="P286" i="7" s="1"/>
  <c r="N287" i="7"/>
  <c r="P287" i="7" s="1"/>
  <c r="N288" i="7"/>
  <c r="N289" i="7"/>
  <c r="N290" i="7"/>
  <c r="P290" i="7" s="1"/>
  <c r="N291" i="7"/>
  <c r="P291" i="7" s="1"/>
  <c r="N292" i="7"/>
  <c r="N293" i="7"/>
  <c r="N294" i="7"/>
  <c r="P294" i="7" s="1"/>
  <c r="N295" i="7"/>
  <c r="P295" i="7" s="1"/>
  <c r="N296" i="7"/>
  <c r="O296" i="7" s="1"/>
  <c r="N297" i="7"/>
  <c r="N298" i="7"/>
  <c r="P298" i="7" s="1"/>
  <c r="N299" i="7"/>
  <c r="P299" i="7" s="1"/>
  <c r="N300" i="7"/>
  <c r="N301" i="7"/>
  <c r="N302" i="7"/>
  <c r="P302" i="7" s="1"/>
  <c r="N303" i="7"/>
  <c r="P303" i="7" s="1"/>
  <c r="N304" i="7"/>
  <c r="N305" i="7"/>
  <c r="N306" i="7"/>
  <c r="P306" i="7" s="1"/>
  <c r="N307" i="7"/>
  <c r="P307" i="7" s="1"/>
  <c r="N308" i="7"/>
  <c r="N309" i="7"/>
  <c r="N310" i="7"/>
  <c r="P310" i="7" s="1"/>
  <c r="N311" i="7"/>
  <c r="P311" i="7" s="1"/>
  <c r="N312" i="7"/>
  <c r="N313" i="7"/>
  <c r="N314" i="7"/>
  <c r="P314" i="7" s="1"/>
  <c r="N315" i="7"/>
  <c r="P315" i="7" s="1"/>
  <c r="N316" i="7"/>
  <c r="N317" i="7"/>
  <c r="N318" i="7"/>
  <c r="P318" i="7" s="1"/>
  <c r="N319" i="7"/>
  <c r="P319" i="7" s="1"/>
  <c r="N320" i="7"/>
  <c r="N321" i="7"/>
  <c r="N322" i="7"/>
  <c r="P322" i="7" s="1"/>
  <c r="N323" i="7"/>
  <c r="P323" i="7" s="1"/>
  <c r="N324" i="7"/>
  <c r="N325" i="7"/>
  <c r="N326" i="7"/>
  <c r="P326" i="7" s="1"/>
  <c r="N327" i="7"/>
  <c r="P327" i="7" s="1"/>
  <c r="N328" i="7"/>
  <c r="O328" i="7" s="1"/>
  <c r="N329" i="7"/>
  <c r="N330" i="7"/>
  <c r="P330" i="7" s="1"/>
  <c r="N331" i="7"/>
  <c r="P331" i="7" s="1"/>
  <c r="N332" i="7"/>
  <c r="N333" i="7"/>
  <c r="P333" i="7" s="1"/>
  <c r="N334" i="7"/>
  <c r="P334" i="7" s="1"/>
  <c r="N335" i="7"/>
  <c r="P335" i="7" s="1"/>
  <c r="N336" i="7"/>
  <c r="N337" i="7"/>
  <c r="P337" i="7" s="1"/>
  <c r="N338" i="7"/>
  <c r="P338" i="7" s="1"/>
  <c r="N339" i="7"/>
  <c r="P339" i="7" s="1"/>
  <c r="N340" i="7"/>
  <c r="N341" i="7"/>
  <c r="P341" i="7" s="1"/>
  <c r="N342" i="7"/>
  <c r="P342" i="7" s="1"/>
  <c r="N343" i="7"/>
  <c r="P343" i="7" s="1"/>
  <c r="N344" i="7"/>
  <c r="N345" i="7"/>
  <c r="P345" i="7" s="1"/>
  <c r="N346" i="7"/>
  <c r="P346" i="7" s="1"/>
  <c r="N347" i="7"/>
  <c r="P347" i="7" s="1"/>
  <c r="N348" i="7"/>
  <c r="N349" i="7"/>
  <c r="P349" i="7" s="1"/>
  <c r="N350" i="7"/>
  <c r="P350" i="7" s="1"/>
  <c r="N351" i="7"/>
  <c r="P351" i="7" s="1"/>
  <c r="N352" i="7"/>
  <c r="P352" i="7" s="1"/>
  <c r="N353" i="7"/>
  <c r="P353" i="7" s="1"/>
  <c r="N354" i="7"/>
  <c r="P354" i="7" s="1"/>
  <c r="N355" i="7"/>
  <c r="P355" i="7" s="1"/>
  <c r="N356" i="7"/>
  <c r="P356" i="7" s="1"/>
  <c r="N357" i="7"/>
  <c r="P357" i="7" s="1"/>
  <c r="N358" i="7"/>
  <c r="P358" i="7" s="1"/>
  <c r="N359" i="7"/>
  <c r="P359" i="7" s="1"/>
  <c r="N360" i="7"/>
  <c r="P360" i="7" s="1"/>
  <c r="N361" i="7"/>
  <c r="P361" i="7" s="1"/>
  <c r="N362" i="7"/>
  <c r="P362" i="7" s="1"/>
  <c r="N363" i="7"/>
  <c r="P363" i="7" s="1"/>
  <c r="N364" i="7"/>
  <c r="P364" i="7" s="1"/>
  <c r="N365" i="7"/>
  <c r="P365" i="7" s="1"/>
  <c r="N366" i="7"/>
  <c r="P366" i="7" s="1"/>
  <c r="N367" i="7"/>
  <c r="P367" i="7" s="1"/>
  <c r="N368" i="7"/>
  <c r="P368" i="7" s="1"/>
  <c r="N369" i="7"/>
  <c r="P369" i="7" s="1"/>
  <c r="N370" i="7"/>
  <c r="P370" i="7" s="1"/>
  <c r="N371" i="7"/>
  <c r="P371" i="7" s="1"/>
  <c r="N372" i="7"/>
  <c r="P372" i="7" s="1"/>
  <c r="N373" i="7"/>
  <c r="P373" i="7" s="1"/>
  <c r="N374" i="7"/>
  <c r="P374" i="7" s="1"/>
  <c r="N375" i="7"/>
  <c r="P375" i="7" s="1"/>
  <c r="N376" i="7"/>
  <c r="P376" i="7" s="1"/>
  <c r="N377" i="7"/>
  <c r="P377" i="7" s="1"/>
  <c r="N378" i="7"/>
  <c r="P378" i="7" s="1"/>
  <c r="N379" i="7"/>
  <c r="P379" i="7" s="1"/>
  <c r="N380" i="7"/>
  <c r="P380" i="7" s="1"/>
  <c r="N381" i="7"/>
  <c r="P381" i="7" s="1"/>
  <c r="N382" i="7"/>
  <c r="P382" i="7" s="1"/>
  <c r="N383" i="7"/>
  <c r="P383" i="7" s="1"/>
  <c r="N384" i="7"/>
  <c r="P384" i="7" s="1"/>
  <c r="N385" i="7"/>
  <c r="P385" i="7" s="1"/>
  <c r="N386" i="7"/>
  <c r="P386" i="7" s="1"/>
  <c r="N387" i="7"/>
  <c r="P387" i="7" s="1"/>
  <c r="N388" i="7"/>
  <c r="P388" i="7" s="1"/>
  <c r="N389" i="7"/>
  <c r="P389" i="7" s="1"/>
  <c r="N390" i="7"/>
  <c r="P390" i="7" s="1"/>
  <c r="N391" i="7"/>
  <c r="P391" i="7" s="1"/>
  <c r="N392" i="7"/>
  <c r="P392" i="7" s="1"/>
  <c r="N393" i="7"/>
  <c r="P393" i="7" s="1"/>
  <c r="N394" i="7"/>
  <c r="P394" i="7" s="1"/>
  <c r="N395" i="7"/>
  <c r="P395" i="7" s="1"/>
  <c r="N396" i="7"/>
  <c r="P396" i="7" s="1"/>
  <c r="N397" i="7"/>
  <c r="P397" i="7" s="1"/>
  <c r="N398" i="7"/>
  <c r="P398" i="7" s="1"/>
  <c r="N399" i="7"/>
  <c r="P399" i="7" s="1"/>
  <c r="N400" i="7"/>
  <c r="P400" i="7" s="1"/>
  <c r="N401" i="7"/>
  <c r="P401" i="7" s="1"/>
  <c r="N402" i="7"/>
  <c r="P402" i="7" s="1"/>
  <c r="N403" i="7"/>
  <c r="P403" i="7" s="1"/>
  <c r="N404" i="7"/>
  <c r="P404" i="7" s="1"/>
  <c r="N405" i="7"/>
  <c r="P405" i="7" s="1"/>
  <c r="N406" i="7"/>
  <c r="P406" i="7" s="1"/>
  <c r="N407" i="7"/>
  <c r="P407" i="7" s="1"/>
  <c r="N408" i="7"/>
  <c r="P408" i="7" s="1"/>
  <c r="N409" i="7"/>
  <c r="P409" i="7" s="1"/>
  <c r="N410" i="7"/>
  <c r="P410" i="7" s="1"/>
  <c r="N411" i="7"/>
  <c r="P411" i="7" s="1"/>
  <c r="N412" i="7"/>
  <c r="P412" i="7" s="1"/>
  <c r="N413" i="7"/>
  <c r="P413" i="7" s="1"/>
  <c r="N414" i="7"/>
  <c r="P414" i="7" s="1"/>
  <c r="N415" i="7"/>
  <c r="P415" i="7" s="1"/>
  <c r="N416" i="7"/>
  <c r="P416" i="7" s="1"/>
  <c r="N417" i="7"/>
  <c r="P417" i="7" s="1"/>
  <c r="N418" i="7"/>
  <c r="P418" i="7" s="1"/>
  <c r="N419" i="7"/>
  <c r="P419" i="7" s="1"/>
  <c r="N420" i="7"/>
  <c r="P420" i="7" s="1"/>
  <c r="N421" i="7"/>
  <c r="P421" i="7" s="1"/>
  <c r="N422" i="7"/>
  <c r="P422" i="7" s="1"/>
  <c r="N423" i="7"/>
  <c r="P423" i="7" s="1"/>
  <c r="N424" i="7"/>
  <c r="P424" i="7" s="1"/>
  <c r="N425" i="7"/>
  <c r="P425" i="7" s="1"/>
  <c r="N426" i="7"/>
  <c r="P426" i="7" s="1"/>
  <c r="N427" i="7"/>
  <c r="P427" i="7" s="1"/>
  <c r="N428" i="7"/>
  <c r="P428" i="7" s="1"/>
  <c r="N429" i="7"/>
  <c r="P429" i="7" s="1"/>
  <c r="N430" i="7"/>
  <c r="P430" i="7" s="1"/>
  <c r="N431" i="7"/>
  <c r="P431" i="7" s="1"/>
  <c r="N432" i="7"/>
  <c r="P432" i="7" s="1"/>
  <c r="N433" i="7"/>
  <c r="P433" i="7" s="1"/>
  <c r="N434" i="7"/>
  <c r="O434" i="7" s="1"/>
  <c r="N435" i="7"/>
  <c r="P435" i="7" s="1"/>
  <c r="N436" i="7"/>
  <c r="P436" i="7" s="1"/>
  <c r="N437" i="7"/>
  <c r="P437" i="7" s="1"/>
  <c r="N438" i="7"/>
  <c r="P438" i="7" s="1"/>
  <c r="N439" i="7"/>
  <c r="P439" i="7" s="1"/>
  <c r="N440" i="7"/>
  <c r="P440" i="7" s="1"/>
  <c r="N441" i="7"/>
  <c r="P441" i="7" s="1"/>
  <c r="N442" i="7"/>
  <c r="P442" i="7" s="1"/>
  <c r="N443" i="7"/>
  <c r="P443" i="7" s="1"/>
  <c r="N444" i="7"/>
  <c r="P444" i="7" s="1"/>
  <c r="N445" i="7"/>
  <c r="P445" i="7" s="1"/>
  <c r="N446" i="7"/>
  <c r="P446" i="7" s="1"/>
  <c r="N447" i="7"/>
  <c r="P447" i="7" s="1"/>
  <c r="N448" i="7"/>
  <c r="P448" i="7" s="1"/>
  <c r="N449" i="7"/>
  <c r="P449" i="7" s="1"/>
  <c r="N450" i="7"/>
  <c r="P450" i="7" s="1"/>
  <c r="N451" i="7"/>
  <c r="P451" i="7" s="1"/>
  <c r="N452" i="7"/>
  <c r="P452" i="7" s="1"/>
  <c r="N453" i="7"/>
  <c r="P453" i="7" s="1"/>
  <c r="N454" i="7"/>
  <c r="P454" i="7" s="1"/>
  <c r="N455" i="7"/>
  <c r="P455" i="7" s="1"/>
  <c r="N456" i="7"/>
  <c r="P456" i="7" s="1"/>
  <c r="N457" i="7"/>
  <c r="P457" i="7" s="1"/>
  <c r="N458" i="7"/>
  <c r="P458" i="7" s="1"/>
  <c r="N459" i="7"/>
  <c r="P459" i="7" s="1"/>
  <c r="N460" i="7"/>
  <c r="P460" i="7" s="1"/>
  <c r="N461" i="7"/>
  <c r="P461" i="7" s="1"/>
  <c r="N462" i="7"/>
  <c r="P462" i="7" s="1"/>
  <c r="N463" i="7"/>
  <c r="P463" i="7" s="1"/>
  <c r="N464" i="7"/>
  <c r="P464" i="7" s="1"/>
  <c r="N465" i="7"/>
  <c r="P465" i="7" s="1"/>
  <c r="N466" i="7"/>
  <c r="P466" i="7" s="1"/>
  <c r="N467" i="7"/>
  <c r="P467" i="7" s="1"/>
  <c r="N6" i="7"/>
  <c r="N7" i="7"/>
  <c r="N8" i="7"/>
  <c r="O8" i="7" s="1"/>
  <c r="M109" i="22"/>
  <c r="M110" i="22"/>
  <c r="M111" i="22"/>
  <c r="M112" i="22"/>
  <c r="M113" i="22"/>
  <c r="M114" i="22"/>
  <c r="M115" i="22"/>
  <c r="M116" i="22"/>
  <c r="M117" i="22"/>
  <c r="M118" i="22"/>
  <c r="M119" i="22"/>
  <c r="M120" i="22"/>
  <c r="M121" i="22"/>
  <c r="M122" i="22"/>
  <c r="M123" i="22"/>
  <c r="M124" i="22"/>
  <c r="M125" i="22"/>
  <c r="M126" i="22"/>
  <c r="M127" i="22"/>
  <c r="A119" i="22"/>
  <c r="A120" i="22"/>
  <c r="A121" i="22"/>
  <c r="A122" i="22"/>
  <c r="A123" i="22"/>
  <c r="A124" i="22"/>
  <c r="A125" i="22"/>
  <c r="A126" i="22"/>
  <c r="A127" i="22"/>
  <c r="F122" i="22"/>
  <c r="F123" i="22"/>
  <c r="F124" i="22"/>
  <c r="F125" i="22"/>
  <c r="F126" i="22"/>
  <c r="F127" i="22"/>
  <c r="F121" i="22"/>
  <c r="F120" i="22"/>
  <c r="F119" i="22"/>
  <c r="F118" i="22"/>
  <c r="A118" i="22"/>
  <c r="A117" i="22"/>
  <c r="F117" i="22"/>
  <c r="O454" i="7" l="1"/>
  <c r="O422" i="7"/>
  <c r="O390" i="7"/>
  <c r="O334" i="7"/>
  <c r="P434" i="7"/>
  <c r="O450" i="7"/>
  <c r="O418" i="7"/>
  <c r="O386" i="7"/>
  <c r="O186" i="7"/>
  <c r="O438" i="7"/>
  <c r="O406" i="7"/>
  <c r="O358" i="7"/>
  <c r="O138" i="7"/>
  <c r="O466" i="7"/>
  <c r="O402" i="7"/>
  <c r="O354" i="7"/>
  <c r="O24" i="7"/>
  <c r="O374" i="7"/>
  <c r="O370" i="7"/>
  <c r="X509" i="8"/>
  <c r="X493" i="8"/>
  <c r="X481" i="8"/>
  <c r="X519" i="8"/>
  <c r="X515" i="8"/>
  <c r="X511" i="8"/>
  <c r="X507" i="8"/>
  <c r="X503" i="8"/>
  <c r="X499" i="8"/>
  <c r="X495" i="8"/>
  <c r="X491" i="8"/>
  <c r="X487" i="8"/>
  <c r="X483" i="8"/>
  <c r="X479" i="8"/>
  <c r="X475" i="8"/>
  <c r="X471" i="8"/>
  <c r="X467" i="8"/>
  <c r="X463" i="8"/>
  <c r="X459" i="8"/>
  <c r="X455" i="8"/>
  <c r="X451" i="8"/>
  <c r="X447" i="8"/>
  <c r="X443" i="8"/>
  <c r="X439" i="8"/>
  <c r="X435" i="8"/>
  <c r="X431" i="8"/>
  <c r="X427" i="8"/>
  <c r="X423" i="8"/>
  <c r="X419" i="8"/>
  <c r="X415" i="8"/>
  <c r="X411" i="8"/>
  <c r="X407" i="8"/>
  <c r="X403" i="8"/>
  <c r="X399" i="8"/>
  <c r="X395" i="8"/>
  <c r="X391" i="8"/>
  <c r="X387" i="8"/>
  <c r="X383" i="8"/>
  <c r="X379" i="8"/>
  <c r="X375" i="8"/>
  <c r="X371" i="8"/>
  <c r="X367" i="8"/>
  <c r="X363" i="8"/>
  <c r="X359" i="8"/>
  <c r="X355" i="8"/>
  <c r="X351" i="8"/>
  <c r="X347" i="8"/>
  <c r="X343" i="8"/>
  <c r="X339" i="8"/>
  <c r="X335" i="8"/>
  <c r="X331" i="8"/>
  <c r="X327" i="8"/>
  <c r="X323" i="8"/>
  <c r="X319" i="8"/>
  <c r="X315" i="8"/>
  <c r="X311" i="8"/>
  <c r="X307" i="8"/>
  <c r="X303" i="8"/>
  <c r="X299" i="8"/>
  <c r="X295" i="8"/>
  <c r="X291" i="8"/>
  <c r="X287" i="8"/>
  <c r="X283" i="8"/>
  <c r="X279" i="8"/>
  <c r="X275" i="8"/>
  <c r="X271" i="8"/>
  <c r="X267" i="8"/>
  <c r="X263" i="8"/>
  <c r="X259" i="8"/>
  <c r="X255" i="8"/>
  <c r="X251" i="8"/>
  <c r="X247" i="8"/>
  <c r="X243" i="8"/>
  <c r="X239" i="8"/>
  <c r="X235" i="8"/>
  <c r="X231" i="8"/>
  <c r="X227" i="8"/>
  <c r="X223" i="8"/>
  <c r="X219" i="8"/>
  <c r="X215" i="8"/>
  <c r="X211" i="8"/>
  <c r="X207" i="8"/>
  <c r="X203" i="8"/>
  <c r="X199" i="8"/>
  <c r="X195" i="8"/>
  <c r="X191" i="8"/>
  <c r="X187" i="8"/>
  <c r="X183" i="8"/>
  <c r="X179" i="8"/>
  <c r="X175" i="8"/>
  <c r="X171" i="8"/>
  <c r="X167" i="8"/>
  <c r="X163" i="8"/>
  <c r="X159" i="8"/>
  <c r="X155" i="8"/>
  <c r="X151" i="8"/>
  <c r="X147" i="8"/>
  <c r="X143" i="8"/>
  <c r="X139" i="8"/>
  <c r="X135" i="8"/>
  <c r="X131" i="8"/>
  <c r="X127" i="8"/>
  <c r="X123" i="8"/>
  <c r="X119" i="8"/>
  <c r="X115" i="8"/>
  <c r="X111" i="8"/>
  <c r="X107" i="8"/>
  <c r="X103" i="8"/>
  <c r="X99" i="8"/>
  <c r="X95" i="8"/>
  <c r="X91" i="8"/>
  <c r="X87" i="8"/>
  <c r="X83" i="8"/>
  <c r="X79" i="8"/>
  <c r="X75" i="8"/>
  <c r="X71" i="8"/>
  <c r="X67" i="8"/>
  <c r="X63" i="8"/>
  <c r="X59" i="8"/>
  <c r="X55" i="8"/>
  <c r="X51" i="8"/>
  <c r="X47" i="8"/>
  <c r="X43" i="8"/>
  <c r="X39" i="8"/>
  <c r="X35" i="8"/>
  <c r="X31" i="8"/>
  <c r="X27" i="8"/>
  <c r="X23" i="8"/>
  <c r="X19" i="8"/>
  <c r="X15" i="8"/>
  <c r="X11" i="8"/>
  <c r="X7" i="8"/>
  <c r="X513" i="8"/>
  <c r="X497" i="8"/>
  <c r="X485" i="8"/>
  <c r="X518" i="8"/>
  <c r="X514" i="8"/>
  <c r="X510" i="8"/>
  <c r="X506" i="8"/>
  <c r="X502" i="8"/>
  <c r="X498" i="8"/>
  <c r="X494" i="8"/>
  <c r="X490" i="8"/>
  <c r="X486" i="8"/>
  <c r="X482" i="8"/>
  <c r="X478" i="8"/>
  <c r="X474" i="8"/>
  <c r="X470" i="8"/>
  <c r="X466" i="8"/>
  <c r="X462" i="8"/>
  <c r="X458" i="8"/>
  <c r="X454" i="8"/>
  <c r="X450" i="8"/>
  <c r="X446" i="8"/>
  <c r="X442" i="8"/>
  <c r="X438" i="8"/>
  <c r="X434" i="8"/>
  <c r="X430" i="8"/>
  <c r="X426" i="8"/>
  <c r="X422" i="8"/>
  <c r="X418" i="8"/>
  <c r="X414" i="8"/>
  <c r="X410" i="8"/>
  <c r="X406" i="8"/>
  <c r="X402" i="8"/>
  <c r="X398" i="8"/>
  <c r="X394" i="8"/>
  <c r="X390" i="8"/>
  <c r="X386" i="8"/>
  <c r="X382" i="8"/>
  <c r="X378" i="8"/>
  <c r="X374" i="8"/>
  <c r="X370" i="8"/>
  <c r="X366" i="8"/>
  <c r="X362" i="8"/>
  <c r="X358" i="8"/>
  <c r="X354" i="8"/>
  <c r="X350" i="8"/>
  <c r="X346" i="8"/>
  <c r="X342" i="8"/>
  <c r="X338" i="8"/>
  <c r="X334" i="8"/>
  <c r="X330" i="8"/>
  <c r="X326" i="8"/>
  <c r="X322" i="8"/>
  <c r="X318" i="8"/>
  <c r="X314" i="8"/>
  <c r="X310" i="8"/>
  <c r="X306" i="8"/>
  <c r="X302" i="8"/>
  <c r="X298" i="8"/>
  <c r="X294" i="8"/>
  <c r="X290" i="8"/>
  <c r="X286" i="8"/>
  <c r="X282" i="8"/>
  <c r="X278" i="8"/>
  <c r="X274" i="8"/>
  <c r="X270" i="8"/>
  <c r="X266" i="8"/>
  <c r="X262" i="8"/>
  <c r="X258" i="8"/>
  <c r="X254" i="8"/>
  <c r="X250" i="8"/>
  <c r="X246" i="8"/>
  <c r="X242" i="8"/>
  <c r="X238" i="8"/>
  <c r="X234" i="8"/>
  <c r="X230" i="8"/>
  <c r="X226" i="8"/>
  <c r="X222" i="8"/>
  <c r="X218" i="8"/>
  <c r="X214" i="8"/>
  <c r="X210" i="8"/>
  <c r="X206" i="8"/>
  <c r="X202" i="8"/>
  <c r="X198" i="8"/>
  <c r="X194" i="8"/>
  <c r="X190" i="8"/>
  <c r="X186" i="8"/>
  <c r="X182" i="8"/>
  <c r="X178" i="8"/>
  <c r="X174" i="8"/>
  <c r="X170" i="8"/>
  <c r="X166" i="8"/>
  <c r="X162" i="8"/>
  <c r="X158" i="8"/>
  <c r="X154" i="8"/>
  <c r="X150" i="8"/>
  <c r="X146" i="8"/>
  <c r="X142" i="8"/>
  <c r="X138" i="8"/>
  <c r="X134" i="8"/>
  <c r="X130" i="8"/>
  <c r="X126" i="8"/>
  <c r="X122" i="8"/>
  <c r="X118" i="8"/>
  <c r="X114" i="8"/>
  <c r="X110" i="8"/>
  <c r="X106" i="8"/>
  <c r="X102" i="8"/>
  <c r="X98" i="8"/>
  <c r="X94" i="8"/>
  <c r="X90" i="8"/>
  <c r="X86" i="8"/>
  <c r="X82" i="8"/>
  <c r="X78" i="8"/>
  <c r="X74" i="8"/>
  <c r="X70" i="8"/>
  <c r="X66" i="8"/>
  <c r="X62" i="8"/>
  <c r="X58" i="8"/>
  <c r="X54" i="8"/>
  <c r="X50" i="8"/>
  <c r="X46" i="8"/>
  <c r="X42" i="8"/>
  <c r="X38" i="8"/>
  <c r="X34" i="8"/>
  <c r="X30" i="8"/>
  <c r="X26" i="8"/>
  <c r="X22" i="8"/>
  <c r="X18" i="8"/>
  <c r="X14" i="8"/>
  <c r="X10" i="8"/>
  <c r="X6" i="8"/>
  <c r="X517" i="8"/>
  <c r="X501" i="8"/>
  <c r="X489" i="8"/>
  <c r="X473" i="8"/>
  <c r="X469" i="8"/>
  <c r="X465" i="8"/>
  <c r="X461" i="8"/>
  <c r="X457" i="8"/>
  <c r="X453" i="8"/>
  <c r="X449" i="8"/>
  <c r="X445" i="8"/>
  <c r="X441" i="8"/>
  <c r="X437" i="8"/>
  <c r="X433" i="8"/>
  <c r="X429" i="8"/>
  <c r="X425" i="8"/>
  <c r="X421" i="8"/>
  <c r="X417" i="8"/>
  <c r="X413" i="8"/>
  <c r="X409" i="8"/>
  <c r="X405" i="8"/>
  <c r="X401" i="8"/>
  <c r="X397" i="8"/>
  <c r="X393" i="8"/>
  <c r="X389" i="8"/>
  <c r="X385" i="8"/>
  <c r="X381" i="8"/>
  <c r="X377" i="8"/>
  <c r="X373" i="8"/>
  <c r="X369" i="8"/>
  <c r="X365" i="8"/>
  <c r="X361" i="8"/>
  <c r="X357" i="8"/>
  <c r="X353" i="8"/>
  <c r="X349" i="8"/>
  <c r="X345" i="8"/>
  <c r="X341" i="8"/>
  <c r="X337" i="8"/>
  <c r="X333" i="8"/>
  <c r="X329" i="8"/>
  <c r="X325" i="8"/>
  <c r="X321" i="8"/>
  <c r="X317" i="8"/>
  <c r="X313" i="8"/>
  <c r="X309" i="8"/>
  <c r="X305" i="8"/>
  <c r="X301" i="8"/>
  <c r="X297" i="8"/>
  <c r="X293" i="8"/>
  <c r="X289" i="8"/>
  <c r="X285" i="8"/>
  <c r="X281" i="8"/>
  <c r="X277" i="8"/>
  <c r="X273" i="8"/>
  <c r="X269" i="8"/>
  <c r="X265" i="8"/>
  <c r="X261" i="8"/>
  <c r="X257" i="8"/>
  <c r="X253" i="8"/>
  <c r="X249" i="8"/>
  <c r="X245" i="8"/>
  <c r="X241" i="8"/>
  <c r="X237" i="8"/>
  <c r="X233" i="8"/>
  <c r="X229" i="8"/>
  <c r="X225" i="8"/>
  <c r="X221" i="8"/>
  <c r="X217" i="8"/>
  <c r="X213" i="8"/>
  <c r="X209" i="8"/>
  <c r="X205" i="8"/>
  <c r="X201" i="8"/>
  <c r="X197" i="8"/>
  <c r="X193" i="8"/>
  <c r="X189" i="8"/>
  <c r="X185" i="8"/>
  <c r="X181" i="8"/>
  <c r="X177" i="8"/>
  <c r="X173" i="8"/>
  <c r="X169" i="8"/>
  <c r="X165" i="8"/>
  <c r="X161" i="8"/>
  <c r="X157" i="8"/>
  <c r="X153" i="8"/>
  <c r="X149" i="8"/>
  <c r="X145" i="8"/>
  <c r="X141" i="8"/>
  <c r="X137" i="8"/>
  <c r="X133" i="8"/>
  <c r="X129" i="8"/>
  <c r="X125" i="8"/>
  <c r="X121" i="8"/>
  <c r="X117" i="8"/>
  <c r="X113" i="8"/>
  <c r="X109" i="8"/>
  <c r="X105" i="8"/>
  <c r="X101" i="8"/>
  <c r="X97" i="8"/>
  <c r="X93" i="8"/>
  <c r="X89" i="8"/>
  <c r="X85" i="8"/>
  <c r="X81" i="8"/>
  <c r="X77" i="8"/>
  <c r="X73" i="8"/>
  <c r="X69" i="8"/>
  <c r="X65" i="8"/>
  <c r="X61" i="8"/>
  <c r="X57" i="8"/>
  <c r="X53" i="8"/>
  <c r="X49" i="8"/>
  <c r="X45" i="8"/>
  <c r="X41" i="8"/>
  <c r="X37" i="8"/>
  <c r="X33" i="8"/>
  <c r="X29" i="8"/>
  <c r="X25" i="8"/>
  <c r="X21" i="8"/>
  <c r="X17" i="8"/>
  <c r="X13" i="8"/>
  <c r="X9" i="8"/>
  <c r="X505" i="8"/>
  <c r="X477" i="8"/>
  <c r="X520" i="8"/>
  <c r="X516" i="8"/>
  <c r="X512" i="8"/>
  <c r="X508" i="8"/>
  <c r="X504" i="8"/>
  <c r="X500" i="8"/>
  <c r="X496" i="8"/>
  <c r="X492" i="8"/>
  <c r="X488" i="8"/>
  <c r="X484" i="8"/>
  <c r="X480" i="8"/>
  <c r="X476" i="8"/>
  <c r="X472" i="8"/>
  <c r="X468" i="8"/>
  <c r="X464" i="8"/>
  <c r="X460" i="8"/>
  <c r="X456" i="8"/>
  <c r="X452" i="8"/>
  <c r="X448" i="8"/>
  <c r="X444" i="8"/>
  <c r="X440" i="8"/>
  <c r="X436" i="8"/>
  <c r="X432" i="8"/>
  <c r="X428" i="8"/>
  <c r="X424" i="8"/>
  <c r="X420" i="8"/>
  <c r="X416" i="8"/>
  <c r="X412" i="8"/>
  <c r="X408" i="8"/>
  <c r="X404" i="8"/>
  <c r="X400" i="8"/>
  <c r="X396" i="8"/>
  <c r="X392" i="8"/>
  <c r="X388" i="8"/>
  <c r="X384" i="8"/>
  <c r="X380" i="8"/>
  <c r="X376" i="8"/>
  <c r="X372" i="8"/>
  <c r="X368" i="8"/>
  <c r="X364" i="8"/>
  <c r="X360" i="8"/>
  <c r="X356" i="8"/>
  <c r="X352" i="8"/>
  <c r="X348" i="8"/>
  <c r="X344" i="8"/>
  <c r="X340" i="8"/>
  <c r="X336" i="8"/>
  <c r="X332" i="8"/>
  <c r="X328" i="8"/>
  <c r="X324" i="8"/>
  <c r="X320" i="8"/>
  <c r="X316" i="8"/>
  <c r="X312" i="8"/>
  <c r="X308" i="8"/>
  <c r="X304" i="8"/>
  <c r="X300" i="8"/>
  <c r="X296" i="8"/>
  <c r="X292" i="8"/>
  <c r="X288" i="8"/>
  <c r="X284" i="8"/>
  <c r="X280" i="8"/>
  <c r="X276" i="8"/>
  <c r="X272" i="8"/>
  <c r="X268" i="8"/>
  <c r="X264" i="8"/>
  <c r="X260" i="8"/>
  <c r="X256" i="8"/>
  <c r="X252" i="8"/>
  <c r="X248" i="8"/>
  <c r="X244" i="8"/>
  <c r="X240" i="8"/>
  <c r="X236" i="8"/>
  <c r="X232" i="8"/>
  <c r="X228" i="8"/>
  <c r="X224" i="8"/>
  <c r="X220" i="8"/>
  <c r="X216" i="8"/>
  <c r="X212" i="8"/>
  <c r="X208" i="8"/>
  <c r="X204" i="8"/>
  <c r="X200" i="8"/>
  <c r="X196" i="8"/>
  <c r="X192" i="8"/>
  <c r="X188" i="8"/>
  <c r="X184" i="8"/>
  <c r="X180" i="8"/>
  <c r="X176" i="8"/>
  <c r="X172" i="8"/>
  <c r="X168" i="8"/>
  <c r="X164" i="8"/>
  <c r="X160" i="8"/>
  <c r="X156" i="8"/>
  <c r="X152" i="8"/>
  <c r="X148" i="8"/>
  <c r="X144" i="8"/>
  <c r="X140" i="8"/>
  <c r="X136" i="8"/>
  <c r="X132" i="8"/>
  <c r="X128" i="8"/>
  <c r="X124" i="8"/>
  <c r="X120" i="8"/>
  <c r="X116" i="8"/>
  <c r="X112" i="8"/>
  <c r="X108" i="8"/>
  <c r="X104" i="8"/>
  <c r="X100" i="8"/>
  <c r="X96" i="8"/>
  <c r="X92" i="8"/>
  <c r="X88" i="8"/>
  <c r="X84" i="8"/>
  <c r="X80" i="8"/>
  <c r="X76" i="8"/>
  <c r="X72" i="8"/>
  <c r="X68" i="8"/>
  <c r="X64" i="8"/>
  <c r="X60" i="8"/>
  <c r="X56" i="8"/>
  <c r="X52" i="8"/>
  <c r="X48" i="8"/>
  <c r="X44" i="8"/>
  <c r="X40" i="8"/>
  <c r="X36" i="8"/>
  <c r="X32" i="8"/>
  <c r="X28" i="8"/>
  <c r="X24" i="8"/>
  <c r="X20" i="8"/>
  <c r="X16" i="8"/>
  <c r="X12" i="8"/>
  <c r="X8" i="8"/>
  <c r="O120" i="7"/>
  <c r="O462" i="7"/>
  <c r="O446" i="7"/>
  <c r="O430" i="7"/>
  <c r="O414" i="7"/>
  <c r="O398" i="7"/>
  <c r="O382" i="7"/>
  <c r="O366" i="7"/>
  <c r="O350" i="7"/>
  <c r="O170" i="7"/>
  <c r="O88" i="7"/>
  <c r="O458" i="7"/>
  <c r="O442" i="7"/>
  <c r="O426" i="7"/>
  <c r="O410" i="7"/>
  <c r="O394" i="7"/>
  <c r="O378" i="7"/>
  <c r="O362" i="7"/>
  <c r="O345" i="7"/>
  <c r="O154" i="7"/>
  <c r="O56" i="7"/>
  <c r="P264" i="7"/>
  <c r="P195" i="7"/>
  <c r="O195" i="7"/>
  <c r="P187" i="7"/>
  <c r="O187" i="7"/>
  <c r="P175" i="7"/>
  <c r="O175" i="7"/>
  <c r="P167" i="7"/>
  <c r="O167" i="7"/>
  <c r="P159" i="7"/>
  <c r="O159" i="7"/>
  <c r="P151" i="7"/>
  <c r="O151" i="7"/>
  <c r="P143" i="7"/>
  <c r="O143" i="7"/>
  <c r="P135" i="7"/>
  <c r="O135" i="7"/>
  <c r="P127" i="7"/>
  <c r="O127" i="7"/>
  <c r="P115" i="7"/>
  <c r="O115" i="7"/>
  <c r="P103" i="7"/>
  <c r="O103" i="7"/>
  <c r="P95" i="7"/>
  <c r="O95" i="7"/>
  <c r="P87" i="7"/>
  <c r="O87" i="7"/>
  <c r="P79" i="7"/>
  <c r="O79" i="7"/>
  <c r="P71" i="7"/>
  <c r="O71" i="7"/>
  <c r="P63" i="7"/>
  <c r="O63" i="7"/>
  <c r="P55" i="7"/>
  <c r="O55" i="7"/>
  <c r="P47" i="7"/>
  <c r="O47" i="7"/>
  <c r="P39" i="7"/>
  <c r="O39" i="7"/>
  <c r="P35" i="7"/>
  <c r="O35" i="7"/>
  <c r="P23" i="7"/>
  <c r="O23" i="7"/>
  <c r="P15" i="7"/>
  <c r="O15" i="7"/>
  <c r="O339" i="7"/>
  <c r="O319" i="7"/>
  <c r="O287" i="7"/>
  <c r="O263" i="7"/>
  <c r="O239" i="7"/>
  <c r="O207" i="7"/>
  <c r="P122" i="7"/>
  <c r="O122" i="7"/>
  <c r="P118" i="7"/>
  <c r="O118" i="7"/>
  <c r="P114" i="7"/>
  <c r="O114" i="7"/>
  <c r="P110" i="7"/>
  <c r="O110" i="7"/>
  <c r="P106" i="7"/>
  <c r="O106" i="7"/>
  <c r="P102" i="7"/>
  <c r="O102" i="7"/>
  <c r="P98" i="7"/>
  <c r="O98" i="7"/>
  <c r="P94" i="7"/>
  <c r="O94" i="7"/>
  <c r="P90" i="7"/>
  <c r="O90" i="7"/>
  <c r="P86" i="7"/>
  <c r="O86" i="7"/>
  <c r="P82" i="7"/>
  <c r="O82" i="7"/>
  <c r="P78" i="7"/>
  <c r="O78" i="7"/>
  <c r="P74" i="7"/>
  <c r="O74" i="7"/>
  <c r="P70" i="7"/>
  <c r="O70" i="7"/>
  <c r="P66" i="7"/>
  <c r="O66" i="7"/>
  <c r="P62" i="7"/>
  <c r="O62" i="7"/>
  <c r="P58" i="7"/>
  <c r="O58" i="7"/>
  <c r="P54" i="7"/>
  <c r="O54" i="7"/>
  <c r="P50" i="7"/>
  <c r="O50" i="7"/>
  <c r="P46" i="7"/>
  <c r="O46" i="7"/>
  <c r="P42" i="7"/>
  <c r="O42" i="7"/>
  <c r="P38" i="7"/>
  <c r="O38" i="7"/>
  <c r="P34" i="7"/>
  <c r="O34" i="7"/>
  <c r="P30" i="7"/>
  <c r="O30" i="7"/>
  <c r="P26" i="7"/>
  <c r="O26" i="7"/>
  <c r="P22" i="7"/>
  <c r="O22" i="7"/>
  <c r="P18" i="7"/>
  <c r="O18" i="7"/>
  <c r="P14" i="7"/>
  <c r="O14" i="7"/>
  <c r="P10" i="7"/>
  <c r="O10" i="7"/>
  <c r="O465" i="7"/>
  <c r="O461" i="7"/>
  <c r="O457" i="7"/>
  <c r="O453" i="7"/>
  <c r="O449" i="7"/>
  <c r="O445" i="7"/>
  <c r="O441" i="7"/>
  <c r="O437" i="7"/>
  <c r="O433" i="7"/>
  <c r="O429" i="7"/>
  <c r="O425" i="7"/>
  <c r="O421" i="7"/>
  <c r="O417" i="7"/>
  <c r="O413" i="7"/>
  <c r="O409" i="7"/>
  <c r="O405" i="7"/>
  <c r="O401" i="7"/>
  <c r="O397" i="7"/>
  <c r="O393" i="7"/>
  <c r="O389" i="7"/>
  <c r="O385" i="7"/>
  <c r="O381" i="7"/>
  <c r="O377" i="7"/>
  <c r="O373" i="7"/>
  <c r="O369" i="7"/>
  <c r="O365" i="7"/>
  <c r="O361" i="7"/>
  <c r="O357" i="7"/>
  <c r="O353" i="7"/>
  <c r="O349" i="7"/>
  <c r="O343" i="7"/>
  <c r="O338" i="7"/>
  <c r="O333" i="7"/>
  <c r="O326" i="7"/>
  <c r="O318" i="7"/>
  <c r="O310" i="7"/>
  <c r="O302" i="7"/>
  <c r="O294" i="7"/>
  <c r="O286" i="7"/>
  <c r="O278" i="7"/>
  <c r="O270" i="7"/>
  <c r="O262" i="7"/>
  <c r="O254" i="7"/>
  <c r="O246" i="7"/>
  <c r="O238" i="7"/>
  <c r="O230" i="7"/>
  <c r="O222" i="7"/>
  <c r="O214" i="7"/>
  <c r="O206" i="7"/>
  <c r="O198" i="7"/>
  <c r="O182" i="7"/>
  <c r="O166" i="7"/>
  <c r="O150" i="7"/>
  <c r="O134" i="7"/>
  <c r="O112" i="7"/>
  <c r="O80" i="7"/>
  <c r="O48" i="7"/>
  <c r="O16" i="7"/>
  <c r="P200" i="7"/>
  <c r="P191" i="7"/>
  <c r="O191" i="7"/>
  <c r="P183" i="7"/>
  <c r="O183" i="7"/>
  <c r="P179" i="7"/>
  <c r="O179" i="7"/>
  <c r="P171" i="7"/>
  <c r="O171" i="7"/>
  <c r="P163" i="7"/>
  <c r="O163" i="7"/>
  <c r="P155" i="7"/>
  <c r="O155" i="7"/>
  <c r="P147" i="7"/>
  <c r="O147" i="7"/>
  <c r="P139" i="7"/>
  <c r="O139" i="7"/>
  <c r="P131" i="7"/>
  <c r="O131" i="7"/>
  <c r="P123" i="7"/>
  <c r="O123" i="7"/>
  <c r="P119" i="7"/>
  <c r="O119" i="7"/>
  <c r="P111" i="7"/>
  <c r="O111" i="7"/>
  <c r="P107" i="7"/>
  <c r="O107" i="7"/>
  <c r="P99" i="7"/>
  <c r="O99" i="7"/>
  <c r="P91" i="7"/>
  <c r="O91" i="7"/>
  <c r="P83" i="7"/>
  <c r="O83" i="7"/>
  <c r="P75" i="7"/>
  <c r="O75" i="7"/>
  <c r="P67" i="7"/>
  <c r="O67" i="7"/>
  <c r="P59" i="7"/>
  <c r="O59" i="7"/>
  <c r="P51" i="7"/>
  <c r="O51" i="7"/>
  <c r="P43" i="7"/>
  <c r="O43" i="7"/>
  <c r="P31" i="7"/>
  <c r="O31" i="7"/>
  <c r="P27" i="7"/>
  <c r="O27" i="7"/>
  <c r="P19" i="7"/>
  <c r="O19" i="7"/>
  <c r="P11" i="7"/>
  <c r="O11" i="7"/>
  <c r="O311" i="7"/>
  <c r="O295" i="7"/>
  <c r="O271" i="7"/>
  <c r="O247" i="7"/>
  <c r="O223" i="7"/>
  <c r="P329" i="7"/>
  <c r="O329" i="7"/>
  <c r="P325" i="7"/>
  <c r="O325" i="7"/>
  <c r="P321" i="7"/>
  <c r="O321" i="7"/>
  <c r="P317" i="7"/>
  <c r="O317" i="7"/>
  <c r="P313" i="7"/>
  <c r="O313" i="7"/>
  <c r="P309" i="7"/>
  <c r="O309" i="7"/>
  <c r="P305" i="7"/>
  <c r="O305" i="7"/>
  <c r="P301" i="7"/>
  <c r="O301" i="7"/>
  <c r="P297" i="7"/>
  <c r="O297" i="7"/>
  <c r="P293" i="7"/>
  <c r="O293" i="7"/>
  <c r="P289" i="7"/>
  <c r="O289" i="7"/>
  <c r="P285" i="7"/>
  <c r="O285" i="7"/>
  <c r="P281" i="7"/>
  <c r="O281" i="7"/>
  <c r="P277" i="7"/>
  <c r="O277" i="7"/>
  <c r="P273" i="7"/>
  <c r="O273" i="7"/>
  <c r="P269" i="7"/>
  <c r="O269" i="7"/>
  <c r="P265" i="7"/>
  <c r="O265" i="7"/>
  <c r="P261" i="7"/>
  <c r="O261" i="7"/>
  <c r="P257" i="7"/>
  <c r="O257" i="7"/>
  <c r="P253" i="7"/>
  <c r="O253" i="7"/>
  <c r="P249" i="7"/>
  <c r="O249" i="7"/>
  <c r="P245" i="7"/>
  <c r="O245" i="7"/>
  <c r="P241" i="7"/>
  <c r="O241" i="7"/>
  <c r="P237" i="7"/>
  <c r="O237" i="7"/>
  <c r="P233" i="7"/>
  <c r="O233" i="7"/>
  <c r="P229" i="7"/>
  <c r="O229" i="7"/>
  <c r="P225" i="7"/>
  <c r="O225" i="7"/>
  <c r="P221" i="7"/>
  <c r="O221" i="7"/>
  <c r="P217" i="7"/>
  <c r="O217" i="7"/>
  <c r="P213" i="7"/>
  <c r="O213" i="7"/>
  <c r="P209" i="7"/>
  <c r="O209" i="7"/>
  <c r="P205" i="7"/>
  <c r="O205" i="7"/>
  <c r="P201" i="7"/>
  <c r="O201" i="7"/>
  <c r="P197" i="7"/>
  <c r="O197" i="7"/>
  <c r="P193" i="7"/>
  <c r="O193" i="7"/>
  <c r="P189" i="7"/>
  <c r="O189" i="7"/>
  <c r="P185" i="7"/>
  <c r="O185" i="7"/>
  <c r="P181" i="7"/>
  <c r="O181" i="7"/>
  <c r="P177" i="7"/>
  <c r="O177" i="7"/>
  <c r="P173" i="7"/>
  <c r="O173" i="7"/>
  <c r="P169" i="7"/>
  <c r="O169" i="7"/>
  <c r="P165" i="7"/>
  <c r="O165" i="7"/>
  <c r="P161" i="7"/>
  <c r="O161" i="7"/>
  <c r="P157" i="7"/>
  <c r="O157" i="7"/>
  <c r="P153" i="7"/>
  <c r="O153" i="7"/>
  <c r="P149" i="7"/>
  <c r="O149" i="7"/>
  <c r="P145" i="7"/>
  <c r="O145" i="7"/>
  <c r="P141" i="7"/>
  <c r="O141" i="7"/>
  <c r="P137" i="7"/>
  <c r="O137" i="7"/>
  <c r="P133" i="7"/>
  <c r="O133" i="7"/>
  <c r="P129" i="7"/>
  <c r="O129" i="7"/>
  <c r="P125" i="7"/>
  <c r="O125" i="7"/>
  <c r="P121" i="7"/>
  <c r="O121" i="7"/>
  <c r="P117" i="7"/>
  <c r="O117" i="7"/>
  <c r="P113" i="7"/>
  <c r="O113" i="7"/>
  <c r="P109" i="7"/>
  <c r="O109" i="7"/>
  <c r="P105" i="7"/>
  <c r="O105" i="7"/>
  <c r="P101" i="7"/>
  <c r="O101" i="7"/>
  <c r="P97" i="7"/>
  <c r="O97" i="7"/>
  <c r="P93" i="7"/>
  <c r="O93" i="7"/>
  <c r="P89" i="7"/>
  <c r="O89" i="7"/>
  <c r="P85" i="7"/>
  <c r="O85" i="7"/>
  <c r="P81" i="7"/>
  <c r="O81" i="7"/>
  <c r="P77" i="7"/>
  <c r="O77" i="7"/>
  <c r="P73" i="7"/>
  <c r="O73" i="7"/>
  <c r="P69" i="7"/>
  <c r="O69" i="7"/>
  <c r="P65" i="7"/>
  <c r="O65" i="7"/>
  <c r="P61" i="7"/>
  <c r="O61" i="7"/>
  <c r="P57" i="7"/>
  <c r="O57" i="7"/>
  <c r="P53" i="7"/>
  <c r="O53" i="7"/>
  <c r="P49" i="7"/>
  <c r="O49" i="7"/>
  <c r="P45" i="7"/>
  <c r="O45" i="7"/>
  <c r="P41" i="7"/>
  <c r="O41" i="7"/>
  <c r="P37" i="7"/>
  <c r="O37" i="7"/>
  <c r="P33" i="7"/>
  <c r="O33" i="7"/>
  <c r="P29" i="7"/>
  <c r="O29" i="7"/>
  <c r="P25" i="7"/>
  <c r="O25" i="7"/>
  <c r="P21" i="7"/>
  <c r="O21" i="7"/>
  <c r="P17" i="7"/>
  <c r="O17" i="7"/>
  <c r="P13" i="7"/>
  <c r="O13" i="7"/>
  <c r="P9" i="7"/>
  <c r="O9" i="7"/>
  <c r="O464" i="7"/>
  <c r="O460" i="7"/>
  <c r="O456" i="7"/>
  <c r="O452" i="7"/>
  <c r="O448" i="7"/>
  <c r="O444" i="7"/>
  <c r="O440" i="7"/>
  <c r="O436" i="7"/>
  <c r="O432" i="7"/>
  <c r="O428" i="7"/>
  <c r="O424" i="7"/>
  <c r="O420" i="7"/>
  <c r="O416" i="7"/>
  <c r="O412" i="7"/>
  <c r="O408" i="7"/>
  <c r="O404" i="7"/>
  <c r="O400" i="7"/>
  <c r="O396" i="7"/>
  <c r="O392" i="7"/>
  <c r="O388" i="7"/>
  <c r="O384" i="7"/>
  <c r="O380" i="7"/>
  <c r="O376" i="7"/>
  <c r="O372" i="7"/>
  <c r="O368" i="7"/>
  <c r="O364" i="7"/>
  <c r="O360" i="7"/>
  <c r="O356" i="7"/>
  <c r="O352" i="7"/>
  <c r="O347" i="7"/>
  <c r="O342" i="7"/>
  <c r="O337" i="7"/>
  <c r="O331" i="7"/>
  <c r="O323" i="7"/>
  <c r="O315" i="7"/>
  <c r="O307" i="7"/>
  <c r="O299" i="7"/>
  <c r="O291" i="7"/>
  <c r="O283" i="7"/>
  <c r="O275" i="7"/>
  <c r="O267" i="7"/>
  <c r="O259" i="7"/>
  <c r="O251" i="7"/>
  <c r="O243" i="7"/>
  <c r="O235" i="7"/>
  <c r="O227" i="7"/>
  <c r="O219" i="7"/>
  <c r="O211" i="7"/>
  <c r="O203" i="7"/>
  <c r="O194" i="7"/>
  <c r="O178" i="7"/>
  <c r="O162" i="7"/>
  <c r="O146" i="7"/>
  <c r="O130" i="7"/>
  <c r="O104" i="7"/>
  <c r="O72" i="7"/>
  <c r="O40" i="7"/>
  <c r="P328" i="7"/>
  <c r="P136" i="7"/>
  <c r="O327" i="7"/>
  <c r="O303" i="7"/>
  <c r="O279" i="7"/>
  <c r="O255" i="7"/>
  <c r="O231" i="7"/>
  <c r="O215" i="7"/>
  <c r="O199" i="7"/>
  <c r="P348" i="7"/>
  <c r="O348" i="7"/>
  <c r="P344" i="7"/>
  <c r="O344" i="7"/>
  <c r="P340" i="7"/>
  <c r="O340" i="7"/>
  <c r="P336" i="7"/>
  <c r="O336" i="7"/>
  <c r="P332" i="7"/>
  <c r="O332" i="7"/>
  <c r="P324" i="7"/>
  <c r="O324" i="7"/>
  <c r="O320" i="7"/>
  <c r="P320" i="7"/>
  <c r="P316" i="7"/>
  <c r="O316" i="7"/>
  <c r="P312" i="7"/>
  <c r="O312" i="7"/>
  <c r="P308" i="7"/>
  <c r="O308" i="7"/>
  <c r="P304" i="7"/>
  <c r="O304" i="7"/>
  <c r="P300" i="7"/>
  <c r="O300" i="7"/>
  <c r="P292" i="7"/>
  <c r="O292" i="7"/>
  <c r="O288" i="7"/>
  <c r="P288" i="7"/>
  <c r="P284" i="7"/>
  <c r="O284" i="7"/>
  <c r="P280" i="7"/>
  <c r="O280" i="7"/>
  <c r="P276" i="7"/>
  <c r="O276" i="7"/>
  <c r="P272" i="7"/>
  <c r="O272" i="7"/>
  <c r="P268" i="7"/>
  <c r="O268" i="7"/>
  <c r="P260" i="7"/>
  <c r="O260" i="7"/>
  <c r="P256" i="7"/>
  <c r="O256" i="7"/>
  <c r="P252" i="7"/>
  <c r="O252" i="7"/>
  <c r="O248" i="7"/>
  <c r="P248" i="7"/>
  <c r="P244" i="7"/>
  <c r="O244" i="7"/>
  <c r="P240" i="7"/>
  <c r="O240" i="7"/>
  <c r="P236" i="7"/>
  <c r="O236" i="7"/>
  <c r="P232" i="7"/>
  <c r="O232" i="7"/>
  <c r="P228" i="7"/>
  <c r="O228" i="7"/>
  <c r="P224" i="7"/>
  <c r="O224" i="7"/>
  <c r="P220" i="7"/>
  <c r="O220" i="7"/>
  <c r="P216" i="7"/>
  <c r="O216" i="7"/>
  <c r="P212" i="7"/>
  <c r="O212" i="7"/>
  <c r="P208" i="7"/>
  <c r="O208" i="7"/>
  <c r="P204" i="7"/>
  <c r="O204" i="7"/>
  <c r="P196" i="7"/>
  <c r="O196" i="7"/>
  <c r="P192" i="7"/>
  <c r="O192" i="7"/>
  <c r="P188" i="7"/>
  <c r="O188" i="7"/>
  <c r="O184" i="7"/>
  <c r="P184" i="7"/>
  <c r="P180" i="7"/>
  <c r="O180" i="7"/>
  <c r="P176" i="7"/>
  <c r="O176" i="7"/>
  <c r="P172" i="7"/>
  <c r="O172" i="7"/>
  <c r="P168" i="7"/>
  <c r="O168" i="7"/>
  <c r="P164" i="7"/>
  <c r="O164" i="7"/>
  <c r="P160" i="7"/>
  <c r="O160" i="7"/>
  <c r="P156" i="7"/>
  <c r="O156" i="7"/>
  <c r="P152" i="7"/>
  <c r="O152" i="7"/>
  <c r="P148" i="7"/>
  <c r="O148" i="7"/>
  <c r="P144" i="7"/>
  <c r="O144" i="7"/>
  <c r="P140" i="7"/>
  <c r="O140" i="7"/>
  <c r="P132" i="7"/>
  <c r="O132" i="7"/>
  <c r="P128" i="7"/>
  <c r="O128" i="7"/>
  <c r="P124" i="7"/>
  <c r="O124" i="7"/>
  <c r="P116" i="7"/>
  <c r="O116" i="7"/>
  <c r="P108" i="7"/>
  <c r="O108" i="7"/>
  <c r="P100" i="7"/>
  <c r="O100" i="7"/>
  <c r="P92" i="7"/>
  <c r="O92" i="7"/>
  <c r="P84" i="7"/>
  <c r="O84" i="7"/>
  <c r="P76" i="7"/>
  <c r="O76" i="7"/>
  <c r="P68" i="7"/>
  <c r="O68" i="7"/>
  <c r="P60" i="7"/>
  <c r="O60" i="7"/>
  <c r="P52" i="7"/>
  <c r="O52" i="7"/>
  <c r="P44" i="7"/>
  <c r="O44" i="7"/>
  <c r="P36" i="7"/>
  <c r="O36" i="7"/>
  <c r="P28" i="7"/>
  <c r="O28" i="7"/>
  <c r="P20" i="7"/>
  <c r="O20" i="7"/>
  <c r="P12" i="7"/>
  <c r="O12" i="7"/>
  <c r="O467" i="7"/>
  <c r="O463" i="7"/>
  <c r="O459" i="7"/>
  <c r="O455" i="7"/>
  <c r="O451" i="7"/>
  <c r="O447" i="7"/>
  <c r="O443" i="7"/>
  <c r="O439" i="7"/>
  <c r="O435" i="7"/>
  <c r="O431" i="7"/>
  <c r="O427" i="7"/>
  <c r="O423" i="7"/>
  <c r="O419" i="7"/>
  <c r="O415" i="7"/>
  <c r="O411" i="7"/>
  <c r="O407" i="7"/>
  <c r="O403" i="7"/>
  <c r="O399" i="7"/>
  <c r="O395" i="7"/>
  <c r="O391" i="7"/>
  <c r="O387" i="7"/>
  <c r="O383" i="7"/>
  <c r="O379" i="7"/>
  <c r="O375" i="7"/>
  <c r="O371" i="7"/>
  <c r="O367" i="7"/>
  <c r="O363" i="7"/>
  <c r="O359" i="7"/>
  <c r="O355" i="7"/>
  <c r="O351" i="7"/>
  <c r="O346" i="7"/>
  <c r="O341" i="7"/>
  <c r="O335" i="7"/>
  <c r="O330" i="7"/>
  <c r="O322" i="7"/>
  <c r="O314" i="7"/>
  <c r="O306" i="7"/>
  <c r="O298" i="7"/>
  <c r="O290" i="7"/>
  <c r="O282" i="7"/>
  <c r="O274" i="7"/>
  <c r="O266" i="7"/>
  <c r="O258" i="7"/>
  <c r="O250" i="7"/>
  <c r="O242" i="7"/>
  <c r="O234" i="7"/>
  <c r="O226" i="7"/>
  <c r="O218" i="7"/>
  <c r="O210" i="7"/>
  <c r="O202" i="7"/>
  <c r="O190" i="7"/>
  <c r="O174" i="7"/>
  <c r="O158" i="7"/>
  <c r="O142" i="7"/>
  <c r="O126" i="7"/>
  <c r="O96" i="7"/>
  <c r="O64" i="7"/>
  <c r="O32" i="7"/>
  <c r="P296" i="7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N221" i="15"/>
  <c r="N222" i="15"/>
  <c r="N223" i="15"/>
  <c r="N224" i="15"/>
  <c r="N225" i="15"/>
  <c r="N226" i="15"/>
  <c r="N227" i="15"/>
  <c r="N228" i="15"/>
  <c r="N229" i="15"/>
  <c r="N230" i="15"/>
  <c r="N231" i="15"/>
  <c r="N232" i="15"/>
  <c r="N233" i="15"/>
  <c r="N234" i="15"/>
  <c r="N235" i="15"/>
  <c r="N236" i="15"/>
  <c r="N237" i="15"/>
  <c r="N238" i="15"/>
  <c r="N239" i="15"/>
  <c r="N240" i="15"/>
  <c r="N241" i="15"/>
  <c r="N242" i="15"/>
  <c r="N243" i="15"/>
  <c r="N244" i="15"/>
  <c r="N245" i="15"/>
  <c r="N246" i="15"/>
  <c r="N247" i="15"/>
  <c r="N248" i="15"/>
  <c r="N249" i="15"/>
  <c r="N250" i="15"/>
  <c r="N251" i="15"/>
  <c r="N252" i="15"/>
  <c r="N253" i="15"/>
  <c r="N254" i="15"/>
  <c r="N255" i="15"/>
  <c r="N256" i="15"/>
  <c r="N257" i="15"/>
  <c r="N258" i="15"/>
  <c r="N259" i="15"/>
  <c r="N260" i="15"/>
  <c r="N261" i="15"/>
  <c r="N262" i="15"/>
  <c r="N263" i="15"/>
  <c r="N264" i="15"/>
  <c r="N265" i="15"/>
  <c r="N266" i="15"/>
  <c r="N267" i="15"/>
  <c r="N268" i="15"/>
  <c r="N269" i="15"/>
  <c r="N270" i="15"/>
  <c r="N271" i="15"/>
  <c r="N272" i="15"/>
  <c r="N273" i="15"/>
  <c r="N274" i="15"/>
  <c r="N275" i="15"/>
  <c r="N276" i="15"/>
  <c r="N277" i="15"/>
  <c r="N278" i="15"/>
  <c r="N279" i="15"/>
  <c r="N280" i="15"/>
  <c r="N281" i="15"/>
  <c r="N282" i="15"/>
  <c r="N283" i="15"/>
  <c r="N284" i="15"/>
  <c r="N285" i="15"/>
  <c r="N286" i="15"/>
  <c r="N287" i="15"/>
  <c r="N288" i="15"/>
  <c r="N289" i="15"/>
  <c r="N290" i="15"/>
  <c r="N291" i="15"/>
  <c r="N292" i="15"/>
  <c r="N293" i="15"/>
  <c r="N294" i="15"/>
  <c r="N295" i="15"/>
  <c r="N296" i="15"/>
  <c r="N297" i="15"/>
  <c r="N298" i="15"/>
  <c r="N299" i="15"/>
  <c r="N300" i="15"/>
  <c r="N301" i="15"/>
  <c r="N302" i="15"/>
  <c r="N303" i="15"/>
  <c r="N304" i="15"/>
  <c r="N305" i="15"/>
  <c r="N306" i="15"/>
  <c r="N307" i="15"/>
  <c r="N308" i="15"/>
  <c r="N309" i="15"/>
  <c r="N310" i="15"/>
  <c r="N311" i="15"/>
  <c r="N312" i="15"/>
  <c r="N313" i="15"/>
  <c r="N314" i="15"/>
  <c r="N315" i="15"/>
  <c r="N316" i="15"/>
  <c r="N317" i="15"/>
  <c r="N318" i="15"/>
  <c r="N319" i="15"/>
  <c r="N320" i="15"/>
  <c r="N321" i="15"/>
  <c r="N322" i="15"/>
  <c r="N323" i="15"/>
  <c r="N324" i="15"/>
  <c r="N325" i="15"/>
  <c r="N326" i="15"/>
  <c r="N327" i="15"/>
  <c r="N328" i="15"/>
  <c r="N329" i="15"/>
  <c r="N330" i="15"/>
  <c r="N331" i="15"/>
  <c r="N332" i="15"/>
  <c r="N333" i="15"/>
  <c r="N334" i="15"/>
  <c r="N335" i="15"/>
  <c r="N336" i="15"/>
  <c r="N337" i="15"/>
  <c r="N338" i="15"/>
  <c r="N339" i="15"/>
  <c r="N340" i="15"/>
  <c r="N341" i="15"/>
  <c r="N342" i="15"/>
  <c r="N343" i="15"/>
  <c r="N344" i="15"/>
  <c r="N345" i="15"/>
  <c r="N346" i="15"/>
  <c r="N347" i="15"/>
  <c r="N348" i="15"/>
  <c r="N349" i="15"/>
  <c r="N350" i="15"/>
  <c r="N351" i="15"/>
  <c r="N352" i="15"/>
  <c r="N353" i="15"/>
  <c r="N354" i="15"/>
  <c r="N355" i="15"/>
  <c r="N356" i="15"/>
  <c r="N357" i="15"/>
  <c r="N358" i="15"/>
  <c r="N359" i="15"/>
  <c r="N360" i="15"/>
  <c r="N361" i="15"/>
  <c r="N362" i="15"/>
  <c r="N363" i="15"/>
  <c r="N364" i="15"/>
  <c r="N365" i="15"/>
  <c r="N366" i="15"/>
  <c r="N367" i="15"/>
  <c r="N368" i="15"/>
  <c r="N369" i="15"/>
  <c r="N370" i="15"/>
  <c r="N371" i="15"/>
  <c r="N372" i="15"/>
  <c r="N373" i="15"/>
  <c r="N374" i="15"/>
  <c r="N375" i="15"/>
  <c r="N376" i="15"/>
  <c r="N377" i="15"/>
  <c r="N378" i="15"/>
  <c r="N379" i="15"/>
  <c r="N380" i="15"/>
  <c r="N381" i="15"/>
  <c r="N382" i="15"/>
  <c r="N383" i="15"/>
  <c r="N384" i="15"/>
  <c r="N385" i="15"/>
  <c r="N386" i="15"/>
  <c r="N387" i="15"/>
  <c r="N388" i="15"/>
  <c r="N389" i="15"/>
  <c r="N390" i="15"/>
  <c r="N391" i="15"/>
  <c r="N392" i="15"/>
  <c r="N393" i="15"/>
  <c r="N394" i="15"/>
  <c r="N395" i="15"/>
  <c r="N396" i="15"/>
  <c r="N397" i="15"/>
  <c r="N398" i="15"/>
  <c r="N399" i="15"/>
  <c r="N400" i="15"/>
  <c r="N401" i="15"/>
  <c r="N402" i="15"/>
  <c r="N403" i="15"/>
  <c r="N404" i="15"/>
  <c r="N405" i="15"/>
  <c r="N406" i="15"/>
  <c r="N407" i="15"/>
  <c r="N408" i="15"/>
  <c r="N409" i="15"/>
  <c r="N410" i="15"/>
  <c r="N411" i="15"/>
  <c r="N412" i="15"/>
  <c r="N413" i="15"/>
  <c r="N414" i="15"/>
  <c r="N415" i="15"/>
  <c r="N416" i="15"/>
  <c r="N417" i="15"/>
  <c r="N418" i="15"/>
  <c r="N419" i="15"/>
  <c r="N420" i="15"/>
  <c r="N421" i="15"/>
  <c r="N422" i="15"/>
  <c r="N423" i="15"/>
  <c r="N424" i="15"/>
  <c r="N425" i="15"/>
  <c r="N426" i="15"/>
  <c r="N427" i="15"/>
  <c r="N428" i="15"/>
  <c r="N429" i="15"/>
  <c r="N430" i="15"/>
  <c r="N431" i="15"/>
  <c r="N432" i="15"/>
  <c r="N433" i="15"/>
  <c r="N434" i="15"/>
  <c r="N435" i="15"/>
  <c r="N436" i="15"/>
  <c r="N437" i="15"/>
  <c r="N438" i="15"/>
  <c r="N439" i="15"/>
  <c r="N440" i="15"/>
  <c r="N441" i="15"/>
  <c r="N442" i="15"/>
  <c r="N443" i="15"/>
  <c r="N444" i="15"/>
  <c r="N445" i="15"/>
  <c r="N446" i="15"/>
  <c r="N447" i="15"/>
  <c r="N448" i="15"/>
  <c r="N449" i="15"/>
  <c r="N450" i="15"/>
  <c r="N451" i="15"/>
  <c r="N452" i="15"/>
  <c r="N453" i="15"/>
  <c r="N454" i="15"/>
  <c r="N455" i="15"/>
  <c r="N456" i="15"/>
  <c r="N457" i="15"/>
  <c r="N458" i="15"/>
  <c r="N459" i="15"/>
  <c r="N460" i="15"/>
  <c r="N461" i="15"/>
  <c r="N462" i="15"/>
  <c r="N463" i="15"/>
  <c r="N464" i="15"/>
  <c r="N465" i="15"/>
  <c r="N466" i="15"/>
  <c r="N467" i="15"/>
  <c r="N468" i="15"/>
  <c r="N469" i="15"/>
  <c r="N470" i="15"/>
  <c r="N471" i="15"/>
  <c r="N472" i="15"/>
  <c r="N473" i="15"/>
  <c r="N474" i="15"/>
  <c r="N475" i="15"/>
  <c r="N476" i="15"/>
  <c r="N477" i="15"/>
  <c r="N478" i="15"/>
  <c r="N479" i="15"/>
  <c r="N480" i="15"/>
  <c r="N481" i="15"/>
  <c r="N482" i="15"/>
  <c r="N483" i="15"/>
  <c r="N484" i="15"/>
  <c r="N485" i="15"/>
  <c r="N486" i="15"/>
  <c r="N487" i="15"/>
  <c r="N488" i="15"/>
  <c r="N489" i="15"/>
  <c r="N490" i="15"/>
  <c r="N491" i="15"/>
  <c r="N492" i="15"/>
  <c r="N493" i="15"/>
  <c r="N494" i="15"/>
  <c r="N495" i="15"/>
  <c r="N496" i="15"/>
  <c r="N497" i="15"/>
  <c r="N498" i="15"/>
  <c r="N499" i="15"/>
  <c r="N500" i="15"/>
  <c r="N501" i="15"/>
  <c r="N502" i="15"/>
  <c r="N503" i="15"/>
  <c r="N504" i="15"/>
  <c r="N505" i="15"/>
  <c r="N506" i="15"/>
  <c r="N507" i="15"/>
  <c r="N508" i="15"/>
  <c r="N509" i="15"/>
  <c r="N510" i="15"/>
  <c r="N511" i="15"/>
  <c r="N512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F115" i="22" l="1"/>
  <c r="F116" i="22"/>
  <c r="F114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F28" i="22"/>
  <c r="F29" i="22"/>
  <c r="F30" i="22"/>
  <c r="F31" i="22"/>
  <c r="F32" i="22"/>
  <c r="F33" i="22"/>
  <c r="F34" i="22"/>
  <c r="F35" i="22"/>
  <c r="F36" i="22"/>
  <c r="F37" i="22"/>
  <c r="F38" i="22"/>
  <c r="F39" i="22"/>
  <c r="F40" i="22"/>
  <c r="F41" i="22"/>
  <c r="F42" i="22"/>
  <c r="F43" i="22"/>
  <c r="F44" i="22"/>
  <c r="F45" i="22"/>
  <c r="F46" i="22"/>
  <c r="F47" i="22"/>
  <c r="F48" i="22"/>
  <c r="F49" i="22"/>
  <c r="F50" i="22"/>
  <c r="F51" i="22"/>
  <c r="F52" i="22"/>
  <c r="F53" i="22"/>
  <c r="F54" i="22"/>
  <c r="F55" i="22"/>
  <c r="F56" i="22"/>
  <c r="F57" i="22"/>
  <c r="F58" i="22"/>
  <c r="F59" i="22"/>
  <c r="F60" i="22"/>
  <c r="F61" i="22"/>
  <c r="F62" i="22"/>
  <c r="F63" i="22"/>
  <c r="F64" i="22"/>
  <c r="F65" i="22"/>
  <c r="F66" i="22"/>
  <c r="F67" i="22"/>
  <c r="F68" i="22"/>
  <c r="F69" i="22"/>
  <c r="F70" i="22"/>
  <c r="F71" i="22"/>
  <c r="F72" i="22"/>
  <c r="F73" i="22"/>
  <c r="F74" i="22"/>
  <c r="F75" i="22"/>
  <c r="F76" i="22"/>
  <c r="F77" i="22"/>
  <c r="F78" i="22"/>
  <c r="F79" i="22"/>
  <c r="F80" i="22"/>
  <c r="F81" i="22"/>
  <c r="F82" i="22"/>
  <c r="F83" i="22"/>
  <c r="F84" i="22"/>
  <c r="F85" i="22"/>
  <c r="F86" i="22"/>
  <c r="F87" i="22"/>
  <c r="F88" i="22"/>
  <c r="F89" i="22"/>
  <c r="F90" i="22"/>
  <c r="F91" i="22"/>
  <c r="F92" i="22"/>
  <c r="F93" i="22"/>
  <c r="F94" i="22"/>
  <c r="F95" i="22"/>
  <c r="F96" i="22"/>
  <c r="F97" i="22"/>
  <c r="F98" i="22"/>
  <c r="F99" i="22"/>
  <c r="F100" i="22"/>
  <c r="F101" i="22"/>
  <c r="F102" i="22"/>
  <c r="F103" i="22"/>
  <c r="F104" i="22"/>
  <c r="F105" i="22"/>
  <c r="F106" i="22"/>
  <c r="F107" i="22"/>
  <c r="F108" i="22"/>
  <c r="F109" i="22"/>
  <c r="F110" i="22"/>
  <c r="F111" i="22"/>
  <c r="F112" i="22"/>
  <c r="F113" i="22"/>
  <c r="A111" i="22"/>
  <c r="A112" i="22"/>
  <c r="A113" i="22"/>
  <c r="A114" i="22"/>
  <c r="A115" i="22"/>
  <c r="A116" i="22"/>
  <c r="A109" i="22"/>
  <c r="A110" i="22"/>
  <c r="S35" i="7"/>
  <c r="I5" i="7" l="1"/>
  <c r="I6" i="7"/>
  <c r="I7" i="7"/>
  <c r="J5" i="7"/>
  <c r="J6" i="7"/>
  <c r="P6" i="7" l="1"/>
  <c r="P8" i="7" l="1"/>
  <c r="P7" i="7"/>
  <c r="O7" i="7"/>
  <c r="O6" i="7"/>
  <c r="S15" i="8" l="1"/>
  <c r="T35" i="7"/>
  <c r="U25" i="7"/>
  <c r="AC26" i="7"/>
  <c r="AC25" i="7"/>
  <c r="D477" i="7"/>
  <c r="AC32" i="7"/>
  <c r="AC31" i="7"/>
  <c r="AC30" i="7"/>
  <c r="AC29" i="7"/>
  <c r="AC28" i="7"/>
  <c r="AC27" i="7"/>
  <c r="P9" i="15" l="1"/>
  <c r="P13" i="15"/>
  <c r="P17" i="15"/>
  <c r="P21" i="15"/>
  <c r="P25" i="15"/>
  <c r="P6" i="15"/>
  <c r="P7" i="15"/>
  <c r="P11" i="15"/>
  <c r="P15" i="15"/>
  <c r="P19" i="15"/>
  <c r="P23" i="15"/>
  <c r="P27" i="15"/>
  <c r="P8" i="15"/>
  <c r="P12" i="15"/>
  <c r="P16" i="15"/>
  <c r="P20" i="15"/>
  <c r="P24" i="15"/>
  <c r="P28" i="15"/>
  <c r="P10" i="15"/>
  <c r="P26" i="15"/>
  <c r="Q9" i="15"/>
  <c r="Q13" i="15"/>
  <c r="Q17" i="15"/>
  <c r="Q21" i="15"/>
  <c r="Q25" i="15"/>
  <c r="P14" i="15"/>
  <c r="Q6" i="15"/>
  <c r="Q10" i="15"/>
  <c r="Q14" i="15"/>
  <c r="Q18" i="15"/>
  <c r="Q22" i="15"/>
  <c r="Q26" i="15"/>
  <c r="P18" i="15"/>
  <c r="Q7" i="15"/>
  <c r="Q11" i="15"/>
  <c r="Q15" i="15"/>
  <c r="Q19" i="15"/>
  <c r="Q23" i="15"/>
  <c r="Q27" i="15"/>
  <c r="P22" i="15"/>
  <c r="Q8" i="15"/>
  <c r="Q24" i="15"/>
  <c r="Q12" i="15"/>
  <c r="Q28" i="15"/>
  <c r="Q16" i="15"/>
  <c r="Q20" i="15"/>
  <c r="Q5" i="15"/>
  <c r="P5" i="15"/>
  <c r="F477" i="7"/>
  <c r="G477" i="7"/>
  <c r="E477" i="7"/>
  <c r="P4" i="15"/>
  <c r="Q4" i="15"/>
  <c r="T29" i="15" l="1"/>
  <c r="P13" i="22"/>
  <c r="P12" i="22"/>
  <c r="P9" i="22"/>
  <c r="P8" i="22"/>
  <c r="P7" i="22"/>
  <c r="P6" i="22"/>
  <c r="O9" i="22"/>
  <c r="O8" i="22"/>
  <c r="O7" i="22"/>
  <c r="O6" i="22"/>
  <c r="V27" i="13"/>
  <c r="V28" i="13"/>
  <c r="V29" i="13"/>
  <c r="V30" i="13"/>
  <c r="V31" i="13"/>
  <c r="V32" i="13"/>
  <c r="V33" i="13"/>
  <c r="V34" i="13"/>
  <c r="V35" i="13"/>
  <c r="V36" i="13"/>
  <c r="V37" i="13"/>
  <c r="V38" i="13"/>
  <c r="V39" i="13"/>
  <c r="A5" i="7" l="1"/>
  <c r="Q11" i="8"/>
  <c r="AE3" i="8"/>
  <c r="AD3" i="8"/>
  <c r="A104" i="22"/>
  <c r="A105" i="22"/>
  <c r="A106" i="22"/>
  <c r="A107" i="22"/>
  <c r="A108" i="22"/>
  <c r="M103" i="22"/>
  <c r="M104" i="22"/>
  <c r="M105" i="22"/>
  <c r="M106" i="22"/>
  <c r="M107" i="22"/>
  <c r="M108" i="22"/>
  <c r="M102" i="22"/>
  <c r="A102" i="22"/>
  <c r="A103" i="22"/>
  <c r="C477" i="7" l="1"/>
  <c r="A7" i="22"/>
  <c r="A8" i="22"/>
  <c r="A9" i="22"/>
  <c r="A10" i="22"/>
  <c r="A11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A37" i="22"/>
  <c r="A38" i="22"/>
  <c r="A39" i="22"/>
  <c r="A40" i="22"/>
  <c r="A41" i="22"/>
  <c r="A42" i="22"/>
  <c r="A43" i="22"/>
  <c r="A44" i="22"/>
  <c r="A45" i="22"/>
  <c r="A46" i="22"/>
  <c r="A47" i="22"/>
  <c r="A48" i="22"/>
  <c r="A49" i="22"/>
  <c r="A50" i="22"/>
  <c r="A51" i="22"/>
  <c r="A52" i="22"/>
  <c r="A53" i="22"/>
  <c r="A54" i="22"/>
  <c r="A55" i="22"/>
  <c r="A56" i="22"/>
  <c r="A57" i="22"/>
  <c r="A58" i="22"/>
  <c r="A59" i="22"/>
  <c r="A60" i="22"/>
  <c r="A61" i="22"/>
  <c r="A62" i="22"/>
  <c r="A63" i="22"/>
  <c r="A64" i="22"/>
  <c r="A65" i="22"/>
  <c r="A66" i="22"/>
  <c r="A67" i="22"/>
  <c r="A68" i="22"/>
  <c r="A69" i="22"/>
  <c r="A70" i="22"/>
  <c r="A71" i="22"/>
  <c r="A72" i="22"/>
  <c r="A73" i="22"/>
  <c r="A74" i="22"/>
  <c r="A75" i="22"/>
  <c r="A76" i="22"/>
  <c r="A77" i="22"/>
  <c r="A78" i="22"/>
  <c r="A79" i="22"/>
  <c r="A80" i="22"/>
  <c r="A81" i="22"/>
  <c r="A82" i="22"/>
  <c r="A83" i="22"/>
  <c r="A84" i="22"/>
  <c r="A85" i="22"/>
  <c r="A86" i="22"/>
  <c r="A87" i="22"/>
  <c r="A88" i="22"/>
  <c r="A89" i="22"/>
  <c r="A90" i="22"/>
  <c r="A91" i="22"/>
  <c r="A92" i="22"/>
  <c r="A93" i="22"/>
  <c r="A94" i="22"/>
  <c r="A95" i="22"/>
  <c r="A96" i="22"/>
  <c r="A97" i="22"/>
  <c r="A98" i="22"/>
  <c r="A99" i="22"/>
  <c r="A100" i="22"/>
  <c r="A101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5" i="22"/>
  <c r="M76" i="22"/>
  <c r="M77" i="22"/>
  <c r="M78" i="22"/>
  <c r="M79" i="22"/>
  <c r="M80" i="22"/>
  <c r="M81" i="22"/>
  <c r="M82" i="22"/>
  <c r="M83" i="22"/>
  <c r="M84" i="22"/>
  <c r="M85" i="22"/>
  <c r="M86" i="22"/>
  <c r="M87" i="22"/>
  <c r="M88" i="22"/>
  <c r="M89" i="22"/>
  <c r="M90" i="22"/>
  <c r="M91" i="22"/>
  <c r="M92" i="22"/>
  <c r="M93" i="22"/>
  <c r="M94" i="22"/>
  <c r="M95" i="22"/>
  <c r="M96" i="22"/>
  <c r="M97" i="22"/>
  <c r="M98" i="22"/>
  <c r="M99" i="22"/>
  <c r="M100" i="22"/>
  <c r="M101" i="22"/>
  <c r="R47" i="8" l="1"/>
  <c r="C47" i="26" l="1"/>
  <c r="C45" i="26"/>
  <c r="C43" i="26"/>
  <c r="C41" i="26"/>
  <c r="C10" i="26"/>
  <c r="C8" i="26"/>
  <c r="C6" i="26"/>
  <c r="C4" i="26"/>
  <c r="C36" i="26"/>
  <c r="D36" i="26" s="1"/>
  <c r="C34" i="26"/>
  <c r="D34" i="26" s="1"/>
  <c r="C32" i="26"/>
  <c r="D32" i="26" s="1"/>
  <c r="C30" i="26"/>
  <c r="D30" i="26" s="1"/>
  <c r="C23" i="26"/>
  <c r="D23" i="26" s="1"/>
  <c r="C21" i="26"/>
  <c r="D21" i="26" s="1"/>
  <c r="C19" i="26"/>
  <c r="D19" i="26" s="1"/>
  <c r="C17" i="26"/>
  <c r="D17" i="26" s="1"/>
  <c r="D25" i="26" l="1"/>
  <c r="C12" i="26"/>
  <c r="AG5" i="8"/>
  <c r="R27" i="8"/>
  <c r="R29" i="8"/>
  <c r="R26" i="8"/>
  <c r="R25" i="8"/>
  <c r="R24" i="8"/>
  <c r="R23" i="8"/>
  <c r="R22" i="8"/>
  <c r="Q27" i="8"/>
  <c r="Q28" i="8"/>
  <c r="Q29" i="8"/>
  <c r="Q22" i="8"/>
  <c r="R34" i="8" l="1"/>
  <c r="Q36" i="8"/>
  <c r="R33" i="8"/>
  <c r="R35" i="8"/>
  <c r="A3" i="20" l="1"/>
  <c r="A4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39" i="20"/>
  <c r="A40" i="20"/>
  <c r="A41" i="20"/>
  <c r="A42" i="20"/>
  <c r="A43" i="20"/>
  <c r="A44" i="20"/>
  <c r="A45" i="20"/>
  <c r="A46" i="20"/>
  <c r="A47" i="20"/>
  <c r="A48" i="20"/>
  <c r="A49" i="20"/>
  <c r="A50" i="20"/>
  <c r="A51" i="20"/>
  <c r="A52" i="20"/>
  <c r="A53" i="20"/>
  <c r="A54" i="20"/>
  <c r="A55" i="20"/>
  <c r="A56" i="20"/>
  <c r="A57" i="20"/>
  <c r="A58" i="20"/>
  <c r="A59" i="20"/>
  <c r="A60" i="20"/>
  <c r="A61" i="20"/>
  <c r="A62" i="20"/>
  <c r="A63" i="20"/>
  <c r="A64" i="20"/>
  <c r="A65" i="20"/>
  <c r="A66" i="20"/>
  <c r="A67" i="20"/>
  <c r="A68" i="20"/>
  <c r="A69" i="20"/>
  <c r="A70" i="20"/>
  <c r="A71" i="20"/>
  <c r="A72" i="20"/>
  <c r="A73" i="20"/>
  <c r="A74" i="20"/>
  <c r="A2" i="20"/>
  <c r="Q26" i="8" l="1"/>
  <c r="Q35" i="8" s="1"/>
  <c r="Q25" i="8"/>
  <c r="Q24" i="8"/>
  <c r="Q23" i="8"/>
  <c r="Q33" i="8" s="1"/>
  <c r="Q34" i="8" l="1"/>
  <c r="Q37" i="8" s="1"/>
  <c r="Q30" i="8"/>
  <c r="O54" i="8"/>
  <c r="O53" i="8"/>
  <c r="O52" i="8"/>
  <c r="O51" i="8"/>
  <c r="O50" i="8"/>
  <c r="O49" i="8"/>
  <c r="O48" i="8"/>
  <c r="Q54" i="8"/>
  <c r="P54" i="8" s="1"/>
  <c r="Q53" i="8"/>
  <c r="P53" i="8" s="1"/>
  <c r="Q52" i="8"/>
  <c r="P52" i="8" s="1"/>
  <c r="Q51" i="8"/>
  <c r="P51" i="8" s="1"/>
  <c r="Q50" i="8"/>
  <c r="P50" i="8" s="1"/>
  <c r="Q49" i="8"/>
  <c r="P49" i="8" s="1"/>
  <c r="Q48" i="8"/>
  <c r="P48" i="8" s="1"/>
  <c r="Q47" i="8"/>
  <c r="P47" i="8" s="1"/>
  <c r="R54" i="8"/>
  <c r="R53" i="8"/>
  <c r="R52" i="8"/>
  <c r="R51" i="8"/>
  <c r="R50" i="8"/>
  <c r="R49" i="8"/>
  <c r="R48" i="8"/>
  <c r="R28" i="8"/>
  <c r="R36" i="8" s="1"/>
  <c r="R37" i="8" s="1"/>
  <c r="O22" i="22"/>
  <c r="R30" i="8" l="1"/>
  <c r="Q55" i="8"/>
  <c r="P217" i="15" l="1"/>
  <c r="P221" i="15"/>
  <c r="P225" i="15"/>
  <c r="P229" i="15"/>
  <c r="P233" i="15"/>
  <c r="P237" i="15"/>
  <c r="P241" i="15"/>
  <c r="P245" i="15"/>
  <c r="P249" i="15"/>
  <c r="P253" i="15"/>
  <c r="P257" i="15"/>
  <c r="P219" i="15"/>
  <c r="P223" i="15"/>
  <c r="P227" i="15"/>
  <c r="P231" i="15"/>
  <c r="P235" i="15"/>
  <c r="P239" i="15"/>
  <c r="P243" i="15"/>
  <c r="P247" i="15"/>
  <c r="P251" i="15"/>
  <c r="P255" i="15"/>
  <c r="P259" i="15"/>
  <c r="P220" i="15"/>
  <c r="P224" i="15"/>
  <c r="P228" i="15"/>
  <c r="P232" i="15"/>
  <c r="P236" i="15"/>
  <c r="P240" i="15"/>
  <c r="P244" i="15"/>
  <c r="P248" i="15"/>
  <c r="P252" i="15"/>
  <c r="P256" i="15"/>
  <c r="P260" i="15"/>
  <c r="P218" i="15"/>
  <c r="P234" i="15"/>
  <c r="P250" i="15"/>
  <c r="P222" i="15"/>
  <c r="P238" i="15"/>
  <c r="P254" i="15"/>
  <c r="P226" i="15"/>
  <c r="P242" i="15"/>
  <c r="P258" i="15"/>
  <c r="Q218" i="15"/>
  <c r="Q222" i="15"/>
  <c r="Q226" i="15"/>
  <c r="Q230" i="15"/>
  <c r="Q234" i="15"/>
  <c r="Q238" i="15"/>
  <c r="Q242" i="15"/>
  <c r="Q246" i="15"/>
  <c r="Q250" i="15"/>
  <c r="Q254" i="15"/>
  <c r="Q258" i="15"/>
  <c r="P230" i="15"/>
  <c r="Q219" i="15"/>
  <c r="Q223" i="15"/>
  <c r="Q227" i="15"/>
  <c r="Q231" i="15"/>
  <c r="Q235" i="15"/>
  <c r="Q239" i="15"/>
  <c r="Q243" i="15"/>
  <c r="Q247" i="15"/>
  <c r="Q251" i="15"/>
  <c r="Q255" i="15"/>
  <c r="Q259" i="15"/>
  <c r="P246" i="15"/>
  <c r="Q220" i="15"/>
  <c r="Q224" i="15"/>
  <c r="Q228" i="15"/>
  <c r="Q232" i="15"/>
  <c r="Q236" i="15"/>
  <c r="Q240" i="15"/>
  <c r="Q244" i="15"/>
  <c r="Q248" i="15"/>
  <c r="Q252" i="15"/>
  <c r="Q256" i="15"/>
  <c r="Q260" i="15"/>
  <c r="Q229" i="15"/>
  <c r="Q245" i="15"/>
  <c r="Q217" i="15"/>
  <c r="Q233" i="15"/>
  <c r="Q249" i="15"/>
  <c r="Q221" i="15"/>
  <c r="Q237" i="15"/>
  <c r="Q253" i="15"/>
  <c r="Q257" i="15"/>
  <c r="Q225" i="15"/>
  <c r="Q241" i="15"/>
  <c r="P261" i="15"/>
  <c r="P265" i="15"/>
  <c r="P269" i="15"/>
  <c r="P273" i="15"/>
  <c r="P263" i="15"/>
  <c r="P267" i="15"/>
  <c r="P271" i="15"/>
  <c r="P275" i="15"/>
  <c r="P279" i="15"/>
  <c r="P283" i="15"/>
  <c r="P287" i="15"/>
  <c r="P291" i="15"/>
  <c r="P295" i="15"/>
  <c r="P299" i="15"/>
  <c r="P303" i="15"/>
  <c r="P307" i="15"/>
  <c r="P311" i="15"/>
  <c r="P315" i="15"/>
  <c r="P319" i="15"/>
  <c r="P323" i="15"/>
  <c r="P327" i="15"/>
  <c r="P331" i="15"/>
  <c r="P335" i="15"/>
  <c r="P339" i="15"/>
  <c r="P343" i="15"/>
  <c r="P264" i="15"/>
  <c r="P268" i="15"/>
  <c r="P272" i="15"/>
  <c r="P276" i="15"/>
  <c r="P280" i="15"/>
  <c r="P284" i="15"/>
  <c r="P288" i="15"/>
  <c r="P292" i="15"/>
  <c r="P296" i="15"/>
  <c r="P300" i="15"/>
  <c r="P304" i="15"/>
  <c r="P308" i="15"/>
  <c r="P312" i="15"/>
  <c r="P316" i="15"/>
  <c r="P320" i="15"/>
  <c r="P324" i="15"/>
  <c r="P328" i="15"/>
  <c r="P332" i="15"/>
  <c r="P336" i="15"/>
  <c r="P340" i="15"/>
  <c r="P344" i="15"/>
  <c r="P266" i="15"/>
  <c r="P278" i="15"/>
  <c r="P286" i="15"/>
  <c r="P294" i="15"/>
  <c r="P302" i="15"/>
  <c r="P310" i="15"/>
  <c r="P318" i="15"/>
  <c r="P326" i="15"/>
  <c r="P334" i="15"/>
  <c r="P342" i="15"/>
  <c r="P348" i="15"/>
  <c r="P352" i="15"/>
  <c r="P356" i="15"/>
  <c r="P360" i="15"/>
  <c r="P364" i="15"/>
  <c r="P368" i="15"/>
  <c r="P372" i="15"/>
  <c r="P376" i="15"/>
  <c r="P380" i="15"/>
  <c r="P384" i="15"/>
  <c r="P388" i="15"/>
  <c r="P392" i="15"/>
  <c r="P396" i="15"/>
  <c r="P270" i="15"/>
  <c r="P281" i="15"/>
  <c r="P289" i="15"/>
  <c r="P297" i="15"/>
  <c r="P305" i="15"/>
  <c r="P313" i="15"/>
  <c r="P321" i="15"/>
  <c r="P329" i="15"/>
  <c r="P337" i="15"/>
  <c r="P345" i="15"/>
  <c r="P349" i="15"/>
  <c r="P353" i="15"/>
  <c r="P357" i="15"/>
  <c r="P361" i="15"/>
  <c r="P365" i="15"/>
  <c r="P369" i="15"/>
  <c r="P373" i="15"/>
  <c r="P377" i="15"/>
  <c r="P381" i="15"/>
  <c r="P385" i="15"/>
  <c r="P389" i="15"/>
  <c r="P393" i="15"/>
  <c r="P274" i="15"/>
  <c r="P282" i="15"/>
  <c r="P290" i="15"/>
  <c r="P298" i="15"/>
  <c r="P306" i="15"/>
  <c r="P314" i="15"/>
  <c r="P322" i="15"/>
  <c r="P330" i="15"/>
  <c r="P338" i="15"/>
  <c r="P346" i="15"/>
  <c r="P350" i="15"/>
  <c r="P354" i="15"/>
  <c r="P358" i="15"/>
  <c r="P362" i="15"/>
  <c r="P366" i="15"/>
  <c r="P370" i="15"/>
  <c r="P374" i="15"/>
  <c r="P378" i="15"/>
  <c r="P382" i="15"/>
  <c r="P386" i="15"/>
  <c r="P390" i="15"/>
  <c r="P394" i="15"/>
  <c r="P277" i="15"/>
  <c r="P309" i="15"/>
  <c r="P341" i="15"/>
  <c r="P359" i="15"/>
  <c r="P375" i="15"/>
  <c r="P391" i="15"/>
  <c r="Q262" i="15"/>
  <c r="Q266" i="15"/>
  <c r="Q270" i="15"/>
  <c r="Q274" i="15"/>
  <c r="Q278" i="15"/>
  <c r="Q282" i="15"/>
  <c r="Q286" i="15"/>
  <c r="Q290" i="15"/>
  <c r="Q294" i="15"/>
  <c r="Q298" i="15"/>
  <c r="Q302" i="15"/>
  <c r="Q306" i="15"/>
  <c r="Q310" i="15"/>
  <c r="Q314" i="15"/>
  <c r="Q318" i="15"/>
  <c r="Q322" i="15"/>
  <c r="P285" i="15"/>
  <c r="P317" i="15"/>
  <c r="P347" i="15"/>
  <c r="P363" i="15"/>
  <c r="P379" i="15"/>
  <c r="P395" i="15"/>
  <c r="Q263" i="15"/>
  <c r="Q267" i="15"/>
  <c r="Q271" i="15"/>
  <c r="Q275" i="15"/>
  <c r="Q279" i="15"/>
  <c r="Q283" i="15"/>
  <c r="Q287" i="15"/>
  <c r="Q291" i="15"/>
  <c r="Q295" i="15"/>
  <c r="Q299" i="15"/>
  <c r="Q303" i="15"/>
  <c r="Q307" i="15"/>
  <c r="Q311" i="15"/>
  <c r="Q315" i="15"/>
  <c r="P293" i="15"/>
  <c r="P325" i="15"/>
  <c r="P351" i="15"/>
  <c r="P367" i="15"/>
  <c r="P383" i="15"/>
  <c r="Q264" i="15"/>
  <c r="Q268" i="15"/>
  <c r="Q272" i="15"/>
  <c r="Q276" i="15"/>
  <c r="Q280" i="15"/>
  <c r="Q284" i="15"/>
  <c r="Q288" i="15"/>
  <c r="Q292" i="15"/>
  <c r="Q296" i="15"/>
  <c r="Q300" i="15"/>
  <c r="Q304" i="15"/>
  <c r="Q308" i="15"/>
  <c r="Q312" i="15"/>
  <c r="Q316" i="15"/>
  <c r="Q320" i="15"/>
  <c r="Q324" i="15"/>
  <c r="Q328" i="15"/>
  <c r="Q332" i="15"/>
  <c r="Q336" i="15"/>
  <c r="Q340" i="15"/>
  <c r="P301" i="15"/>
  <c r="P387" i="15"/>
  <c r="Q261" i="15"/>
  <c r="Q277" i="15"/>
  <c r="Q293" i="15"/>
  <c r="Q309" i="15"/>
  <c r="Q321" i="15"/>
  <c r="Q327" i="15"/>
  <c r="Q333" i="15"/>
  <c r="Q338" i="15"/>
  <c r="Q343" i="15"/>
  <c r="Q347" i="15"/>
  <c r="Q351" i="15"/>
  <c r="Q355" i="15"/>
  <c r="Q359" i="15"/>
  <c r="Q363" i="15"/>
  <c r="Q367" i="15"/>
  <c r="Q371" i="15"/>
  <c r="Q375" i="15"/>
  <c r="Q379" i="15"/>
  <c r="Q383" i="15"/>
  <c r="Q387" i="15"/>
  <c r="Q391" i="15"/>
  <c r="Q395" i="15"/>
  <c r="P333" i="15"/>
  <c r="Q265" i="15"/>
  <c r="Q281" i="15"/>
  <c r="Q297" i="15"/>
  <c r="Q313" i="15"/>
  <c r="Q323" i="15"/>
  <c r="Q329" i="15"/>
  <c r="Q334" i="15"/>
  <c r="Q339" i="15"/>
  <c r="Q344" i="15"/>
  <c r="Q348" i="15"/>
  <c r="Q352" i="15"/>
  <c r="Q356" i="15"/>
  <c r="Q360" i="15"/>
  <c r="Q364" i="15"/>
  <c r="Q368" i="15"/>
  <c r="Q372" i="15"/>
  <c r="Q376" i="15"/>
  <c r="Q380" i="15"/>
  <c r="Q384" i="15"/>
  <c r="Q388" i="15"/>
  <c r="Q392" i="15"/>
  <c r="Q396" i="15"/>
  <c r="P355" i="15"/>
  <c r="Q269" i="15"/>
  <c r="Q285" i="15"/>
  <c r="Q301" i="15"/>
  <c r="Q317" i="15"/>
  <c r="Q325" i="15"/>
  <c r="Q330" i="15"/>
  <c r="Q335" i="15"/>
  <c r="Q341" i="15"/>
  <c r="Q345" i="15"/>
  <c r="Q349" i="15"/>
  <c r="Q353" i="15"/>
  <c r="Q357" i="15"/>
  <c r="Q361" i="15"/>
  <c r="Q365" i="15"/>
  <c r="Q369" i="15"/>
  <c r="Q373" i="15"/>
  <c r="Q377" i="15"/>
  <c r="Q381" i="15"/>
  <c r="Q385" i="15"/>
  <c r="Q389" i="15"/>
  <c r="Q393" i="15"/>
  <c r="P262" i="15"/>
  <c r="Q319" i="15"/>
  <c r="Q342" i="15"/>
  <c r="Q358" i="15"/>
  <c r="Q374" i="15"/>
  <c r="Q390" i="15"/>
  <c r="P371" i="15"/>
  <c r="Q273" i="15"/>
  <c r="Q326" i="15"/>
  <c r="Q346" i="15"/>
  <c r="Q362" i="15"/>
  <c r="Q378" i="15"/>
  <c r="Q394" i="15"/>
  <c r="Q289" i="15"/>
  <c r="Q331" i="15"/>
  <c r="Q350" i="15"/>
  <c r="Q366" i="15"/>
  <c r="Q382" i="15"/>
  <c r="Q305" i="15"/>
  <c r="Q386" i="15"/>
  <c r="Q337" i="15"/>
  <c r="Q354" i="15"/>
  <c r="Q370" i="15"/>
  <c r="P105" i="15"/>
  <c r="P109" i="15"/>
  <c r="P113" i="15"/>
  <c r="P117" i="15"/>
  <c r="P121" i="15"/>
  <c r="P125" i="15"/>
  <c r="P129" i="15"/>
  <c r="P133" i="15"/>
  <c r="P137" i="15"/>
  <c r="P141" i="15"/>
  <c r="P145" i="15"/>
  <c r="P149" i="15"/>
  <c r="P153" i="15"/>
  <c r="P157" i="15"/>
  <c r="P161" i="15"/>
  <c r="P107" i="15"/>
  <c r="P111" i="15"/>
  <c r="P115" i="15"/>
  <c r="P119" i="15"/>
  <c r="P123" i="15"/>
  <c r="P127" i="15"/>
  <c r="P131" i="15"/>
  <c r="P135" i="15"/>
  <c r="P139" i="15"/>
  <c r="P143" i="15"/>
  <c r="P147" i="15"/>
  <c r="P151" i="15"/>
  <c r="P155" i="15"/>
  <c r="P159" i="15"/>
  <c r="P104" i="15"/>
  <c r="P108" i="15"/>
  <c r="P112" i="15"/>
  <c r="P116" i="15"/>
  <c r="P120" i="15"/>
  <c r="P124" i="15"/>
  <c r="P128" i="15"/>
  <c r="P132" i="15"/>
  <c r="P136" i="15"/>
  <c r="P140" i="15"/>
  <c r="P144" i="15"/>
  <c r="P148" i="15"/>
  <c r="P152" i="15"/>
  <c r="P156" i="15"/>
  <c r="P160" i="15"/>
  <c r="P106" i="15"/>
  <c r="P122" i="15"/>
  <c r="P138" i="15"/>
  <c r="P154" i="15"/>
  <c r="P110" i="15"/>
  <c r="P126" i="15"/>
  <c r="P142" i="15"/>
  <c r="P158" i="15"/>
  <c r="P114" i="15"/>
  <c r="P130" i="15"/>
  <c r="P146" i="15"/>
  <c r="P162" i="15"/>
  <c r="P150" i="15"/>
  <c r="Q106" i="15"/>
  <c r="Q110" i="15"/>
  <c r="Q114" i="15"/>
  <c r="Q118" i="15"/>
  <c r="Q122" i="15"/>
  <c r="Q126" i="15"/>
  <c r="Q130" i="15"/>
  <c r="Q134" i="15"/>
  <c r="Q138" i="15"/>
  <c r="Q142" i="15"/>
  <c r="Q146" i="15"/>
  <c r="Q150" i="15"/>
  <c r="Q154" i="15"/>
  <c r="Q158" i="15"/>
  <c r="Q162" i="15"/>
  <c r="Q107" i="15"/>
  <c r="Q111" i="15"/>
  <c r="Q115" i="15"/>
  <c r="Q119" i="15"/>
  <c r="Q123" i="15"/>
  <c r="Q127" i="15"/>
  <c r="Q131" i="15"/>
  <c r="Q135" i="15"/>
  <c r="Q139" i="15"/>
  <c r="Q143" i="15"/>
  <c r="Q147" i="15"/>
  <c r="Q151" i="15"/>
  <c r="Q155" i="15"/>
  <c r="Q159" i="15"/>
  <c r="P118" i="15"/>
  <c r="Q104" i="15"/>
  <c r="Q108" i="15"/>
  <c r="Q112" i="15"/>
  <c r="Q116" i="15"/>
  <c r="Q120" i="15"/>
  <c r="Q124" i="15"/>
  <c r="Q128" i="15"/>
  <c r="Q132" i="15"/>
  <c r="Q136" i="15"/>
  <c r="Q140" i="15"/>
  <c r="Q144" i="15"/>
  <c r="Q148" i="15"/>
  <c r="Q152" i="15"/>
  <c r="Q156" i="15"/>
  <c r="Q160" i="15"/>
  <c r="Q117" i="15"/>
  <c r="Q133" i="15"/>
  <c r="Q149" i="15"/>
  <c r="P134" i="15"/>
  <c r="Q105" i="15"/>
  <c r="Q121" i="15"/>
  <c r="Q137" i="15"/>
  <c r="Q153" i="15"/>
  <c r="Q109" i="15"/>
  <c r="Q125" i="15"/>
  <c r="Q141" i="15"/>
  <c r="Q157" i="15"/>
  <c r="Q129" i="15"/>
  <c r="Q145" i="15"/>
  <c r="Q161" i="15"/>
  <c r="Q113" i="15"/>
  <c r="P29" i="15"/>
  <c r="P33" i="15"/>
  <c r="P37" i="15"/>
  <c r="P41" i="15"/>
  <c r="P45" i="15"/>
  <c r="P49" i="15"/>
  <c r="P53" i="15"/>
  <c r="P57" i="15"/>
  <c r="P61" i="15"/>
  <c r="P65" i="15"/>
  <c r="P69" i="15"/>
  <c r="P73" i="15"/>
  <c r="P77" i="15"/>
  <c r="P81" i="15"/>
  <c r="P85" i="15"/>
  <c r="P89" i="15"/>
  <c r="P93" i="15"/>
  <c r="P97" i="15"/>
  <c r="P101" i="15"/>
  <c r="P31" i="15"/>
  <c r="P35" i="15"/>
  <c r="P39" i="15"/>
  <c r="P43" i="15"/>
  <c r="P47" i="15"/>
  <c r="P51" i="15"/>
  <c r="P55" i="15"/>
  <c r="P59" i="15"/>
  <c r="P63" i="15"/>
  <c r="P67" i="15"/>
  <c r="P71" i="15"/>
  <c r="P75" i="15"/>
  <c r="P79" i="15"/>
  <c r="P83" i="15"/>
  <c r="P87" i="15"/>
  <c r="P91" i="15"/>
  <c r="P95" i="15"/>
  <c r="P99" i="15"/>
  <c r="P103" i="15"/>
  <c r="P32" i="15"/>
  <c r="P36" i="15"/>
  <c r="P40" i="15"/>
  <c r="P44" i="15"/>
  <c r="P48" i="15"/>
  <c r="P52" i="15"/>
  <c r="P56" i="15"/>
  <c r="P60" i="15"/>
  <c r="P64" i="15"/>
  <c r="P68" i="15"/>
  <c r="P72" i="15"/>
  <c r="P76" i="15"/>
  <c r="P80" i="15"/>
  <c r="P84" i="15"/>
  <c r="P88" i="15"/>
  <c r="P92" i="15"/>
  <c r="P96" i="15"/>
  <c r="P100" i="15"/>
  <c r="P42" i="15"/>
  <c r="P58" i="15"/>
  <c r="P74" i="15"/>
  <c r="P90" i="15"/>
  <c r="Q29" i="15"/>
  <c r="Q33" i="15"/>
  <c r="Q37" i="15"/>
  <c r="Q41" i="15"/>
  <c r="Q45" i="15"/>
  <c r="Q49" i="15"/>
  <c r="Q53" i="15"/>
  <c r="Q57" i="15"/>
  <c r="Q61" i="15"/>
  <c r="Q65" i="15"/>
  <c r="Q69" i="15"/>
  <c r="P30" i="15"/>
  <c r="P46" i="15"/>
  <c r="P62" i="15"/>
  <c r="P78" i="15"/>
  <c r="P94" i="15"/>
  <c r="Q30" i="15"/>
  <c r="Q34" i="15"/>
  <c r="Q38" i="15"/>
  <c r="Q42" i="15"/>
  <c r="Q46" i="15"/>
  <c r="Q50" i="15"/>
  <c r="Q54" i="15"/>
  <c r="Q58" i="15"/>
  <c r="Q62" i="15"/>
  <c r="P34" i="15"/>
  <c r="P50" i="15"/>
  <c r="P66" i="15"/>
  <c r="P82" i="15"/>
  <c r="P98" i="15"/>
  <c r="Q31" i="15"/>
  <c r="Q35" i="15"/>
  <c r="Q39" i="15"/>
  <c r="Q43" i="15"/>
  <c r="Q47" i="15"/>
  <c r="Q51" i="15"/>
  <c r="Q55" i="15"/>
  <c r="Q59" i="15"/>
  <c r="Q63" i="15"/>
  <c r="Q67" i="15"/>
  <c r="Q71" i="15"/>
  <c r="P86" i="15"/>
  <c r="Q40" i="15"/>
  <c r="Q56" i="15"/>
  <c r="Q68" i="15"/>
  <c r="Q74" i="15"/>
  <c r="Q78" i="15"/>
  <c r="Q82" i="15"/>
  <c r="Q86" i="15"/>
  <c r="Q90" i="15"/>
  <c r="Q94" i="15"/>
  <c r="Q98" i="15"/>
  <c r="Q102" i="15"/>
  <c r="P38" i="15"/>
  <c r="P102" i="15"/>
  <c r="Q44" i="15"/>
  <c r="Q60" i="15"/>
  <c r="Q70" i="15"/>
  <c r="Q75" i="15"/>
  <c r="Q79" i="15"/>
  <c r="Q83" i="15"/>
  <c r="Q87" i="15"/>
  <c r="Q91" i="15"/>
  <c r="Q95" i="15"/>
  <c r="Q99" i="15"/>
  <c r="Q103" i="15"/>
  <c r="P54" i="15"/>
  <c r="Q32" i="15"/>
  <c r="Q48" i="15"/>
  <c r="Q64" i="15"/>
  <c r="Q72" i="15"/>
  <c r="Q76" i="15"/>
  <c r="Q80" i="15"/>
  <c r="Q84" i="15"/>
  <c r="Q88" i="15"/>
  <c r="Q92" i="15"/>
  <c r="Q96" i="15"/>
  <c r="Q100" i="15"/>
  <c r="P70" i="15"/>
  <c r="Q66" i="15"/>
  <c r="Q85" i="15"/>
  <c r="Q101" i="15"/>
  <c r="Q73" i="15"/>
  <c r="Q89" i="15"/>
  <c r="Q36" i="15"/>
  <c r="Q77" i="15"/>
  <c r="Q93" i="15"/>
  <c r="Q52" i="15"/>
  <c r="Q81" i="15"/>
  <c r="Q97" i="15"/>
  <c r="P400" i="15"/>
  <c r="P404" i="15"/>
  <c r="P408" i="15"/>
  <c r="P412" i="15"/>
  <c r="P416" i="15"/>
  <c r="P420" i="15"/>
  <c r="P424" i="15"/>
  <c r="P397" i="15"/>
  <c r="P401" i="15"/>
  <c r="P405" i="15"/>
  <c r="P409" i="15"/>
  <c r="P413" i="15"/>
  <c r="P417" i="15"/>
  <c r="P421" i="15"/>
  <c r="P425" i="15"/>
  <c r="P398" i="15"/>
  <c r="P402" i="15"/>
  <c r="P406" i="15"/>
  <c r="P410" i="15"/>
  <c r="P414" i="15"/>
  <c r="P418" i="15"/>
  <c r="P422" i="15"/>
  <c r="P426" i="15"/>
  <c r="P407" i="15"/>
  <c r="P423" i="15"/>
  <c r="P411" i="15"/>
  <c r="P399" i="15"/>
  <c r="P415" i="15"/>
  <c r="Q399" i="15"/>
  <c r="Q403" i="15"/>
  <c r="Q407" i="15"/>
  <c r="Q411" i="15"/>
  <c r="Q415" i="15"/>
  <c r="Q419" i="15"/>
  <c r="Q423" i="15"/>
  <c r="P403" i="15"/>
  <c r="Q400" i="15"/>
  <c r="Q404" i="15"/>
  <c r="Q408" i="15"/>
  <c r="Q412" i="15"/>
  <c r="Q416" i="15"/>
  <c r="Q420" i="15"/>
  <c r="Q424" i="15"/>
  <c r="P419" i="15"/>
  <c r="Q397" i="15"/>
  <c r="Q401" i="15"/>
  <c r="Q405" i="15"/>
  <c r="Q409" i="15"/>
  <c r="Q413" i="15"/>
  <c r="Q417" i="15"/>
  <c r="Q421" i="15"/>
  <c r="Q425" i="15"/>
  <c r="Q406" i="15"/>
  <c r="Q422" i="15"/>
  <c r="Q410" i="15"/>
  <c r="Q426" i="15"/>
  <c r="Q398" i="15"/>
  <c r="Q414" i="15"/>
  <c r="Q402" i="15"/>
  <c r="Q418" i="15"/>
  <c r="P428" i="15"/>
  <c r="P432" i="15"/>
  <c r="P436" i="15"/>
  <c r="P440" i="15"/>
  <c r="P444" i="15"/>
  <c r="P448" i="15"/>
  <c r="P452" i="15"/>
  <c r="P456" i="15"/>
  <c r="P460" i="15"/>
  <c r="P464" i="15"/>
  <c r="P468" i="15"/>
  <c r="P472" i="15"/>
  <c r="P476" i="15"/>
  <c r="P480" i="15"/>
  <c r="P484" i="15"/>
  <c r="P488" i="15"/>
  <c r="P492" i="15"/>
  <c r="P496" i="15"/>
  <c r="P500" i="15"/>
  <c r="P504" i="15"/>
  <c r="P508" i="15"/>
  <c r="P512" i="15"/>
  <c r="P429" i="15"/>
  <c r="P433" i="15"/>
  <c r="P437" i="15"/>
  <c r="P441" i="15"/>
  <c r="P445" i="15"/>
  <c r="P449" i="15"/>
  <c r="P453" i="15"/>
  <c r="P457" i="15"/>
  <c r="P461" i="15"/>
  <c r="P465" i="15"/>
  <c r="P469" i="15"/>
  <c r="P473" i="15"/>
  <c r="P477" i="15"/>
  <c r="P481" i="15"/>
  <c r="P485" i="15"/>
  <c r="P489" i="15"/>
  <c r="P493" i="15"/>
  <c r="P497" i="15"/>
  <c r="P501" i="15"/>
  <c r="P505" i="15"/>
  <c r="P509" i="15"/>
  <c r="P430" i="15"/>
  <c r="P434" i="15"/>
  <c r="P438" i="15"/>
  <c r="P442" i="15"/>
  <c r="P446" i="15"/>
  <c r="P450" i="15"/>
  <c r="P454" i="15"/>
  <c r="P458" i="15"/>
  <c r="P462" i="15"/>
  <c r="P466" i="15"/>
  <c r="P470" i="15"/>
  <c r="P474" i="15"/>
  <c r="P478" i="15"/>
  <c r="P482" i="15"/>
  <c r="P486" i="15"/>
  <c r="P490" i="15"/>
  <c r="P494" i="15"/>
  <c r="P498" i="15"/>
  <c r="P502" i="15"/>
  <c r="P506" i="15"/>
  <c r="P510" i="15"/>
  <c r="P439" i="15"/>
  <c r="P455" i="15"/>
  <c r="P471" i="15"/>
  <c r="P487" i="15"/>
  <c r="P503" i="15"/>
  <c r="P427" i="15"/>
  <c r="P443" i="15"/>
  <c r="P459" i="15"/>
  <c r="P475" i="15"/>
  <c r="P491" i="15"/>
  <c r="P507" i="15"/>
  <c r="P431" i="15"/>
  <c r="P447" i="15"/>
  <c r="P463" i="15"/>
  <c r="P479" i="15"/>
  <c r="P495" i="15"/>
  <c r="P511" i="15"/>
  <c r="P451" i="15"/>
  <c r="Q427" i="15"/>
  <c r="Q431" i="15"/>
  <c r="Q435" i="15"/>
  <c r="Q439" i="15"/>
  <c r="Q443" i="15"/>
  <c r="Q447" i="15"/>
  <c r="Q451" i="15"/>
  <c r="Q455" i="15"/>
  <c r="Q459" i="15"/>
  <c r="Q463" i="15"/>
  <c r="Q467" i="15"/>
  <c r="Q471" i="15"/>
  <c r="Q475" i="15"/>
  <c r="Q479" i="15"/>
  <c r="Q483" i="15"/>
  <c r="Q487" i="15"/>
  <c r="Q491" i="15"/>
  <c r="Q495" i="15"/>
  <c r="Q499" i="15"/>
  <c r="Q503" i="15"/>
  <c r="Q507" i="15"/>
  <c r="Q511" i="15"/>
  <c r="P467" i="15"/>
  <c r="Q428" i="15"/>
  <c r="Q432" i="15"/>
  <c r="Q436" i="15"/>
  <c r="Q440" i="15"/>
  <c r="Q444" i="15"/>
  <c r="Q448" i="15"/>
  <c r="Q452" i="15"/>
  <c r="Q456" i="15"/>
  <c r="Q460" i="15"/>
  <c r="Q464" i="15"/>
  <c r="Q468" i="15"/>
  <c r="Q472" i="15"/>
  <c r="Q476" i="15"/>
  <c r="Q480" i="15"/>
  <c r="Q484" i="15"/>
  <c r="Q488" i="15"/>
  <c r="Q492" i="15"/>
  <c r="Q496" i="15"/>
  <c r="Q500" i="15"/>
  <c r="Q504" i="15"/>
  <c r="Q508" i="15"/>
  <c r="P483" i="15"/>
  <c r="Q429" i="15"/>
  <c r="Q433" i="15"/>
  <c r="Q437" i="15"/>
  <c r="Q441" i="15"/>
  <c r="Q445" i="15"/>
  <c r="Q449" i="15"/>
  <c r="Q453" i="15"/>
  <c r="Q457" i="15"/>
  <c r="Q461" i="15"/>
  <c r="Q465" i="15"/>
  <c r="Q469" i="15"/>
  <c r="Q473" i="15"/>
  <c r="Q477" i="15"/>
  <c r="Q481" i="15"/>
  <c r="Q485" i="15"/>
  <c r="Q489" i="15"/>
  <c r="Q493" i="15"/>
  <c r="Q497" i="15"/>
  <c r="Q501" i="15"/>
  <c r="Q505" i="15"/>
  <c r="Q509" i="15"/>
  <c r="Q438" i="15"/>
  <c r="Q454" i="15"/>
  <c r="Q470" i="15"/>
  <c r="Q486" i="15"/>
  <c r="Q502" i="15"/>
  <c r="Q442" i="15"/>
  <c r="Q458" i="15"/>
  <c r="Q474" i="15"/>
  <c r="Q490" i="15"/>
  <c r="Q506" i="15"/>
  <c r="P435" i="15"/>
  <c r="Q430" i="15"/>
  <c r="Q446" i="15"/>
  <c r="Q462" i="15"/>
  <c r="Q478" i="15"/>
  <c r="Q494" i="15"/>
  <c r="Q510" i="15"/>
  <c r="P499" i="15"/>
  <c r="Q450" i="15"/>
  <c r="Q466" i="15"/>
  <c r="Q482" i="15"/>
  <c r="Q434" i="15"/>
  <c r="Q498" i="15"/>
  <c r="P165" i="15"/>
  <c r="P169" i="15"/>
  <c r="P173" i="15"/>
  <c r="P177" i="15"/>
  <c r="P181" i="15"/>
  <c r="P185" i="15"/>
  <c r="P189" i="15"/>
  <c r="P193" i="15"/>
  <c r="P197" i="15"/>
  <c r="P201" i="15"/>
  <c r="P205" i="15"/>
  <c r="P209" i="15"/>
  <c r="P213" i="15"/>
  <c r="P163" i="15"/>
  <c r="P167" i="15"/>
  <c r="P171" i="15"/>
  <c r="P175" i="15"/>
  <c r="P179" i="15"/>
  <c r="P183" i="15"/>
  <c r="P187" i="15"/>
  <c r="P191" i="15"/>
  <c r="P195" i="15"/>
  <c r="P199" i="15"/>
  <c r="P203" i="15"/>
  <c r="P207" i="15"/>
  <c r="P211" i="15"/>
  <c r="P215" i="15"/>
  <c r="P164" i="15"/>
  <c r="P168" i="15"/>
  <c r="P172" i="15"/>
  <c r="P176" i="15"/>
  <c r="P180" i="15"/>
  <c r="P184" i="15"/>
  <c r="P188" i="15"/>
  <c r="P192" i="15"/>
  <c r="P196" i="15"/>
  <c r="P200" i="15"/>
  <c r="P204" i="15"/>
  <c r="P208" i="15"/>
  <c r="P212" i="15"/>
  <c r="P216" i="15"/>
  <c r="P170" i="15"/>
  <c r="P186" i="15"/>
  <c r="P202" i="15"/>
  <c r="P174" i="15"/>
  <c r="P190" i="15"/>
  <c r="P206" i="15"/>
  <c r="P178" i="15"/>
  <c r="P194" i="15"/>
  <c r="P210" i="15"/>
  <c r="P214" i="15"/>
  <c r="Q166" i="15"/>
  <c r="Q170" i="15"/>
  <c r="Q174" i="15"/>
  <c r="Q178" i="15"/>
  <c r="Q182" i="15"/>
  <c r="Q186" i="15"/>
  <c r="Q190" i="15"/>
  <c r="Q194" i="15"/>
  <c r="Q198" i="15"/>
  <c r="Q202" i="15"/>
  <c r="Q206" i="15"/>
  <c r="Q210" i="15"/>
  <c r="Q214" i="15"/>
  <c r="P166" i="15"/>
  <c r="Q163" i="15"/>
  <c r="Q167" i="15"/>
  <c r="Q171" i="15"/>
  <c r="Q175" i="15"/>
  <c r="Q179" i="15"/>
  <c r="Q183" i="15"/>
  <c r="Q187" i="15"/>
  <c r="Q191" i="15"/>
  <c r="Q195" i="15"/>
  <c r="Q199" i="15"/>
  <c r="Q203" i="15"/>
  <c r="Q207" i="15"/>
  <c r="Q211" i="15"/>
  <c r="Q215" i="15"/>
  <c r="P182" i="15"/>
  <c r="Q164" i="15"/>
  <c r="Q168" i="15"/>
  <c r="Q172" i="15"/>
  <c r="Q176" i="15"/>
  <c r="Q180" i="15"/>
  <c r="Q184" i="15"/>
  <c r="Q188" i="15"/>
  <c r="Q192" i="15"/>
  <c r="Q196" i="15"/>
  <c r="Q200" i="15"/>
  <c r="Q204" i="15"/>
  <c r="Q208" i="15"/>
  <c r="Q212" i="15"/>
  <c r="Q216" i="15"/>
  <c r="Q165" i="15"/>
  <c r="Q181" i="15"/>
  <c r="Q197" i="15"/>
  <c r="Q213" i="15"/>
  <c r="Q169" i="15"/>
  <c r="Q185" i="15"/>
  <c r="Q201" i="15"/>
  <c r="P198" i="15"/>
  <c r="Q173" i="15"/>
  <c r="Q189" i="15"/>
  <c r="Q205" i="15"/>
  <c r="Q193" i="15"/>
  <c r="Q209" i="15"/>
  <c r="Q177" i="15"/>
  <c r="U35" i="7"/>
  <c r="AO15" i="15"/>
  <c r="AO16" i="15"/>
  <c r="AO17" i="15"/>
  <c r="AI18" i="15"/>
  <c r="AI17" i="15"/>
  <c r="AI16" i="15"/>
  <c r="AI15" i="15"/>
  <c r="AC8" i="15"/>
  <c r="AC7" i="15"/>
  <c r="AC6" i="15"/>
  <c r="AC5" i="15"/>
  <c r="T30" i="15" l="1"/>
  <c r="M6" i="22"/>
  <c r="AC39" i="22" l="1"/>
  <c r="Y39" i="22"/>
  <c r="AC25" i="22"/>
  <c r="Y25" i="22"/>
  <c r="AC12" i="22"/>
  <c r="AC15" i="22" s="1"/>
  <c r="Z38" i="22"/>
  <c r="V38" i="22"/>
  <c r="Z24" i="22"/>
  <c r="V23" i="22"/>
  <c r="AA37" i="22"/>
  <c r="W37" i="22"/>
  <c r="AA23" i="22"/>
  <c r="W23" i="22"/>
  <c r="AA36" i="22"/>
  <c r="W36" i="22"/>
  <c r="AA22" i="22"/>
  <c r="W22" i="22"/>
  <c r="AA8" i="22"/>
  <c r="AB39" i="22"/>
  <c r="X39" i="22"/>
  <c r="AB25" i="22"/>
  <c r="X25" i="22"/>
  <c r="Y12" i="22"/>
  <c r="Y15" i="22" s="1"/>
  <c r="AC38" i="22"/>
  <c r="Y38" i="22"/>
  <c r="AC24" i="22"/>
  <c r="Y24" i="22"/>
  <c r="AB12" i="22"/>
  <c r="AB15" i="22" s="1"/>
  <c r="Z37" i="22"/>
  <c r="V37" i="22"/>
  <c r="Z23" i="22"/>
  <c r="V25" i="22"/>
  <c r="X8" i="22"/>
  <c r="Z36" i="22"/>
  <c r="V36" i="22"/>
  <c r="Z22" i="22"/>
  <c r="V22" i="22"/>
  <c r="W8" i="22"/>
  <c r="AA39" i="22"/>
  <c r="W39" i="22"/>
  <c r="AA25" i="22"/>
  <c r="W25" i="22"/>
  <c r="AC8" i="22"/>
  <c r="AB38" i="22"/>
  <c r="X38" i="22"/>
  <c r="AB24" i="22"/>
  <c r="X24" i="22"/>
  <c r="X12" i="22"/>
  <c r="X15" i="22" s="1"/>
  <c r="AC37" i="22"/>
  <c r="Y37" i="22"/>
  <c r="AC23" i="22"/>
  <c r="Y23" i="22"/>
  <c r="AA12" i="22"/>
  <c r="AA15" i="22" s="1"/>
  <c r="AC36" i="22"/>
  <c r="Y36" i="22"/>
  <c r="AC22" i="22"/>
  <c r="Y22" i="22"/>
  <c r="Z12" i="22"/>
  <c r="Z15" i="22" s="1"/>
  <c r="Z39" i="22"/>
  <c r="V39" i="22"/>
  <c r="Z25" i="22"/>
  <c r="V24" i="22"/>
  <c r="AA38" i="22"/>
  <c r="W38" i="22"/>
  <c r="AA24" i="22"/>
  <c r="W24" i="22"/>
  <c r="AC7" i="22"/>
  <c r="AB37" i="22"/>
  <c r="X37" i="22"/>
  <c r="AB23" i="22"/>
  <c r="X36" i="22"/>
  <c r="X23" i="22"/>
  <c r="AB22" i="22"/>
  <c r="W12" i="22"/>
  <c r="W15" i="22" s="1"/>
  <c r="X22" i="22"/>
  <c r="AB36" i="22"/>
  <c r="V12" i="22"/>
  <c r="V15" i="22" s="1"/>
  <c r="N5" i="7"/>
  <c r="O5" i="7" s="1"/>
  <c r="S10" i="7" s="1"/>
  <c r="T10" i="7" l="1"/>
  <c r="W46" i="22"/>
  <c r="Y46" i="22"/>
  <c r="V46" i="22"/>
  <c r="X46" i="22"/>
  <c r="AD22" i="22"/>
  <c r="V29" i="22"/>
  <c r="AD12" i="22"/>
  <c r="AD36" i="22"/>
  <c r="V43" i="22"/>
  <c r="P5" i="7"/>
  <c r="W29" i="22"/>
  <c r="Y43" i="22"/>
  <c r="AB26" i="22"/>
  <c r="X32" i="22"/>
  <c r="AD39" i="22"/>
  <c r="Y32" i="22"/>
  <c r="AC26" i="22"/>
  <c r="V32" i="22"/>
  <c r="AD25" i="22"/>
  <c r="V44" i="22"/>
  <c r="Z46" i="22" l="1"/>
  <c r="AD15" i="22"/>
  <c r="G22" i="25" l="1"/>
  <c r="G20" i="25"/>
  <c r="G18" i="25"/>
  <c r="G16" i="25"/>
  <c r="J7" i="25"/>
  <c r="J11" i="25"/>
  <c r="J5" i="25"/>
  <c r="J9" i="25"/>
  <c r="E22" i="25" l="1"/>
  <c r="E21" i="25"/>
  <c r="E20" i="25"/>
  <c r="E19" i="25"/>
  <c r="E18" i="25"/>
  <c r="E17" i="25"/>
  <c r="E16" i="25"/>
  <c r="E15" i="25"/>
  <c r="B61" i="23" l="1"/>
  <c r="D61" i="23"/>
  <c r="E61" i="23"/>
  <c r="C61" i="23"/>
  <c r="M49" i="23" l="1"/>
  <c r="F61" i="23"/>
  <c r="G61" i="23"/>
  <c r="H61" i="23"/>
  <c r="I61" i="23"/>
  <c r="J61" i="23"/>
  <c r="K61" i="23"/>
  <c r="L61" i="23"/>
  <c r="M61" i="23"/>
  <c r="C49" i="23"/>
  <c r="D49" i="23"/>
  <c r="E49" i="23"/>
  <c r="F49" i="23"/>
  <c r="G49" i="23"/>
  <c r="H49" i="23"/>
  <c r="I49" i="23"/>
  <c r="J49" i="23"/>
  <c r="K49" i="23"/>
  <c r="L49" i="23"/>
  <c r="B49" i="23"/>
  <c r="D37" i="23"/>
  <c r="C37" i="23"/>
  <c r="E37" i="23"/>
  <c r="F37" i="23"/>
  <c r="G37" i="23"/>
  <c r="B37" i="23"/>
  <c r="C11" i="23" l="1"/>
  <c r="Q83" i="13" l="1"/>
  <c r="P3" i="23" l="1"/>
  <c r="M3" i="23" l="1"/>
  <c r="B16" i="23"/>
  <c r="P10" i="23"/>
  <c r="P9" i="23"/>
  <c r="P8" i="23"/>
  <c r="P7" i="23"/>
  <c r="P6" i="23"/>
  <c r="P5" i="23"/>
  <c r="P4" i="23"/>
  <c r="P11" i="23" l="1"/>
  <c r="Y5" i="8" l="1"/>
  <c r="A5" i="8"/>
  <c r="C4" i="9" l="1"/>
  <c r="C7" i="9"/>
  <c r="C10" i="9"/>
  <c r="C13" i="9"/>
  <c r="C14" i="9" l="1"/>
  <c r="D16" i="23" l="1"/>
  <c r="D23" i="23"/>
  <c r="D19" i="23"/>
  <c r="D22" i="23"/>
  <c r="D21" i="23"/>
  <c r="D17" i="23"/>
  <c r="D20" i="23"/>
  <c r="D18" i="23"/>
  <c r="A6" i="22"/>
  <c r="J5" i="8" l="1"/>
  <c r="Y29" i="22"/>
  <c r="Y31" i="22"/>
  <c r="W30" i="22"/>
  <c r="W32" i="22"/>
  <c r="Z32" i="22" s="1"/>
  <c r="Y30" i="22"/>
  <c r="W31" i="22"/>
  <c r="V31" i="22"/>
  <c r="X29" i="22"/>
  <c r="X31" i="22"/>
  <c r="V30" i="22"/>
  <c r="X30" i="22"/>
  <c r="Y45" i="22"/>
  <c r="Y44" i="22"/>
  <c r="W40" i="22"/>
  <c r="AD37" i="22"/>
  <c r="X44" i="22"/>
  <c r="AA40" i="22"/>
  <c r="W45" i="22"/>
  <c r="AD38" i="22"/>
  <c r="V45" i="22"/>
  <c r="V40" i="22"/>
  <c r="W44" i="22"/>
  <c r="AB40" i="22"/>
  <c r="X43" i="22"/>
  <c r="Z40" i="22"/>
  <c r="W43" i="22"/>
  <c r="AC40" i="22"/>
  <c r="X45" i="22"/>
  <c r="Y40" i="22"/>
  <c r="D24" i="23"/>
  <c r="C16" i="23"/>
  <c r="X40" i="22"/>
  <c r="AD23" i="22"/>
  <c r="V26" i="22"/>
  <c r="AD24" i="22"/>
  <c r="Q5" i="8" l="1"/>
  <c r="W55" i="13"/>
  <c r="V55" i="13" s="1"/>
  <c r="W70" i="13"/>
  <c r="V70" i="13" s="1"/>
  <c r="W10" i="13"/>
  <c r="V10" i="13" s="1"/>
  <c r="W52" i="13"/>
  <c r="V52" i="13" s="1"/>
  <c r="W42" i="13"/>
  <c r="V42" i="13" s="1"/>
  <c r="W74" i="13"/>
  <c r="V74" i="13" s="1"/>
  <c r="W12" i="13"/>
  <c r="V12" i="13" s="1"/>
  <c r="W58" i="13"/>
  <c r="V58" i="13" s="1"/>
  <c r="W4" i="13"/>
  <c r="V4" i="13" s="1"/>
  <c r="W19" i="13"/>
  <c r="V19" i="13" s="1"/>
  <c r="W20" i="13"/>
  <c r="V20" i="13" s="1"/>
  <c r="W9" i="13"/>
  <c r="V9" i="13" s="1"/>
  <c r="W23" i="13"/>
  <c r="V23" i="13" s="1"/>
  <c r="W81" i="13"/>
  <c r="V81" i="13" s="1"/>
  <c r="W22" i="13"/>
  <c r="V22" i="13" s="1"/>
  <c r="W3" i="13"/>
  <c r="V3" i="13" s="1"/>
  <c r="W61" i="13"/>
  <c r="V61" i="13" s="1"/>
  <c r="W15" i="13"/>
  <c r="V15" i="13" s="1"/>
  <c r="W67" i="13"/>
  <c r="V67" i="13" s="1"/>
  <c r="W21" i="13"/>
  <c r="V21" i="13" s="1"/>
  <c r="W54" i="13"/>
  <c r="V54" i="13" s="1"/>
  <c r="W75" i="13"/>
  <c r="V75" i="13" s="1"/>
  <c r="W63" i="13"/>
  <c r="V63" i="13" s="1"/>
  <c r="W14" i="13"/>
  <c r="V14" i="13" s="1"/>
  <c r="W11" i="13"/>
  <c r="V11" i="13" s="1"/>
  <c r="W59" i="13"/>
  <c r="V59" i="13" s="1"/>
  <c r="W43" i="13"/>
  <c r="V43" i="13" s="1"/>
  <c r="W13" i="13"/>
  <c r="V13" i="13" s="1"/>
  <c r="W78" i="13"/>
  <c r="V78" i="13" s="1"/>
  <c r="W2" i="13"/>
  <c r="W71" i="13"/>
  <c r="V71" i="13" s="1"/>
  <c r="W40" i="13"/>
  <c r="V40" i="13" s="1"/>
  <c r="W8" i="13"/>
  <c r="V8" i="13" s="1"/>
  <c r="W53" i="13"/>
  <c r="V53" i="13" s="1"/>
  <c r="W60" i="13"/>
  <c r="V60" i="13" s="1"/>
  <c r="W77" i="13"/>
  <c r="V77" i="13" s="1"/>
  <c r="W76" i="13"/>
  <c r="V76" i="13" s="1"/>
  <c r="W41" i="13"/>
  <c r="V41" i="13" s="1"/>
  <c r="W17" i="13"/>
  <c r="V17" i="13" s="1"/>
  <c r="W66" i="13"/>
  <c r="V66" i="13" s="1"/>
  <c r="W18" i="13"/>
  <c r="V18" i="13" s="1"/>
  <c r="W25" i="13"/>
  <c r="V25" i="13" s="1"/>
  <c r="W24" i="13"/>
  <c r="V24" i="13" s="1"/>
  <c r="W26" i="13"/>
  <c r="V26" i="13" s="1"/>
  <c r="W51" i="13"/>
  <c r="V51" i="13" s="1"/>
  <c r="W62" i="13"/>
  <c r="V62" i="13" s="1"/>
  <c r="W49" i="13"/>
  <c r="V49" i="13" s="1"/>
  <c r="W72" i="13"/>
  <c r="V72" i="13" s="1"/>
  <c r="W16" i="13"/>
  <c r="V16" i="13" s="1"/>
  <c r="W44" i="13"/>
  <c r="V44" i="13" s="1"/>
  <c r="W57" i="13"/>
  <c r="V57" i="13" s="1"/>
  <c r="W6" i="13"/>
  <c r="V6" i="13" s="1"/>
  <c r="W7" i="13"/>
  <c r="V7" i="13" s="1"/>
  <c r="W56" i="13"/>
  <c r="V56" i="13" s="1"/>
  <c r="W45" i="13"/>
  <c r="V45" i="13" s="1"/>
  <c r="W82" i="13"/>
  <c r="V82" i="13" s="1"/>
  <c r="W5" i="13"/>
  <c r="V5" i="13" s="1"/>
  <c r="W46" i="13"/>
  <c r="V46" i="13" s="1"/>
  <c r="W73" i="13"/>
  <c r="V73" i="13" s="1"/>
  <c r="W68" i="13"/>
  <c r="V68" i="13" s="1"/>
  <c r="W69" i="13"/>
  <c r="V69" i="13" s="1"/>
  <c r="W64" i="13"/>
  <c r="V64" i="13" s="1"/>
  <c r="W65" i="13"/>
  <c r="V65" i="13" s="1"/>
  <c r="W79" i="13"/>
  <c r="V79" i="13" s="1"/>
  <c r="W80" i="13"/>
  <c r="V80" i="13" s="1"/>
  <c r="W50" i="13"/>
  <c r="V50" i="13" s="1"/>
  <c r="W47" i="13"/>
  <c r="V47" i="13" s="1"/>
  <c r="W48" i="13"/>
  <c r="V48" i="13" s="1"/>
  <c r="AD40" i="22"/>
  <c r="Z45" i="22"/>
  <c r="V47" i="22"/>
  <c r="Z43" i="22"/>
  <c r="Z44" i="22"/>
  <c r="X47" i="22"/>
  <c r="X33" i="22"/>
  <c r="Z29" i="22"/>
  <c r="V33" i="22"/>
  <c r="Y33" i="22"/>
  <c r="Z30" i="22"/>
  <c r="Z31" i="22"/>
  <c r="W33" i="22"/>
  <c r="W47" i="22"/>
  <c r="Y47" i="22"/>
  <c r="X5" i="8"/>
  <c r="Z47" i="22" l="1"/>
  <c r="Z33" i="22"/>
  <c r="G4" i="15" l="1"/>
  <c r="F6" i="22"/>
  <c r="Q7" i="8" l="1"/>
  <c r="Q6" i="8"/>
  <c r="Q8" i="8" l="1"/>
  <c r="Q9" i="8" s="1"/>
  <c r="Z5" i="8"/>
  <c r="K35" i="8" l="1"/>
  <c r="L35" i="8" s="1"/>
  <c r="M35" i="8" s="1"/>
  <c r="K99" i="8"/>
  <c r="L99" i="8" s="1"/>
  <c r="M99" i="8" s="1"/>
  <c r="K6" i="8"/>
  <c r="L6" i="8" s="1"/>
  <c r="M6" i="8" s="1"/>
  <c r="K51" i="8"/>
  <c r="L51" i="8" s="1"/>
  <c r="M51" i="8" s="1"/>
  <c r="K115" i="8"/>
  <c r="L115" i="8" s="1"/>
  <c r="M115" i="8" s="1"/>
  <c r="K7" i="8"/>
  <c r="L7" i="8" s="1"/>
  <c r="M7" i="8" s="1"/>
  <c r="K67" i="8"/>
  <c r="L67" i="8" s="1"/>
  <c r="M67" i="8" s="1"/>
  <c r="K131" i="8"/>
  <c r="L131" i="8" s="1"/>
  <c r="M131" i="8" s="1"/>
  <c r="K19" i="8"/>
  <c r="L19" i="8" s="1"/>
  <c r="M19" i="8" s="1"/>
  <c r="K83" i="8"/>
  <c r="L83" i="8" s="1"/>
  <c r="M83" i="8" s="1"/>
  <c r="K147" i="8"/>
  <c r="L147" i="8" s="1"/>
  <c r="M147" i="8" s="1"/>
  <c r="K481" i="8"/>
  <c r="L481" i="8" s="1"/>
  <c r="M481" i="8" s="1"/>
  <c r="K501" i="8"/>
  <c r="L501" i="8" s="1"/>
  <c r="M501" i="8" s="1"/>
  <c r="K433" i="8"/>
  <c r="L433" i="8" s="1"/>
  <c r="M433" i="8" s="1"/>
  <c r="K369" i="8"/>
  <c r="L369" i="8" s="1"/>
  <c r="M369" i="8" s="1"/>
  <c r="K263" i="8"/>
  <c r="L263" i="8" s="1"/>
  <c r="M263" i="8" s="1"/>
  <c r="K496" i="8"/>
  <c r="L496" i="8" s="1"/>
  <c r="M496" i="8" s="1"/>
  <c r="K440" i="8"/>
  <c r="L440" i="8" s="1"/>
  <c r="M440" i="8" s="1"/>
  <c r="K376" i="8"/>
  <c r="L376" i="8" s="1"/>
  <c r="M376" i="8" s="1"/>
  <c r="K304" i="8"/>
  <c r="L304" i="8" s="1"/>
  <c r="M304" i="8" s="1"/>
  <c r="K208" i="8"/>
  <c r="L208" i="8" s="1"/>
  <c r="M208" i="8" s="1"/>
  <c r="K80" i="8"/>
  <c r="L80" i="8" s="1"/>
  <c r="M80" i="8" s="1"/>
  <c r="K13" i="8"/>
  <c r="L13" i="8" s="1"/>
  <c r="M13" i="8" s="1"/>
  <c r="K29" i="8"/>
  <c r="L29" i="8" s="1"/>
  <c r="M29" i="8" s="1"/>
  <c r="K45" i="8"/>
  <c r="L45" i="8" s="1"/>
  <c r="M45" i="8" s="1"/>
  <c r="K61" i="8"/>
  <c r="L61" i="8" s="1"/>
  <c r="M61" i="8" s="1"/>
  <c r="K77" i="8"/>
  <c r="L77" i="8" s="1"/>
  <c r="M77" i="8" s="1"/>
  <c r="K93" i="8"/>
  <c r="L93" i="8" s="1"/>
  <c r="M93" i="8" s="1"/>
  <c r="K109" i="8"/>
  <c r="L109" i="8" s="1"/>
  <c r="M109" i="8" s="1"/>
  <c r="K125" i="8"/>
  <c r="L125" i="8" s="1"/>
  <c r="M125" i="8" s="1"/>
  <c r="K141" i="8"/>
  <c r="L141" i="8" s="1"/>
  <c r="M141" i="8" s="1"/>
  <c r="K157" i="8"/>
  <c r="L157" i="8" s="1"/>
  <c r="M157" i="8" s="1"/>
  <c r="K173" i="8"/>
  <c r="L173" i="8" s="1"/>
  <c r="M173" i="8" s="1"/>
  <c r="K189" i="8"/>
  <c r="L189" i="8" s="1"/>
  <c r="M189" i="8" s="1"/>
  <c r="K205" i="8"/>
  <c r="L205" i="8" s="1"/>
  <c r="M205" i="8" s="1"/>
  <c r="K221" i="8"/>
  <c r="L221" i="8" s="1"/>
  <c r="M221" i="8" s="1"/>
  <c r="K237" i="8"/>
  <c r="L237" i="8" s="1"/>
  <c r="M237" i="8" s="1"/>
  <c r="K253" i="8"/>
  <c r="L253" i="8" s="1"/>
  <c r="M253" i="8" s="1"/>
  <c r="K269" i="8"/>
  <c r="L269" i="8" s="1"/>
  <c r="M269" i="8" s="1"/>
  <c r="K285" i="8"/>
  <c r="L285" i="8" s="1"/>
  <c r="M285" i="8" s="1"/>
  <c r="K301" i="8"/>
  <c r="L301" i="8" s="1"/>
  <c r="M301" i="8" s="1"/>
  <c r="K317" i="8"/>
  <c r="L317" i="8" s="1"/>
  <c r="M317" i="8" s="1"/>
  <c r="K333" i="8"/>
  <c r="L333" i="8" s="1"/>
  <c r="M333" i="8" s="1"/>
  <c r="K22" i="8"/>
  <c r="L22" i="8" s="1"/>
  <c r="M22" i="8" s="1"/>
  <c r="K38" i="8"/>
  <c r="L38" i="8" s="1"/>
  <c r="M38" i="8" s="1"/>
  <c r="K54" i="8"/>
  <c r="L54" i="8" s="1"/>
  <c r="M54" i="8" s="1"/>
  <c r="K70" i="8"/>
  <c r="L70" i="8" s="1"/>
  <c r="M70" i="8" s="1"/>
  <c r="K86" i="8"/>
  <c r="L86" i="8" s="1"/>
  <c r="M86" i="8" s="1"/>
  <c r="K102" i="8"/>
  <c r="L102" i="8" s="1"/>
  <c r="M102" i="8" s="1"/>
  <c r="K118" i="8"/>
  <c r="L118" i="8" s="1"/>
  <c r="M118" i="8" s="1"/>
  <c r="K134" i="8"/>
  <c r="L134" i="8" s="1"/>
  <c r="M134" i="8" s="1"/>
  <c r="K150" i="8"/>
  <c r="L150" i="8" s="1"/>
  <c r="M150" i="8" s="1"/>
  <c r="K166" i="8"/>
  <c r="L166" i="8" s="1"/>
  <c r="M166" i="8" s="1"/>
  <c r="K182" i="8"/>
  <c r="L182" i="8" s="1"/>
  <c r="M182" i="8" s="1"/>
  <c r="K198" i="8"/>
  <c r="L198" i="8" s="1"/>
  <c r="M198" i="8" s="1"/>
  <c r="K214" i="8"/>
  <c r="L214" i="8" s="1"/>
  <c r="M214" i="8" s="1"/>
  <c r="K230" i="8"/>
  <c r="L230" i="8" s="1"/>
  <c r="M230" i="8" s="1"/>
  <c r="K20" i="8"/>
  <c r="L20" i="8" s="1"/>
  <c r="M20" i="8" s="1"/>
  <c r="K52" i="8"/>
  <c r="L52" i="8" s="1"/>
  <c r="M52" i="8" s="1"/>
  <c r="K84" i="8"/>
  <c r="L84" i="8" s="1"/>
  <c r="M84" i="8" s="1"/>
  <c r="K116" i="8"/>
  <c r="L116" i="8" s="1"/>
  <c r="M116" i="8" s="1"/>
  <c r="K148" i="8"/>
  <c r="L148" i="8" s="1"/>
  <c r="M148" i="8" s="1"/>
  <c r="K180" i="8"/>
  <c r="L180" i="8" s="1"/>
  <c r="M180" i="8" s="1"/>
  <c r="K212" i="8"/>
  <c r="L212" i="8" s="1"/>
  <c r="M212" i="8" s="1"/>
  <c r="K243" i="8"/>
  <c r="L243" i="8" s="1"/>
  <c r="M243" i="8" s="1"/>
  <c r="K264" i="8"/>
  <c r="L264" i="8" s="1"/>
  <c r="M264" i="8" s="1"/>
  <c r="K286" i="8"/>
  <c r="L286" i="8" s="1"/>
  <c r="M286" i="8" s="1"/>
  <c r="K307" i="8"/>
  <c r="L307" i="8" s="1"/>
  <c r="M307" i="8" s="1"/>
  <c r="K328" i="8"/>
  <c r="L328" i="8" s="1"/>
  <c r="M328" i="8" s="1"/>
  <c r="K346" i="8"/>
  <c r="L346" i="8" s="1"/>
  <c r="M346" i="8" s="1"/>
  <c r="K362" i="8"/>
  <c r="L362" i="8" s="1"/>
  <c r="M362" i="8" s="1"/>
  <c r="K378" i="8"/>
  <c r="L378" i="8" s="1"/>
  <c r="M378" i="8" s="1"/>
  <c r="K394" i="8"/>
  <c r="L394" i="8" s="1"/>
  <c r="M394" i="8" s="1"/>
  <c r="K410" i="8"/>
  <c r="L410" i="8" s="1"/>
  <c r="M410" i="8" s="1"/>
  <c r="K426" i="8"/>
  <c r="L426" i="8" s="1"/>
  <c r="M426" i="8" s="1"/>
  <c r="K442" i="8"/>
  <c r="L442" i="8" s="1"/>
  <c r="M442" i="8" s="1"/>
  <c r="K458" i="8"/>
  <c r="L458" i="8" s="1"/>
  <c r="M458" i="8" s="1"/>
  <c r="K474" i="8"/>
  <c r="L474" i="8" s="1"/>
  <c r="M474" i="8" s="1"/>
  <c r="K490" i="8"/>
  <c r="L490" i="8" s="1"/>
  <c r="M490" i="8" s="1"/>
  <c r="K39" i="8"/>
  <c r="L39" i="8" s="1"/>
  <c r="M39" i="8" s="1"/>
  <c r="K71" i="8"/>
  <c r="L71" i="8" s="1"/>
  <c r="M71" i="8" s="1"/>
  <c r="K103" i="8"/>
  <c r="L103" i="8" s="1"/>
  <c r="M103" i="8" s="1"/>
  <c r="K135" i="8"/>
  <c r="L135" i="8" s="1"/>
  <c r="M135" i="8" s="1"/>
  <c r="K167" i="8"/>
  <c r="L167" i="8" s="1"/>
  <c r="M167" i="8" s="1"/>
  <c r="K199" i="8"/>
  <c r="L199" i="8" s="1"/>
  <c r="M199" i="8" s="1"/>
  <c r="K231" i="8"/>
  <c r="L231" i="8" s="1"/>
  <c r="M231" i="8" s="1"/>
  <c r="K255" i="8"/>
  <c r="L255" i="8" s="1"/>
  <c r="M255" i="8" s="1"/>
  <c r="K276" i="8"/>
  <c r="L276" i="8" s="1"/>
  <c r="M276" i="8" s="1"/>
  <c r="K298" i="8"/>
  <c r="L298" i="8" s="1"/>
  <c r="M298" i="8" s="1"/>
  <c r="K319" i="8"/>
  <c r="L319" i="8" s="1"/>
  <c r="M319" i="8" s="1"/>
  <c r="K339" i="8"/>
  <c r="L339" i="8" s="1"/>
  <c r="M339" i="8" s="1"/>
  <c r="K355" i="8"/>
  <c r="L355" i="8" s="1"/>
  <c r="M355" i="8" s="1"/>
  <c r="K371" i="8"/>
  <c r="L371" i="8" s="1"/>
  <c r="M371" i="8" s="1"/>
  <c r="K387" i="8"/>
  <c r="L387" i="8" s="1"/>
  <c r="M387" i="8" s="1"/>
  <c r="K403" i="8"/>
  <c r="L403" i="8" s="1"/>
  <c r="M403" i="8" s="1"/>
  <c r="K419" i="8"/>
  <c r="L419" i="8" s="1"/>
  <c r="M419" i="8" s="1"/>
  <c r="K163" i="8"/>
  <c r="L163" i="8" s="1"/>
  <c r="M163" i="8" s="1"/>
  <c r="K493" i="8"/>
  <c r="L493" i="8" s="1"/>
  <c r="M493" i="8" s="1"/>
  <c r="K417" i="8"/>
  <c r="L417" i="8" s="1"/>
  <c r="M417" i="8" s="1"/>
  <c r="K353" i="8"/>
  <c r="L353" i="8" s="1"/>
  <c r="M353" i="8" s="1"/>
  <c r="K516" i="8"/>
  <c r="L516" i="8" s="1"/>
  <c r="M516" i="8" s="1"/>
  <c r="K487" i="8"/>
  <c r="L487" i="8" s="1"/>
  <c r="M487" i="8" s="1"/>
  <c r="K424" i="8"/>
  <c r="L424" i="8" s="1"/>
  <c r="M424" i="8" s="1"/>
  <c r="K360" i="8"/>
  <c r="L360" i="8" s="1"/>
  <c r="M360" i="8" s="1"/>
  <c r="K283" i="8"/>
  <c r="L283" i="8" s="1"/>
  <c r="M283" i="8" s="1"/>
  <c r="K176" i="8"/>
  <c r="L176" i="8" s="1"/>
  <c r="M176" i="8" s="1"/>
  <c r="K48" i="8"/>
  <c r="L48" i="8" s="1"/>
  <c r="M48" i="8" s="1"/>
  <c r="K17" i="8"/>
  <c r="L17" i="8" s="1"/>
  <c r="M17" i="8" s="1"/>
  <c r="K33" i="8"/>
  <c r="L33" i="8" s="1"/>
  <c r="M33" i="8" s="1"/>
  <c r="K49" i="8"/>
  <c r="L49" i="8" s="1"/>
  <c r="M49" i="8" s="1"/>
  <c r="K65" i="8"/>
  <c r="L65" i="8" s="1"/>
  <c r="M65" i="8" s="1"/>
  <c r="K81" i="8"/>
  <c r="L81" i="8" s="1"/>
  <c r="M81" i="8" s="1"/>
  <c r="K97" i="8"/>
  <c r="L97" i="8" s="1"/>
  <c r="M97" i="8" s="1"/>
  <c r="K113" i="8"/>
  <c r="L113" i="8" s="1"/>
  <c r="M113" i="8" s="1"/>
  <c r="K129" i="8"/>
  <c r="L129" i="8" s="1"/>
  <c r="M129" i="8" s="1"/>
  <c r="K145" i="8"/>
  <c r="L145" i="8" s="1"/>
  <c r="M145" i="8" s="1"/>
  <c r="K161" i="8"/>
  <c r="L161" i="8" s="1"/>
  <c r="M161" i="8" s="1"/>
  <c r="K177" i="8"/>
  <c r="L177" i="8" s="1"/>
  <c r="M177" i="8" s="1"/>
  <c r="K193" i="8"/>
  <c r="L193" i="8" s="1"/>
  <c r="M193" i="8" s="1"/>
  <c r="K209" i="8"/>
  <c r="L209" i="8" s="1"/>
  <c r="M209" i="8" s="1"/>
  <c r="K225" i="8"/>
  <c r="L225" i="8" s="1"/>
  <c r="M225" i="8" s="1"/>
  <c r="K241" i="8"/>
  <c r="L241" i="8" s="1"/>
  <c r="M241" i="8" s="1"/>
  <c r="K257" i="8"/>
  <c r="L257" i="8" s="1"/>
  <c r="M257" i="8" s="1"/>
  <c r="K273" i="8"/>
  <c r="L273" i="8" s="1"/>
  <c r="M273" i="8" s="1"/>
  <c r="K289" i="8"/>
  <c r="L289" i="8" s="1"/>
  <c r="M289" i="8" s="1"/>
  <c r="K305" i="8"/>
  <c r="L305" i="8" s="1"/>
  <c r="M305" i="8" s="1"/>
  <c r="K321" i="8"/>
  <c r="L321" i="8" s="1"/>
  <c r="M321" i="8" s="1"/>
  <c r="K10" i="8"/>
  <c r="L10" i="8" s="1"/>
  <c r="M10" i="8" s="1"/>
  <c r="K26" i="8"/>
  <c r="L26" i="8" s="1"/>
  <c r="M26" i="8" s="1"/>
  <c r="K42" i="8"/>
  <c r="L42" i="8" s="1"/>
  <c r="M42" i="8" s="1"/>
  <c r="K58" i="8"/>
  <c r="L58" i="8" s="1"/>
  <c r="M58" i="8" s="1"/>
  <c r="K74" i="8"/>
  <c r="L74" i="8" s="1"/>
  <c r="M74" i="8" s="1"/>
  <c r="K90" i="8"/>
  <c r="L90" i="8" s="1"/>
  <c r="M90" i="8" s="1"/>
  <c r="K106" i="8"/>
  <c r="L106" i="8" s="1"/>
  <c r="M106" i="8" s="1"/>
  <c r="K122" i="8"/>
  <c r="L122" i="8" s="1"/>
  <c r="M122" i="8" s="1"/>
  <c r="K138" i="8"/>
  <c r="L138" i="8" s="1"/>
  <c r="M138" i="8" s="1"/>
  <c r="K154" i="8"/>
  <c r="L154" i="8" s="1"/>
  <c r="M154" i="8" s="1"/>
  <c r="K170" i="8"/>
  <c r="L170" i="8" s="1"/>
  <c r="M170" i="8" s="1"/>
  <c r="K186" i="8"/>
  <c r="L186" i="8" s="1"/>
  <c r="M186" i="8" s="1"/>
  <c r="K202" i="8"/>
  <c r="L202" i="8" s="1"/>
  <c r="M202" i="8" s="1"/>
  <c r="K218" i="8"/>
  <c r="L218" i="8" s="1"/>
  <c r="M218" i="8" s="1"/>
  <c r="K234" i="8"/>
  <c r="L234" i="8" s="1"/>
  <c r="M234" i="8" s="1"/>
  <c r="K28" i="8"/>
  <c r="L28" i="8" s="1"/>
  <c r="M28" i="8" s="1"/>
  <c r="K60" i="8"/>
  <c r="L60" i="8" s="1"/>
  <c r="M60" i="8" s="1"/>
  <c r="K92" i="8"/>
  <c r="L92" i="8" s="1"/>
  <c r="M92" i="8" s="1"/>
  <c r="K124" i="8"/>
  <c r="L124" i="8" s="1"/>
  <c r="M124" i="8" s="1"/>
  <c r="K156" i="8"/>
  <c r="L156" i="8" s="1"/>
  <c r="M156" i="8" s="1"/>
  <c r="K188" i="8"/>
  <c r="L188" i="8" s="1"/>
  <c r="M188" i="8" s="1"/>
  <c r="K220" i="8"/>
  <c r="L220" i="8" s="1"/>
  <c r="M220" i="8" s="1"/>
  <c r="K248" i="8"/>
  <c r="L248" i="8" s="1"/>
  <c r="M248" i="8" s="1"/>
  <c r="K270" i="8"/>
  <c r="L270" i="8" s="1"/>
  <c r="M270" i="8" s="1"/>
  <c r="K291" i="8"/>
  <c r="L291" i="8" s="1"/>
  <c r="M291" i="8" s="1"/>
  <c r="K312" i="8"/>
  <c r="L312" i="8" s="1"/>
  <c r="M312" i="8" s="1"/>
  <c r="K334" i="8"/>
  <c r="L334" i="8" s="1"/>
  <c r="M334" i="8" s="1"/>
  <c r="K350" i="8"/>
  <c r="L350" i="8" s="1"/>
  <c r="M350" i="8" s="1"/>
  <c r="K366" i="8"/>
  <c r="L366" i="8" s="1"/>
  <c r="M366" i="8" s="1"/>
  <c r="K382" i="8"/>
  <c r="L382" i="8" s="1"/>
  <c r="M382" i="8" s="1"/>
  <c r="K398" i="8"/>
  <c r="L398" i="8" s="1"/>
  <c r="M398" i="8" s="1"/>
  <c r="K414" i="8"/>
  <c r="L414" i="8" s="1"/>
  <c r="M414" i="8" s="1"/>
  <c r="K430" i="8"/>
  <c r="L430" i="8" s="1"/>
  <c r="M430" i="8" s="1"/>
  <c r="K446" i="8"/>
  <c r="L446" i="8" s="1"/>
  <c r="M446" i="8" s="1"/>
  <c r="K462" i="8"/>
  <c r="L462" i="8" s="1"/>
  <c r="M462" i="8" s="1"/>
  <c r="K478" i="8"/>
  <c r="L478" i="8" s="1"/>
  <c r="M478" i="8" s="1"/>
  <c r="K15" i="8"/>
  <c r="L15" i="8" s="1"/>
  <c r="M15" i="8" s="1"/>
  <c r="K47" i="8"/>
  <c r="L47" i="8" s="1"/>
  <c r="M47" i="8" s="1"/>
  <c r="K79" i="8"/>
  <c r="L79" i="8" s="1"/>
  <c r="M79" i="8" s="1"/>
  <c r="K111" i="8"/>
  <c r="L111" i="8" s="1"/>
  <c r="M111" i="8" s="1"/>
  <c r="K143" i="8"/>
  <c r="L143" i="8" s="1"/>
  <c r="M143" i="8" s="1"/>
  <c r="K175" i="8"/>
  <c r="L175" i="8" s="1"/>
  <c r="M175" i="8" s="1"/>
  <c r="K207" i="8"/>
  <c r="L207" i="8" s="1"/>
  <c r="M207" i="8" s="1"/>
  <c r="K239" i="8"/>
  <c r="L239" i="8" s="1"/>
  <c r="M239" i="8" s="1"/>
  <c r="K260" i="8"/>
  <c r="L260" i="8" s="1"/>
  <c r="M260" i="8" s="1"/>
  <c r="K282" i="8"/>
  <c r="L282" i="8" s="1"/>
  <c r="M282" i="8" s="1"/>
  <c r="K303" i="8"/>
  <c r="L303" i="8" s="1"/>
  <c r="M303" i="8" s="1"/>
  <c r="K324" i="8"/>
  <c r="L324" i="8" s="1"/>
  <c r="M324" i="8" s="1"/>
  <c r="K343" i="8"/>
  <c r="L343" i="8" s="1"/>
  <c r="M343" i="8" s="1"/>
  <c r="K359" i="8"/>
  <c r="L359" i="8" s="1"/>
  <c r="M359" i="8" s="1"/>
  <c r="K375" i="8"/>
  <c r="L375" i="8" s="1"/>
  <c r="M375" i="8" s="1"/>
  <c r="K391" i="8"/>
  <c r="L391" i="8" s="1"/>
  <c r="M391" i="8" s="1"/>
  <c r="K407" i="8"/>
  <c r="L407" i="8" s="1"/>
  <c r="M407" i="8" s="1"/>
  <c r="K423" i="8"/>
  <c r="L423" i="8" s="1"/>
  <c r="M423" i="8" s="1"/>
  <c r="K16" i="8"/>
  <c r="L16" i="8" s="1"/>
  <c r="M16" i="8" s="1"/>
  <c r="K517" i="8"/>
  <c r="L517" i="8" s="1"/>
  <c r="M517" i="8" s="1"/>
  <c r="K465" i="8"/>
  <c r="L465" i="8" s="1"/>
  <c r="M465" i="8" s="1"/>
  <c r="K401" i="8"/>
  <c r="L401" i="8" s="1"/>
  <c r="M401" i="8" s="1"/>
  <c r="K337" i="8"/>
  <c r="L337" i="8" s="1"/>
  <c r="M337" i="8" s="1"/>
  <c r="K508" i="8"/>
  <c r="L508" i="8" s="1"/>
  <c r="M508" i="8" s="1"/>
  <c r="K472" i="8"/>
  <c r="L472" i="8" s="1"/>
  <c r="M472" i="8" s="1"/>
  <c r="K408" i="8"/>
  <c r="L408" i="8" s="1"/>
  <c r="M408" i="8" s="1"/>
  <c r="K344" i="8"/>
  <c r="L344" i="8" s="1"/>
  <c r="M344" i="8" s="1"/>
  <c r="K262" i="8"/>
  <c r="L262" i="8" s="1"/>
  <c r="M262" i="8" s="1"/>
  <c r="K144" i="8"/>
  <c r="L144" i="8" s="1"/>
  <c r="M144" i="8" s="1"/>
  <c r="K32" i="8"/>
  <c r="L32" i="8" s="1"/>
  <c r="M32" i="8" s="1"/>
  <c r="K21" i="8"/>
  <c r="L21" i="8" s="1"/>
  <c r="M21" i="8" s="1"/>
  <c r="K37" i="8"/>
  <c r="L37" i="8" s="1"/>
  <c r="M37" i="8" s="1"/>
  <c r="K53" i="8"/>
  <c r="L53" i="8" s="1"/>
  <c r="M53" i="8" s="1"/>
  <c r="K69" i="8"/>
  <c r="L69" i="8" s="1"/>
  <c r="M69" i="8" s="1"/>
  <c r="K85" i="8"/>
  <c r="L85" i="8" s="1"/>
  <c r="M85" i="8" s="1"/>
  <c r="K101" i="8"/>
  <c r="L101" i="8" s="1"/>
  <c r="M101" i="8" s="1"/>
  <c r="K117" i="8"/>
  <c r="L117" i="8" s="1"/>
  <c r="M117" i="8" s="1"/>
  <c r="K133" i="8"/>
  <c r="L133" i="8" s="1"/>
  <c r="M133" i="8" s="1"/>
  <c r="K149" i="8"/>
  <c r="L149" i="8" s="1"/>
  <c r="M149" i="8" s="1"/>
  <c r="K165" i="8"/>
  <c r="L165" i="8" s="1"/>
  <c r="M165" i="8" s="1"/>
  <c r="K181" i="8"/>
  <c r="L181" i="8" s="1"/>
  <c r="M181" i="8" s="1"/>
  <c r="K197" i="8"/>
  <c r="L197" i="8" s="1"/>
  <c r="M197" i="8" s="1"/>
  <c r="K213" i="8"/>
  <c r="L213" i="8" s="1"/>
  <c r="M213" i="8" s="1"/>
  <c r="K229" i="8"/>
  <c r="L229" i="8" s="1"/>
  <c r="M229" i="8" s="1"/>
  <c r="K245" i="8"/>
  <c r="L245" i="8" s="1"/>
  <c r="M245" i="8" s="1"/>
  <c r="K261" i="8"/>
  <c r="L261" i="8" s="1"/>
  <c r="M261" i="8" s="1"/>
  <c r="K277" i="8"/>
  <c r="L277" i="8" s="1"/>
  <c r="M277" i="8" s="1"/>
  <c r="K293" i="8"/>
  <c r="L293" i="8" s="1"/>
  <c r="M293" i="8" s="1"/>
  <c r="K309" i="8"/>
  <c r="L309" i="8" s="1"/>
  <c r="M309" i="8" s="1"/>
  <c r="K325" i="8"/>
  <c r="L325" i="8" s="1"/>
  <c r="M325" i="8" s="1"/>
  <c r="K14" i="8"/>
  <c r="L14" i="8" s="1"/>
  <c r="M14" i="8" s="1"/>
  <c r="K30" i="8"/>
  <c r="L30" i="8" s="1"/>
  <c r="M30" i="8" s="1"/>
  <c r="K46" i="8"/>
  <c r="L46" i="8" s="1"/>
  <c r="M46" i="8" s="1"/>
  <c r="K62" i="8"/>
  <c r="L62" i="8" s="1"/>
  <c r="M62" i="8" s="1"/>
  <c r="K78" i="8"/>
  <c r="L78" i="8" s="1"/>
  <c r="M78" i="8" s="1"/>
  <c r="K94" i="8"/>
  <c r="L94" i="8" s="1"/>
  <c r="M94" i="8" s="1"/>
  <c r="K110" i="8"/>
  <c r="L110" i="8" s="1"/>
  <c r="M110" i="8" s="1"/>
  <c r="K126" i="8"/>
  <c r="L126" i="8" s="1"/>
  <c r="M126" i="8" s="1"/>
  <c r="K142" i="8"/>
  <c r="L142" i="8" s="1"/>
  <c r="M142" i="8" s="1"/>
  <c r="K158" i="8"/>
  <c r="L158" i="8" s="1"/>
  <c r="M158" i="8" s="1"/>
  <c r="K174" i="8"/>
  <c r="L174" i="8" s="1"/>
  <c r="M174" i="8" s="1"/>
  <c r="K190" i="8"/>
  <c r="L190" i="8" s="1"/>
  <c r="M190" i="8" s="1"/>
  <c r="K206" i="8"/>
  <c r="L206" i="8" s="1"/>
  <c r="M206" i="8" s="1"/>
  <c r="K222" i="8"/>
  <c r="L222" i="8" s="1"/>
  <c r="M222" i="8" s="1"/>
  <c r="K238" i="8"/>
  <c r="L238" i="8" s="1"/>
  <c r="M238" i="8" s="1"/>
  <c r="K36" i="8"/>
  <c r="L36" i="8" s="1"/>
  <c r="M36" i="8" s="1"/>
  <c r="K68" i="8"/>
  <c r="L68" i="8" s="1"/>
  <c r="M68" i="8" s="1"/>
  <c r="K100" i="8"/>
  <c r="L100" i="8" s="1"/>
  <c r="M100" i="8" s="1"/>
  <c r="K132" i="8"/>
  <c r="L132" i="8" s="1"/>
  <c r="M132" i="8" s="1"/>
  <c r="K164" i="8"/>
  <c r="L164" i="8" s="1"/>
  <c r="M164" i="8" s="1"/>
  <c r="K196" i="8"/>
  <c r="L196" i="8" s="1"/>
  <c r="M196" i="8" s="1"/>
  <c r="K228" i="8"/>
  <c r="L228" i="8" s="1"/>
  <c r="M228" i="8" s="1"/>
  <c r="K254" i="8"/>
  <c r="L254" i="8" s="1"/>
  <c r="M254" i="8" s="1"/>
  <c r="K275" i="8"/>
  <c r="L275" i="8" s="1"/>
  <c r="M275" i="8" s="1"/>
  <c r="K296" i="8"/>
  <c r="L296" i="8" s="1"/>
  <c r="M296" i="8" s="1"/>
  <c r="K318" i="8"/>
  <c r="L318" i="8" s="1"/>
  <c r="M318" i="8" s="1"/>
  <c r="K338" i="8"/>
  <c r="L338" i="8" s="1"/>
  <c r="M338" i="8" s="1"/>
  <c r="K354" i="8"/>
  <c r="L354" i="8" s="1"/>
  <c r="M354" i="8" s="1"/>
  <c r="K370" i="8"/>
  <c r="L370" i="8" s="1"/>
  <c r="M370" i="8" s="1"/>
  <c r="K386" i="8"/>
  <c r="L386" i="8" s="1"/>
  <c r="M386" i="8" s="1"/>
  <c r="K402" i="8"/>
  <c r="L402" i="8" s="1"/>
  <c r="M402" i="8" s="1"/>
  <c r="K418" i="8"/>
  <c r="L418" i="8" s="1"/>
  <c r="M418" i="8" s="1"/>
  <c r="K434" i="8"/>
  <c r="L434" i="8" s="1"/>
  <c r="M434" i="8" s="1"/>
  <c r="K450" i="8"/>
  <c r="L450" i="8" s="1"/>
  <c r="M450" i="8" s="1"/>
  <c r="K466" i="8"/>
  <c r="L466" i="8" s="1"/>
  <c r="M466" i="8" s="1"/>
  <c r="K482" i="8"/>
  <c r="L482" i="8" s="1"/>
  <c r="M482" i="8" s="1"/>
  <c r="K23" i="8"/>
  <c r="L23" i="8" s="1"/>
  <c r="M23" i="8" s="1"/>
  <c r="K55" i="8"/>
  <c r="L55" i="8" s="1"/>
  <c r="M55" i="8" s="1"/>
  <c r="K87" i="8"/>
  <c r="L87" i="8" s="1"/>
  <c r="M87" i="8" s="1"/>
  <c r="K119" i="8"/>
  <c r="L119" i="8" s="1"/>
  <c r="M119" i="8" s="1"/>
  <c r="K151" i="8"/>
  <c r="L151" i="8" s="1"/>
  <c r="M151" i="8" s="1"/>
  <c r="K183" i="8"/>
  <c r="L183" i="8" s="1"/>
  <c r="M183" i="8" s="1"/>
  <c r="K215" i="8"/>
  <c r="L215" i="8" s="1"/>
  <c r="M215" i="8" s="1"/>
  <c r="K244" i="8"/>
  <c r="L244" i="8" s="1"/>
  <c r="M244" i="8" s="1"/>
  <c r="K266" i="8"/>
  <c r="L266" i="8" s="1"/>
  <c r="M266" i="8" s="1"/>
  <c r="K287" i="8"/>
  <c r="L287" i="8" s="1"/>
  <c r="M287" i="8" s="1"/>
  <c r="K308" i="8"/>
  <c r="L308" i="8" s="1"/>
  <c r="M308" i="8" s="1"/>
  <c r="K330" i="8"/>
  <c r="L330" i="8" s="1"/>
  <c r="M330" i="8" s="1"/>
  <c r="K347" i="8"/>
  <c r="L347" i="8" s="1"/>
  <c r="M347" i="8" s="1"/>
  <c r="K363" i="8"/>
  <c r="L363" i="8" s="1"/>
  <c r="M363" i="8" s="1"/>
  <c r="K379" i="8"/>
  <c r="L379" i="8" s="1"/>
  <c r="M379" i="8" s="1"/>
  <c r="K395" i="8"/>
  <c r="L395" i="8" s="1"/>
  <c r="M395" i="8" s="1"/>
  <c r="K411" i="8"/>
  <c r="L411" i="8" s="1"/>
  <c r="M411" i="8" s="1"/>
  <c r="K449" i="8"/>
  <c r="L449" i="8" s="1"/>
  <c r="M449" i="8" s="1"/>
  <c r="K456" i="8"/>
  <c r="L456" i="8" s="1"/>
  <c r="M456" i="8" s="1"/>
  <c r="K112" i="8"/>
  <c r="L112" i="8" s="1"/>
  <c r="M112" i="8" s="1"/>
  <c r="K57" i="8"/>
  <c r="L57" i="8" s="1"/>
  <c r="M57" i="8" s="1"/>
  <c r="K121" i="8"/>
  <c r="L121" i="8" s="1"/>
  <c r="M121" i="8" s="1"/>
  <c r="K185" i="8"/>
  <c r="L185" i="8" s="1"/>
  <c r="M185" i="8" s="1"/>
  <c r="K249" i="8"/>
  <c r="L249" i="8" s="1"/>
  <c r="M249" i="8" s="1"/>
  <c r="K313" i="8"/>
  <c r="L313" i="8" s="1"/>
  <c r="M313" i="8" s="1"/>
  <c r="K50" i="8"/>
  <c r="L50" i="8" s="1"/>
  <c r="M50" i="8" s="1"/>
  <c r="K114" i="8"/>
  <c r="L114" i="8" s="1"/>
  <c r="M114" i="8" s="1"/>
  <c r="K178" i="8"/>
  <c r="L178" i="8" s="1"/>
  <c r="M178" i="8" s="1"/>
  <c r="K12" i="8"/>
  <c r="L12" i="8" s="1"/>
  <c r="M12" i="8" s="1"/>
  <c r="K140" i="8"/>
  <c r="L140" i="8" s="1"/>
  <c r="M140" i="8" s="1"/>
  <c r="K259" i="8"/>
  <c r="L259" i="8" s="1"/>
  <c r="M259" i="8" s="1"/>
  <c r="K342" i="8"/>
  <c r="L342" i="8" s="1"/>
  <c r="M342" i="8" s="1"/>
  <c r="K406" i="8"/>
  <c r="L406" i="8" s="1"/>
  <c r="M406" i="8" s="1"/>
  <c r="K470" i="8"/>
  <c r="L470" i="8" s="1"/>
  <c r="M470" i="8" s="1"/>
  <c r="K95" i="8"/>
  <c r="L95" i="8" s="1"/>
  <c r="M95" i="8" s="1"/>
  <c r="K223" i="8"/>
  <c r="L223" i="8" s="1"/>
  <c r="M223" i="8" s="1"/>
  <c r="K314" i="8"/>
  <c r="L314" i="8" s="1"/>
  <c r="M314" i="8" s="1"/>
  <c r="K383" i="8"/>
  <c r="L383" i="8" s="1"/>
  <c r="M383" i="8" s="1"/>
  <c r="K431" i="8"/>
  <c r="L431" i="8" s="1"/>
  <c r="M431" i="8" s="1"/>
  <c r="K447" i="8"/>
  <c r="L447" i="8" s="1"/>
  <c r="M447" i="8" s="1"/>
  <c r="K463" i="8"/>
  <c r="L463" i="8" s="1"/>
  <c r="M463" i="8" s="1"/>
  <c r="K479" i="8"/>
  <c r="L479" i="8" s="1"/>
  <c r="M479" i="8" s="1"/>
  <c r="K511" i="8"/>
  <c r="L511" i="8" s="1"/>
  <c r="M511" i="8" s="1"/>
  <c r="K495" i="8"/>
  <c r="L495" i="8" s="1"/>
  <c r="M495" i="8" s="1"/>
  <c r="K469" i="8"/>
  <c r="L469" i="8" s="1"/>
  <c r="M469" i="8" s="1"/>
  <c r="K437" i="8"/>
  <c r="L437" i="8" s="1"/>
  <c r="M437" i="8" s="1"/>
  <c r="K405" i="8"/>
  <c r="L405" i="8" s="1"/>
  <c r="M405" i="8" s="1"/>
  <c r="K373" i="8"/>
  <c r="L373" i="8" s="1"/>
  <c r="M373" i="8" s="1"/>
  <c r="K341" i="8"/>
  <c r="L341" i="8" s="1"/>
  <c r="M341" i="8" s="1"/>
  <c r="K300" i="8"/>
  <c r="L300" i="8" s="1"/>
  <c r="M300" i="8" s="1"/>
  <c r="K258" i="8"/>
  <c r="L258" i="8" s="1"/>
  <c r="M258" i="8" s="1"/>
  <c r="K203" i="8"/>
  <c r="L203" i="8" s="1"/>
  <c r="M203" i="8" s="1"/>
  <c r="K139" i="8"/>
  <c r="L139" i="8" s="1"/>
  <c r="M139" i="8" s="1"/>
  <c r="K75" i="8"/>
  <c r="L75" i="8" s="1"/>
  <c r="M75" i="8" s="1"/>
  <c r="K11" i="8"/>
  <c r="L11" i="8" s="1"/>
  <c r="M11" i="8" s="1"/>
  <c r="K488" i="8"/>
  <c r="L488" i="8" s="1"/>
  <c r="M488" i="8" s="1"/>
  <c r="K425" i="8"/>
  <c r="L425" i="8" s="1"/>
  <c r="M425" i="8" s="1"/>
  <c r="K361" i="8"/>
  <c r="L361" i="8" s="1"/>
  <c r="M361" i="8" s="1"/>
  <c r="K295" i="8"/>
  <c r="L295" i="8" s="1"/>
  <c r="M295" i="8" s="1"/>
  <c r="K242" i="8"/>
  <c r="L242" i="8" s="1"/>
  <c r="M242" i="8" s="1"/>
  <c r="K179" i="8"/>
  <c r="L179" i="8" s="1"/>
  <c r="M179" i="8" s="1"/>
  <c r="K492" i="8"/>
  <c r="L492" i="8" s="1"/>
  <c r="M492" i="8" s="1"/>
  <c r="K432" i="8"/>
  <c r="L432" i="8" s="1"/>
  <c r="M432" i="8" s="1"/>
  <c r="K368" i="8"/>
  <c r="L368" i="8" s="1"/>
  <c r="M368" i="8" s="1"/>
  <c r="K294" i="8"/>
  <c r="L294" i="8" s="1"/>
  <c r="M294" i="8" s="1"/>
  <c r="K192" i="8"/>
  <c r="L192" i="8" s="1"/>
  <c r="M192" i="8" s="1"/>
  <c r="K64" i="8"/>
  <c r="L64" i="8" s="1"/>
  <c r="M64" i="8" s="1"/>
  <c r="K506" i="8"/>
  <c r="L506" i="8" s="1"/>
  <c r="M506" i="8" s="1"/>
  <c r="K489" i="8"/>
  <c r="L489" i="8" s="1"/>
  <c r="M489" i="8" s="1"/>
  <c r="K460" i="8"/>
  <c r="L460" i="8" s="1"/>
  <c r="M460" i="8" s="1"/>
  <c r="K428" i="8"/>
  <c r="L428" i="8" s="1"/>
  <c r="M428" i="8" s="1"/>
  <c r="K396" i="8"/>
  <c r="L396" i="8" s="1"/>
  <c r="M396" i="8" s="1"/>
  <c r="K364" i="8"/>
  <c r="L364" i="8" s="1"/>
  <c r="M364" i="8" s="1"/>
  <c r="K331" i="8"/>
  <c r="L331" i="8" s="1"/>
  <c r="M331" i="8" s="1"/>
  <c r="K288" i="8"/>
  <c r="L288" i="8" s="1"/>
  <c r="M288" i="8" s="1"/>
  <c r="K246" i="8"/>
  <c r="L246" i="8" s="1"/>
  <c r="M246" i="8" s="1"/>
  <c r="K184" i="8"/>
  <c r="L184" i="8" s="1"/>
  <c r="M184" i="8" s="1"/>
  <c r="K120" i="8"/>
  <c r="L120" i="8" s="1"/>
  <c r="M120" i="8" s="1"/>
  <c r="K56" i="8"/>
  <c r="L56" i="8" s="1"/>
  <c r="M56" i="8" s="1"/>
  <c r="K385" i="8"/>
  <c r="L385" i="8" s="1"/>
  <c r="M385" i="8" s="1"/>
  <c r="K392" i="8"/>
  <c r="L392" i="8" s="1"/>
  <c r="M392" i="8" s="1"/>
  <c r="K9" i="8"/>
  <c r="L9" i="8" s="1"/>
  <c r="M9" i="8" s="1"/>
  <c r="K73" i="8"/>
  <c r="L73" i="8" s="1"/>
  <c r="M73" i="8" s="1"/>
  <c r="K137" i="8"/>
  <c r="L137" i="8" s="1"/>
  <c r="M137" i="8" s="1"/>
  <c r="K201" i="8"/>
  <c r="L201" i="8" s="1"/>
  <c r="M201" i="8" s="1"/>
  <c r="K265" i="8"/>
  <c r="L265" i="8" s="1"/>
  <c r="M265" i="8" s="1"/>
  <c r="K329" i="8"/>
  <c r="L329" i="8" s="1"/>
  <c r="M329" i="8" s="1"/>
  <c r="K66" i="8"/>
  <c r="L66" i="8" s="1"/>
  <c r="M66" i="8" s="1"/>
  <c r="K130" i="8"/>
  <c r="L130" i="8" s="1"/>
  <c r="M130" i="8" s="1"/>
  <c r="K194" i="8"/>
  <c r="L194" i="8" s="1"/>
  <c r="M194" i="8" s="1"/>
  <c r="K44" i="8"/>
  <c r="L44" i="8" s="1"/>
  <c r="M44" i="8" s="1"/>
  <c r="K172" i="8"/>
  <c r="L172" i="8" s="1"/>
  <c r="M172" i="8" s="1"/>
  <c r="K280" i="8"/>
  <c r="L280" i="8" s="1"/>
  <c r="M280" i="8" s="1"/>
  <c r="K358" i="8"/>
  <c r="L358" i="8" s="1"/>
  <c r="M358" i="8" s="1"/>
  <c r="K422" i="8"/>
  <c r="L422" i="8" s="1"/>
  <c r="M422" i="8" s="1"/>
  <c r="K486" i="8"/>
  <c r="L486" i="8" s="1"/>
  <c r="M486" i="8" s="1"/>
  <c r="K127" i="8"/>
  <c r="L127" i="8" s="1"/>
  <c r="M127" i="8" s="1"/>
  <c r="K250" i="8"/>
  <c r="L250" i="8" s="1"/>
  <c r="M250" i="8" s="1"/>
  <c r="K335" i="8"/>
  <c r="L335" i="8" s="1"/>
  <c r="M335" i="8" s="1"/>
  <c r="K399" i="8"/>
  <c r="L399" i="8" s="1"/>
  <c r="M399" i="8" s="1"/>
  <c r="K435" i="8"/>
  <c r="L435" i="8" s="1"/>
  <c r="M435" i="8" s="1"/>
  <c r="K451" i="8"/>
  <c r="L451" i="8" s="1"/>
  <c r="M451" i="8" s="1"/>
  <c r="K467" i="8"/>
  <c r="L467" i="8" s="1"/>
  <c r="M467" i="8" s="1"/>
  <c r="K483" i="8"/>
  <c r="L483" i="8" s="1"/>
  <c r="M483" i="8" s="1"/>
  <c r="K507" i="8"/>
  <c r="L507" i="8" s="1"/>
  <c r="M507" i="8" s="1"/>
  <c r="K491" i="8"/>
  <c r="L491" i="8" s="1"/>
  <c r="M491" i="8" s="1"/>
  <c r="K461" i="8"/>
  <c r="L461" i="8" s="1"/>
  <c r="M461" i="8" s="1"/>
  <c r="K429" i="8"/>
  <c r="L429" i="8" s="1"/>
  <c r="M429" i="8" s="1"/>
  <c r="K397" i="8"/>
  <c r="L397" i="8" s="1"/>
  <c r="M397" i="8" s="1"/>
  <c r="K365" i="8"/>
  <c r="L365" i="8" s="1"/>
  <c r="M365" i="8" s="1"/>
  <c r="K332" i="8"/>
  <c r="L332" i="8" s="1"/>
  <c r="M332" i="8" s="1"/>
  <c r="K290" i="8"/>
  <c r="L290" i="8" s="1"/>
  <c r="M290" i="8" s="1"/>
  <c r="K247" i="8"/>
  <c r="L247" i="8" s="1"/>
  <c r="M247" i="8" s="1"/>
  <c r="K187" i="8"/>
  <c r="L187" i="8" s="1"/>
  <c r="M187" i="8" s="1"/>
  <c r="K123" i="8"/>
  <c r="L123" i="8" s="1"/>
  <c r="M123" i="8" s="1"/>
  <c r="K59" i="8"/>
  <c r="L59" i="8" s="1"/>
  <c r="M59" i="8" s="1"/>
  <c r="K513" i="8"/>
  <c r="L513" i="8" s="1"/>
  <c r="M513" i="8" s="1"/>
  <c r="K473" i="8"/>
  <c r="L473" i="8" s="1"/>
  <c r="M473" i="8" s="1"/>
  <c r="K409" i="8"/>
  <c r="L409" i="8" s="1"/>
  <c r="M409" i="8" s="1"/>
  <c r="K345" i="8"/>
  <c r="L345" i="8" s="1"/>
  <c r="M345" i="8" s="1"/>
  <c r="K284" i="8"/>
  <c r="L284" i="8" s="1"/>
  <c r="M284" i="8" s="1"/>
  <c r="K227" i="8"/>
  <c r="L227" i="8" s="1"/>
  <c r="M227" i="8" s="1"/>
  <c r="K520" i="8"/>
  <c r="L520" i="8" s="1"/>
  <c r="M520" i="8" s="1"/>
  <c r="K480" i="8"/>
  <c r="L480" i="8" s="1"/>
  <c r="M480" i="8" s="1"/>
  <c r="K416" i="8"/>
  <c r="L416" i="8" s="1"/>
  <c r="M416" i="8" s="1"/>
  <c r="K352" i="8"/>
  <c r="L352" i="8" s="1"/>
  <c r="M352" i="8" s="1"/>
  <c r="K272" i="8"/>
  <c r="L272" i="8" s="1"/>
  <c r="M272" i="8" s="1"/>
  <c r="K160" i="8"/>
  <c r="L160" i="8" s="1"/>
  <c r="M160" i="8" s="1"/>
  <c r="K518" i="8"/>
  <c r="L518" i="8" s="1"/>
  <c r="M518" i="8" s="1"/>
  <c r="K502" i="8"/>
  <c r="L502" i="8" s="1"/>
  <c r="M502" i="8" s="1"/>
  <c r="K484" i="8"/>
  <c r="L484" i="8" s="1"/>
  <c r="M484" i="8" s="1"/>
  <c r="K452" i="8"/>
  <c r="L452" i="8" s="1"/>
  <c r="M452" i="8" s="1"/>
  <c r="K420" i="8"/>
  <c r="L420" i="8" s="1"/>
  <c r="M420" i="8" s="1"/>
  <c r="K388" i="8"/>
  <c r="L388" i="8" s="1"/>
  <c r="M388" i="8" s="1"/>
  <c r="K356" i="8"/>
  <c r="L356" i="8" s="1"/>
  <c r="M356" i="8" s="1"/>
  <c r="K320" i="8"/>
  <c r="L320" i="8" s="1"/>
  <c r="M320" i="8" s="1"/>
  <c r="K278" i="8"/>
  <c r="L278" i="8" s="1"/>
  <c r="M278" i="8" s="1"/>
  <c r="K232" i="8"/>
  <c r="L232" i="8" s="1"/>
  <c r="M232" i="8" s="1"/>
  <c r="K168" i="8"/>
  <c r="L168" i="8" s="1"/>
  <c r="M168" i="8" s="1"/>
  <c r="K104" i="8"/>
  <c r="L104" i="8" s="1"/>
  <c r="M104" i="8" s="1"/>
  <c r="K40" i="8"/>
  <c r="L40" i="8" s="1"/>
  <c r="M40" i="8" s="1"/>
  <c r="K316" i="8"/>
  <c r="L316" i="8" s="1"/>
  <c r="M316" i="8" s="1"/>
  <c r="K326" i="8"/>
  <c r="L326" i="8" s="1"/>
  <c r="M326" i="8" s="1"/>
  <c r="K25" i="8"/>
  <c r="L25" i="8" s="1"/>
  <c r="M25" i="8" s="1"/>
  <c r="K89" i="8"/>
  <c r="L89" i="8" s="1"/>
  <c r="M89" i="8" s="1"/>
  <c r="K153" i="8"/>
  <c r="L153" i="8" s="1"/>
  <c r="M153" i="8" s="1"/>
  <c r="K217" i="8"/>
  <c r="L217" i="8" s="1"/>
  <c r="M217" i="8" s="1"/>
  <c r="K281" i="8"/>
  <c r="L281" i="8" s="1"/>
  <c r="M281" i="8" s="1"/>
  <c r="K18" i="8"/>
  <c r="L18" i="8" s="1"/>
  <c r="M18" i="8" s="1"/>
  <c r="K82" i="8"/>
  <c r="L82" i="8" s="1"/>
  <c r="M82" i="8" s="1"/>
  <c r="K146" i="8"/>
  <c r="L146" i="8" s="1"/>
  <c r="M146" i="8" s="1"/>
  <c r="K210" i="8"/>
  <c r="L210" i="8" s="1"/>
  <c r="M210" i="8" s="1"/>
  <c r="K76" i="8"/>
  <c r="L76" i="8" s="1"/>
  <c r="M76" i="8" s="1"/>
  <c r="K204" i="8"/>
  <c r="L204" i="8" s="1"/>
  <c r="M204" i="8" s="1"/>
  <c r="K302" i="8"/>
  <c r="L302" i="8" s="1"/>
  <c r="M302" i="8" s="1"/>
  <c r="K374" i="8"/>
  <c r="L374" i="8" s="1"/>
  <c r="M374" i="8" s="1"/>
  <c r="K438" i="8"/>
  <c r="L438" i="8" s="1"/>
  <c r="M438" i="8" s="1"/>
  <c r="K31" i="8"/>
  <c r="L31" i="8" s="1"/>
  <c r="M31" i="8" s="1"/>
  <c r="K159" i="8"/>
  <c r="L159" i="8" s="1"/>
  <c r="M159" i="8" s="1"/>
  <c r="K271" i="8"/>
  <c r="L271" i="8" s="1"/>
  <c r="M271" i="8" s="1"/>
  <c r="K351" i="8"/>
  <c r="L351" i="8" s="1"/>
  <c r="M351" i="8" s="1"/>
  <c r="K415" i="8"/>
  <c r="L415" i="8" s="1"/>
  <c r="M415" i="8" s="1"/>
  <c r="K439" i="8"/>
  <c r="L439" i="8" s="1"/>
  <c r="M439" i="8" s="1"/>
  <c r="K455" i="8"/>
  <c r="L455" i="8" s="1"/>
  <c r="M455" i="8" s="1"/>
  <c r="K471" i="8"/>
  <c r="L471" i="8" s="1"/>
  <c r="M471" i="8" s="1"/>
  <c r="K519" i="8"/>
  <c r="L519" i="8" s="1"/>
  <c r="M519" i="8" s="1"/>
  <c r="K503" i="8"/>
  <c r="L503" i="8" s="1"/>
  <c r="M503" i="8" s="1"/>
  <c r="K485" i="8"/>
  <c r="L485" i="8" s="1"/>
  <c r="M485" i="8" s="1"/>
  <c r="K453" i="8"/>
  <c r="L453" i="8" s="1"/>
  <c r="M453" i="8" s="1"/>
  <c r="K421" i="8"/>
  <c r="L421" i="8" s="1"/>
  <c r="M421" i="8" s="1"/>
  <c r="K389" i="8"/>
  <c r="L389" i="8" s="1"/>
  <c r="M389" i="8" s="1"/>
  <c r="K357" i="8"/>
  <c r="L357" i="8" s="1"/>
  <c r="M357" i="8" s="1"/>
  <c r="K322" i="8"/>
  <c r="L322" i="8" s="1"/>
  <c r="M322" i="8" s="1"/>
  <c r="K279" i="8"/>
  <c r="L279" i="8" s="1"/>
  <c r="M279" i="8" s="1"/>
  <c r="K235" i="8"/>
  <c r="L235" i="8" s="1"/>
  <c r="M235" i="8" s="1"/>
  <c r="K171" i="8"/>
  <c r="L171" i="8" s="1"/>
  <c r="M171" i="8" s="1"/>
  <c r="K107" i="8"/>
  <c r="L107" i="8" s="1"/>
  <c r="M107" i="8" s="1"/>
  <c r="K43" i="8"/>
  <c r="L43" i="8" s="1"/>
  <c r="M43" i="8" s="1"/>
  <c r="K505" i="8"/>
  <c r="L505" i="8" s="1"/>
  <c r="M505" i="8" s="1"/>
  <c r="K457" i="8"/>
  <c r="L457" i="8" s="1"/>
  <c r="M457" i="8" s="1"/>
  <c r="K393" i="8"/>
  <c r="L393" i="8" s="1"/>
  <c r="M393" i="8" s="1"/>
  <c r="K327" i="8"/>
  <c r="L327" i="8" s="1"/>
  <c r="M327" i="8" s="1"/>
  <c r="K274" i="8"/>
  <c r="L274" i="8" s="1"/>
  <c r="M274" i="8" s="1"/>
  <c r="K211" i="8"/>
  <c r="L211" i="8" s="1"/>
  <c r="M211" i="8" s="1"/>
  <c r="K512" i="8"/>
  <c r="L512" i="8" s="1"/>
  <c r="M512" i="8" s="1"/>
  <c r="K464" i="8"/>
  <c r="L464" i="8" s="1"/>
  <c r="M464" i="8" s="1"/>
  <c r="K400" i="8"/>
  <c r="L400" i="8" s="1"/>
  <c r="M400" i="8" s="1"/>
  <c r="K336" i="8"/>
  <c r="L336" i="8" s="1"/>
  <c r="M336" i="8" s="1"/>
  <c r="K251" i="8"/>
  <c r="L251" i="8" s="1"/>
  <c r="M251" i="8" s="1"/>
  <c r="K128" i="8"/>
  <c r="L128" i="8" s="1"/>
  <c r="M128" i="8" s="1"/>
  <c r="K514" i="8"/>
  <c r="L514" i="8" s="1"/>
  <c r="M514" i="8" s="1"/>
  <c r="K498" i="8"/>
  <c r="L498" i="8" s="1"/>
  <c r="M498" i="8" s="1"/>
  <c r="K476" i="8"/>
  <c r="L476" i="8" s="1"/>
  <c r="M476" i="8" s="1"/>
  <c r="K444" i="8"/>
  <c r="L444" i="8" s="1"/>
  <c r="M444" i="8" s="1"/>
  <c r="K412" i="8"/>
  <c r="L412" i="8" s="1"/>
  <c r="M412" i="8" s="1"/>
  <c r="K380" i="8"/>
  <c r="L380" i="8" s="1"/>
  <c r="M380" i="8" s="1"/>
  <c r="K348" i="8"/>
  <c r="L348" i="8" s="1"/>
  <c r="M348" i="8" s="1"/>
  <c r="K310" i="8"/>
  <c r="L310" i="8" s="1"/>
  <c r="M310" i="8" s="1"/>
  <c r="K267" i="8"/>
  <c r="L267" i="8" s="1"/>
  <c r="M267" i="8" s="1"/>
  <c r="K216" i="8"/>
  <c r="L216" i="8" s="1"/>
  <c r="M216" i="8" s="1"/>
  <c r="K152" i="8"/>
  <c r="L152" i="8" s="1"/>
  <c r="M152" i="8" s="1"/>
  <c r="K88" i="8"/>
  <c r="L88" i="8" s="1"/>
  <c r="M88" i="8" s="1"/>
  <c r="K24" i="8"/>
  <c r="L24" i="8" s="1"/>
  <c r="M24" i="8" s="1"/>
  <c r="K509" i="8"/>
  <c r="L509" i="8" s="1"/>
  <c r="M509" i="8" s="1"/>
  <c r="K504" i="8"/>
  <c r="L504" i="8" s="1"/>
  <c r="M504" i="8" s="1"/>
  <c r="K240" i="8"/>
  <c r="L240" i="8" s="1"/>
  <c r="M240" i="8" s="1"/>
  <c r="K41" i="8"/>
  <c r="L41" i="8" s="1"/>
  <c r="M41" i="8" s="1"/>
  <c r="K105" i="8"/>
  <c r="L105" i="8" s="1"/>
  <c r="M105" i="8" s="1"/>
  <c r="K169" i="8"/>
  <c r="L169" i="8" s="1"/>
  <c r="M169" i="8" s="1"/>
  <c r="K233" i="8"/>
  <c r="L233" i="8" s="1"/>
  <c r="M233" i="8" s="1"/>
  <c r="K297" i="8"/>
  <c r="L297" i="8" s="1"/>
  <c r="M297" i="8" s="1"/>
  <c r="K34" i="8"/>
  <c r="L34" i="8" s="1"/>
  <c r="M34" i="8" s="1"/>
  <c r="K98" i="8"/>
  <c r="L98" i="8" s="1"/>
  <c r="M98" i="8" s="1"/>
  <c r="K162" i="8"/>
  <c r="L162" i="8" s="1"/>
  <c r="M162" i="8" s="1"/>
  <c r="K226" i="8"/>
  <c r="L226" i="8" s="1"/>
  <c r="M226" i="8" s="1"/>
  <c r="K108" i="8"/>
  <c r="L108" i="8" s="1"/>
  <c r="M108" i="8" s="1"/>
  <c r="K236" i="8"/>
  <c r="L236" i="8" s="1"/>
  <c r="M236" i="8" s="1"/>
  <c r="K323" i="8"/>
  <c r="L323" i="8" s="1"/>
  <c r="M323" i="8" s="1"/>
  <c r="K390" i="8"/>
  <c r="L390" i="8" s="1"/>
  <c r="M390" i="8" s="1"/>
  <c r="K63" i="8"/>
  <c r="L63" i="8" s="1"/>
  <c r="M63" i="8" s="1"/>
  <c r="K427" i="8"/>
  <c r="L427" i="8" s="1"/>
  <c r="M427" i="8" s="1"/>
  <c r="K515" i="8"/>
  <c r="L515" i="8" s="1"/>
  <c r="M515" i="8" s="1"/>
  <c r="K413" i="8"/>
  <c r="L413" i="8" s="1"/>
  <c r="M413" i="8" s="1"/>
  <c r="K268" i="8"/>
  <c r="L268" i="8" s="1"/>
  <c r="M268" i="8" s="1"/>
  <c r="K27" i="8"/>
  <c r="L27" i="8" s="1"/>
  <c r="M27" i="8" s="1"/>
  <c r="K306" i="8"/>
  <c r="L306" i="8" s="1"/>
  <c r="M306" i="8" s="1"/>
  <c r="K448" i="8"/>
  <c r="L448" i="8" s="1"/>
  <c r="M448" i="8" s="1"/>
  <c r="K96" i="8"/>
  <c r="L96" i="8" s="1"/>
  <c r="M96" i="8" s="1"/>
  <c r="K436" i="8"/>
  <c r="L436" i="8" s="1"/>
  <c r="M436" i="8" s="1"/>
  <c r="K299" i="8"/>
  <c r="L299" i="8" s="1"/>
  <c r="M299" i="8" s="1"/>
  <c r="K72" i="8"/>
  <c r="L72" i="8" s="1"/>
  <c r="M72" i="8" s="1"/>
  <c r="K191" i="8"/>
  <c r="L191" i="8" s="1"/>
  <c r="M191" i="8" s="1"/>
  <c r="K443" i="8"/>
  <c r="L443" i="8" s="1"/>
  <c r="M443" i="8" s="1"/>
  <c r="K499" i="8"/>
  <c r="L499" i="8" s="1"/>
  <c r="M499" i="8" s="1"/>
  <c r="K381" i="8"/>
  <c r="L381" i="8" s="1"/>
  <c r="M381" i="8" s="1"/>
  <c r="K219" i="8"/>
  <c r="L219" i="8" s="1"/>
  <c r="M219" i="8" s="1"/>
  <c r="K497" i="8"/>
  <c r="L497" i="8" s="1"/>
  <c r="M497" i="8" s="1"/>
  <c r="K252" i="8"/>
  <c r="L252" i="8" s="1"/>
  <c r="M252" i="8" s="1"/>
  <c r="K384" i="8"/>
  <c r="L384" i="8" s="1"/>
  <c r="M384" i="8" s="1"/>
  <c r="K510" i="8"/>
  <c r="L510" i="8" s="1"/>
  <c r="M510" i="8" s="1"/>
  <c r="K404" i="8"/>
  <c r="L404" i="8" s="1"/>
  <c r="M404" i="8" s="1"/>
  <c r="K256" i="8"/>
  <c r="L256" i="8" s="1"/>
  <c r="M256" i="8" s="1"/>
  <c r="K8" i="8"/>
  <c r="L8" i="8" s="1"/>
  <c r="M8" i="8" s="1"/>
  <c r="K292" i="8"/>
  <c r="L292" i="8" s="1"/>
  <c r="M292" i="8" s="1"/>
  <c r="K459" i="8"/>
  <c r="L459" i="8" s="1"/>
  <c r="M459" i="8" s="1"/>
  <c r="K477" i="8"/>
  <c r="L477" i="8" s="1"/>
  <c r="M477" i="8" s="1"/>
  <c r="K349" i="8"/>
  <c r="L349" i="8" s="1"/>
  <c r="M349" i="8" s="1"/>
  <c r="K155" i="8"/>
  <c r="L155" i="8" s="1"/>
  <c r="M155" i="8" s="1"/>
  <c r="K441" i="8"/>
  <c r="L441" i="8" s="1"/>
  <c r="M441" i="8" s="1"/>
  <c r="K195" i="8"/>
  <c r="L195" i="8" s="1"/>
  <c r="M195" i="8" s="1"/>
  <c r="K315" i="8"/>
  <c r="L315" i="8" s="1"/>
  <c r="M315" i="8" s="1"/>
  <c r="K494" i="8"/>
  <c r="L494" i="8" s="1"/>
  <c r="M494" i="8" s="1"/>
  <c r="K372" i="8"/>
  <c r="L372" i="8" s="1"/>
  <c r="M372" i="8" s="1"/>
  <c r="K200" i="8"/>
  <c r="L200" i="8" s="1"/>
  <c r="M200" i="8" s="1"/>
  <c r="K454" i="8"/>
  <c r="L454" i="8" s="1"/>
  <c r="M454" i="8" s="1"/>
  <c r="K367" i="8"/>
  <c r="L367" i="8" s="1"/>
  <c r="M367" i="8" s="1"/>
  <c r="K475" i="8"/>
  <c r="L475" i="8" s="1"/>
  <c r="M475" i="8" s="1"/>
  <c r="K445" i="8"/>
  <c r="L445" i="8" s="1"/>
  <c r="M445" i="8" s="1"/>
  <c r="K311" i="8"/>
  <c r="L311" i="8" s="1"/>
  <c r="M311" i="8" s="1"/>
  <c r="K91" i="8"/>
  <c r="L91" i="8" s="1"/>
  <c r="M91" i="8" s="1"/>
  <c r="K377" i="8"/>
  <c r="L377" i="8" s="1"/>
  <c r="M377" i="8" s="1"/>
  <c r="K500" i="8"/>
  <c r="L500" i="8" s="1"/>
  <c r="M500" i="8" s="1"/>
  <c r="K224" i="8"/>
  <c r="L224" i="8" s="1"/>
  <c r="M224" i="8" s="1"/>
  <c r="K468" i="8"/>
  <c r="L468" i="8" s="1"/>
  <c r="M468" i="8" s="1"/>
  <c r="K340" i="8"/>
  <c r="L340" i="8" s="1"/>
  <c r="M340" i="8" s="1"/>
  <c r="K136" i="8"/>
  <c r="L136" i="8" s="1"/>
  <c r="M136" i="8" s="1"/>
  <c r="K5" i="8"/>
  <c r="L5" i="8" s="1"/>
  <c r="M5" i="8" s="1"/>
  <c r="J72" i="22"/>
  <c r="J106" i="22"/>
  <c r="K106" i="22" s="1"/>
  <c r="J82" i="22"/>
  <c r="V8" i="22"/>
  <c r="J96" i="22"/>
  <c r="J75" i="22" l="1"/>
  <c r="J124" i="22"/>
  <c r="K124" i="22" s="1"/>
  <c r="J125" i="22"/>
  <c r="K125" i="22" s="1"/>
  <c r="J123" i="22"/>
  <c r="K123" i="22" s="1"/>
  <c r="J127" i="22"/>
  <c r="K127" i="22" s="1"/>
  <c r="J126" i="22"/>
  <c r="K126" i="22" s="1"/>
  <c r="J10" i="22"/>
  <c r="K10" i="22" s="1"/>
  <c r="J115" i="22"/>
  <c r="K115" i="22" s="1"/>
  <c r="J50" i="22"/>
  <c r="J63" i="22"/>
  <c r="K63" i="22" s="1"/>
  <c r="J11" i="22"/>
  <c r="J41" i="22"/>
  <c r="K41" i="22" s="1"/>
  <c r="J101" i="22"/>
  <c r="K101" i="22" s="1"/>
  <c r="J58" i="22"/>
  <c r="K58" i="22" s="1"/>
  <c r="J46" i="22"/>
  <c r="K46" i="22" s="1"/>
  <c r="J48" i="22"/>
  <c r="K48" i="22" s="1"/>
  <c r="J44" i="22"/>
  <c r="K44" i="22" s="1"/>
  <c r="J13" i="22"/>
  <c r="K13" i="22" s="1"/>
  <c r="J69" i="22"/>
  <c r="K69" i="22" s="1"/>
  <c r="J45" i="22"/>
  <c r="K45" i="22" s="1"/>
  <c r="J103" i="22"/>
  <c r="K103" i="22" s="1"/>
  <c r="J102" i="22"/>
  <c r="K102" i="22" s="1"/>
  <c r="J73" i="22"/>
  <c r="K73" i="22" s="1"/>
  <c r="J21" i="22"/>
  <c r="K21" i="22" s="1"/>
  <c r="J31" i="22"/>
  <c r="K31" i="22" s="1"/>
  <c r="J52" i="22"/>
  <c r="K52" i="22" s="1"/>
  <c r="J25" i="22"/>
  <c r="K25" i="22" s="1"/>
  <c r="J9" i="22"/>
  <c r="K9" i="22" s="1"/>
  <c r="J92" i="22"/>
  <c r="K92" i="22" s="1"/>
  <c r="J37" i="22"/>
  <c r="K37" i="22" s="1"/>
  <c r="J18" i="22"/>
  <c r="K18" i="22" s="1"/>
  <c r="J22" i="22"/>
  <c r="K22" i="22" s="1"/>
  <c r="J87" i="22"/>
  <c r="K87" i="22" s="1"/>
  <c r="J64" i="22"/>
  <c r="K64" i="22" s="1"/>
  <c r="J110" i="22"/>
  <c r="K110" i="22" s="1"/>
  <c r="J105" i="22"/>
  <c r="K105" i="22" s="1"/>
  <c r="J83" i="22"/>
  <c r="K83" i="22" s="1"/>
  <c r="J7" i="22"/>
  <c r="K7" i="22" s="1"/>
  <c r="J28" i="22"/>
  <c r="K28" i="22" s="1"/>
  <c r="J93" i="22"/>
  <c r="K93" i="22" s="1"/>
  <c r="J79" i="22"/>
  <c r="J116" i="22"/>
  <c r="K116" i="22" s="1"/>
  <c r="J33" i="22"/>
  <c r="K33" i="22" s="1"/>
  <c r="J70" i="22"/>
  <c r="K70" i="22" s="1"/>
  <c r="J20" i="22"/>
  <c r="K20" i="22" s="1"/>
  <c r="J49" i="22"/>
  <c r="K49" i="22" s="1"/>
  <c r="J100" i="22"/>
  <c r="K100" i="22" s="1"/>
  <c r="J98" i="22"/>
  <c r="K98" i="22" s="1"/>
  <c r="J111" i="22"/>
  <c r="W7" i="22" s="1"/>
  <c r="J29" i="22"/>
  <c r="K29" i="22" s="1"/>
  <c r="J38" i="22"/>
  <c r="K38" i="22" s="1"/>
  <c r="J59" i="22"/>
  <c r="K59" i="22" s="1"/>
  <c r="J53" i="22"/>
  <c r="K53" i="22" s="1"/>
  <c r="J56" i="22"/>
  <c r="K56" i="22" s="1"/>
  <c r="J19" i="22"/>
  <c r="K19" i="22" s="1"/>
  <c r="J17" i="22"/>
  <c r="K17" i="22" s="1"/>
  <c r="J30" i="22"/>
  <c r="K30" i="22" s="1"/>
  <c r="J109" i="22"/>
  <c r="K109" i="22" s="1"/>
  <c r="J43" i="22"/>
  <c r="K43" i="22" s="1"/>
  <c r="J23" i="22"/>
  <c r="K23" i="22" s="1"/>
  <c r="J67" i="22"/>
  <c r="K67" i="22" s="1"/>
  <c r="J80" i="22"/>
  <c r="K80" i="22" s="1"/>
  <c r="J121" i="22"/>
  <c r="K121" i="22" s="1"/>
  <c r="J117" i="22"/>
  <c r="K117" i="22" s="1"/>
  <c r="J120" i="22"/>
  <c r="K120" i="22" s="1"/>
  <c r="J122" i="22"/>
  <c r="K122" i="22" s="1"/>
  <c r="J119" i="22"/>
  <c r="K119" i="22" s="1"/>
  <c r="J113" i="22"/>
  <c r="K113" i="22" s="1"/>
  <c r="J99" i="22"/>
  <c r="K99" i="22" s="1"/>
  <c r="J118" i="22"/>
  <c r="K118" i="22" s="1"/>
  <c r="J97" i="22"/>
  <c r="K97" i="22" s="1"/>
  <c r="J71" i="22"/>
  <c r="K71" i="22" s="1"/>
  <c r="J94" i="22"/>
  <c r="K94" i="22" s="1"/>
  <c r="J39" i="22"/>
  <c r="K39" i="22" s="1"/>
  <c r="J57" i="22"/>
  <c r="K57" i="22" s="1"/>
  <c r="J112" i="22"/>
  <c r="K112" i="22" s="1"/>
  <c r="J84" i="22"/>
  <c r="K84" i="22" s="1"/>
  <c r="S27" i="8"/>
  <c r="AA13" i="22" s="1"/>
  <c r="J85" i="22"/>
  <c r="J91" i="22"/>
  <c r="K91" i="22" s="1"/>
  <c r="J66" i="22"/>
  <c r="K66" i="22" s="1"/>
  <c r="J81" i="22"/>
  <c r="K81" i="22" s="1"/>
  <c r="J16" i="22"/>
  <c r="K16" i="22" s="1"/>
  <c r="J55" i="22"/>
  <c r="K55" i="22" s="1"/>
  <c r="J90" i="22"/>
  <c r="K90" i="22" s="1"/>
  <c r="S23" i="8"/>
  <c r="N4" i="23" s="1"/>
  <c r="S29" i="8"/>
  <c r="AC13" i="22" s="1"/>
  <c r="J104" i="22"/>
  <c r="K104" i="22" s="1"/>
  <c r="J36" i="22"/>
  <c r="K36" i="22" s="1"/>
  <c r="J88" i="22"/>
  <c r="K88" i="22" s="1"/>
  <c r="J74" i="22"/>
  <c r="AC9" i="22" s="1"/>
  <c r="J60" i="22"/>
  <c r="K60" i="22" s="1"/>
  <c r="J78" i="22"/>
  <c r="K78" i="22" s="1"/>
  <c r="J32" i="22"/>
  <c r="K32" i="22" s="1"/>
  <c r="J40" i="22"/>
  <c r="K40" i="22" s="1"/>
  <c r="S22" i="8"/>
  <c r="V13" i="22" s="1"/>
  <c r="J89" i="22"/>
  <c r="K89" i="22" s="1"/>
  <c r="J34" i="22"/>
  <c r="K34" i="22" s="1"/>
  <c r="J54" i="22"/>
  <c r="K54" i="22" s="1"/>
  <c r="J61" i="22"/>
  <c r="K61" i="22" s="1"/>
  <c r="J15" i="22"/>
  <c r="K15" i="22" s="1"/>
  <c r="J95" i="22"/>
  <c r="K95" i="22" s="1"/>
  <c r="J77" i="22"/>
  <c r="K77" i="22" s="1"/>
  <c r="J76" i="22"/>
  <c r="K76" i="22" s="1"/>
  <c r="S28" i="8"/>
  <c r="S24" i="8"/>
  <c r="X13" i="22" s="1"/>
  <c r="J26" i="22"/>
  <c r="K26" i="22" s="1"/>
  <c r="J108" i="22"/>
  <c r="K108" i="22" s="1"/>
  <c r="S26" i="8"/>
  <c r="S35" i="8" s="1"/>
  <c r="J6" i="22"/>
  <c r="R7" i="8"/>
  <c r="J35" i="22"/>
  <c r="K35" i="22" s="1"/>
  <c r="R8" i="8"/>
  <c r="S25" i="8"/>
  <c r="R6" i="8"/>
  <c r="J107" i="22"/>
  <c r="K107" i="22" s="1"/>
  <c r="J51" i="22"/>
  <c r="K51" i="22" s="1"/>
  <c r="J86" i="22"/>
  <c r="J42" i="22"/>
  <c r="K42" i="22" s="1"/>
  <c r="J24" i="22"/>
  <c r="K24" i="22" s="1"/>
  <c r="J62" i="22"/>
  <c r="K62" i="22" s="1"/>
  <c r="J12" i="22"/>
  <c r="J68" i="22"/>
  <c r="K68" i="22" s="1"/>
  <c r="J65" i="22"/>
  <c r="K65" i="22" s="1"/>
  <c r="J47" i="22"/>
  <c r="K47" i="22" s="1"/>
  <c r="P16" i="22"/>
  <c r="P10" i="22" s="1"/>
  <c r="J8" i="22"/>
  <c r="K8" i="22" s="1"/>
  <c r="J14" i="22"/>
  <c r="K14" i="22" s="1"/>
  <c r="J114" i="22"/>
  <c r="J27" i="22"/>
  <c r="K27" i="22" s="1"/>
  <c r="AB8" i="22"/>
  <c r="K96" i="22"/>
  <c r="K82" i="22"/>
  <c r="K75" i="22"/>
  <c r="K72" i="22"/>
  <c r="N4" i="15"/>
  <c r="L4" i="15"/>
  <c r="AB7" i="22" l="1"/>
  <c r="R41" i="8"/>
  <c r="N3" i="23"/>
  <c r="V16" i="22"/>
  <c r="S33" i="8"/>
  <c r="AC6" i="22"/>
  <c r="AC10" i="22" s="1"/>
  <c r="K111" i="22"/>
  <c r="W13" i="22"/>
  <c r="V6" i="22"/>
  <c r="K114" i="22"/>
  <c r="AA7" i="22"/>
  <c r="Z8" i="22"/>
  <c r="Y8" i="22"/>
  <c r="Q8" i="22"/>
  <c r="X7" i="22"/>
  <c r="K85" i="22"/>
  <c r="W6" i="22"/>
  <c r="K74" i="22"/>
  <c r="S7" i="8"/>
  <c r="Y7" i="22"/>
  <c r="S17" i="8"/>
  <c r="V7" i="22"/>
  <c r="X6" i="22"/>
  <c r="Y6" i="22"/>
  <c r="Y9" i="22"/>
  <c r="S36" i="8"/>
  <c r="R9" i="8"/>
  <c r="Z6" i="22"/>
  <c r="AC18" i="22"/>
  <c r="S34" i="8"/>
  <c r="AA6" i="22"/>
  <c r="X9" i="22"/>
  <c r="Q6" i="22"/>
  <c r="R6" i="22" s="1"/>
  <c r="AB6" i="22"/>
  <c r="W9" i="22"/>
  <c r="V9" i="22"/>
  <c r="AB18" i="22"/>
  <c r="AB9" i="22"/>
  <c r="AC4" i="22" s="1"/>
  <c r="AA9" i="22"/>
  <c r="K86" i="22"/>
  <c r="Z7" i="22"/>
  <c r="K12" i="22"/>
  <c r="Q7" i="22"/>
  <c r="Z9" i="22"/>
  <c r="S30" i="8"/>
  <c r="AD13" i="22" s="1"/>
  <c r="Q9" i="22"/>
  <c r="R9" i="22" s="1"/>
  <c r="P14" i="22"/>
  <c r="P18" i="22" s="1"/>
  <c r="R42" i="8"/>
  <c r="U34" i="15"/>
  <c r="U36" i="15"/>
  <c r="U35" i="15"/>
  <c r="U33" i="15"/>
  <c r="U30" i="15"/>
  <c r="V36" i="15"/>
  <c r="U32" i="15"/>
  <c r="V34" i="15"/>
  <c r="V31" i="15"/>
  <c r="U31" i="15"/>
  <c r="V30" i="15"/>
  <c r="V29" i="15"/>
  <c r="V35" i="15"/>
  <c r="V33" i="15"/>
  <c r="V32" i="15"/>
  <c r="E529" i="15"/>
  <c r="E530" i="15"/>
  <c r="E531" i="15"/>
  <c r="E532" i="15"/>
  <c r="E533" i="15"/>
  <c r="E534" i="15"/>
  <c r="E535" i="15"/>
  <c r="E536" i="15"/>
  <c r="E528" i="15"/>
  <c r="S37" i="8" l="1"/>
  <c r="P34" i="8"/>
  <c r="P36" i="8"/>
  <c r="AD8" i="22"/>
  <c r="Y4" i="22"/>
  <c r="AD7" i="22"/>
  <c r="AA44" i="22" s="1"/>
  <c r="V10" i="22"/>
  <c r="W4" i="22"/>
  <c r="AD6" i="22"/>
  <c r="AA43" i="22" s="1"/>
  <c r="X10" i="22"/>
  <c r="AA4" i="22"/>
  <c r="P22" i="8"/>
  <c r="P35" i="8"/>
  <c r="AD9" i="22"/>
  <c r="AA46" i="22" s="1"/>
  <c r="P33" i="8"/>
  <c r="R43" i="8"/>
  <c r="S43" i="8" s="1"/>
  <c r="P24" i="22"/>
  <c r="P19" i="22"/>
  <c r="AD4" i="22" l="1"/>
  <c r="F23" i="9"/>
  <c r="C23" i="9"/>
  <c r="D26" i="9" s="1"/>
  <c r="U19" i="15"/>
  <c r="U18" i="15"/>
  <c r="U17" i="15"/>
  <c r="AI19" i="15"/>
  <c r="AI8" i="15"/>
  <c r="AI9" i="15"/>
  <c r="AC17" i="15"/>
  <c r="D23" i="9" l="1"/>
  <c r="D27" i="9" l="1"/>
  <c r="V2" i="13" l="1"/>
  <c r="Y26" i="22"/>
  <c r="AA26" i="22"/>
  <c r="X26" i="22"/>
  <c r="Z26" i="22"/>
  <c r="W26" i="22"/>
  <c r="AD26" i="22" l="1"/>
  <c r="K11" i="22"/>
  <c r="V18" i="22"/>
  <c r="W16" i="22"/>
  <c r="W18" i="22"/>
  <c r="U26" i="22"/>
  <c r="X527" i="8" l="1"/>
  <c r="V22" i="8" l="1"/>
  <c r="V24" i="8"/>
  <c r="T29" i="8"/>
  <c r="T22" i="8"/>
  <c r="V29" i="8"/>
  <c r="F23" i="23" s="1"/>
  <c r="U29" i="8"/>
  <c r="U26" i="8"/>
  <c r="U22" i="8"/>
  <c r="T26" i="8"/>
  <c r="V27" i="8"/>
  <c r="F21" i="23" s="1"/>
  <c r="U23" i="8"/>
  <c r="T25" i="8"/>
  <c r="U24" i="8"/>
  <c r="V26" i="8"/>
  <c r="U25" i="8"/>
  <c r="V28" i="8"/>
  <c r="T23" i="8"/>
  <c r="T24" i="8"/>
  <c r="U27" i="8"/>
  <c r="V25" i="8"/>
  <c r="F19" i="23" s="1"/>
  <c r="V23" i="8"/>
  <c r="F17" i="23" s="1"/>
  <c r="U28" i="8"/>
  <c r="T28" i="8"/>
  <c r="T27" i="8"/>
  <c r="T36" i="8" l="1"/>
  <c r="T33" i="8"/>
  <c r="T34" i="8"/>
  <c r="T35" i="8"/>
  <c r="U33" i="8"/>
  <c r="U36" i="8"/>
  <c r="U44" i="8" s="1"/>
  <c r="F20" i="23"/>
  <c r="V35" i="8"/>
  <c r="V33" i="8"/>
  <c r="U35" i="8"/>
  <c r="F18" i="23"/>
  <c r="V34" i="8"/>
  <c r="U34" i="8"/>
  <c r="F22" i="23"/>
  <c r="V36" i="8"/>
  <c r="U30" i="8"/>
  <c r="V30" i="8"/>
  <c r="T30" i="8"/>
  <c r="K79" i="22"/>
  <c r="Y10" i="22"/>
  <c r="K50" i="22"/>
  <c r="R8" i="22"/>
  <c r="AA10" i="22"/>
  <c r="R7" i="22"/>
  <c r="E16" i="23"/>
  <c r="F16" i="23"/>
  <c r="U37" i="8" l="1"/>
  <c r="V37" i="8"/>
  <c r="T37" i="8"/>
  <c r="F24" i="23"/>
  <c r="AA45" i="22"/>
  <c r="AA47" i="22" s="1"/>
  <c r="AB10" i="22"/>
  <c r="W10" i="22"/>
  <c r="G16" i="23"/>
  <c r="Z10" i="22"/>
  <c r="P20" i="22"/>
  <c r="U45" i="8" l="1"/>
  <c r="AD10" i="22"/>
  <c r="U10" i="22"/>
  <c r="U11" i="22" s="1"/>
  <c r="AO19" i="15" l="1"/>
  <c r="AO18" i="15"/>
  <c r="AO9" i="15"/>
  <c r="AO8" i="15"/>
  <c r="AO7" i="15"/>
  <c r="AO6" i="15"/>
  <c r="AO5" i="15"/>
  <c r="U20" i="15" l="1"/>
  <c r="AU18" i="15"/>
  <c r="AU17" i="15"/>
  <c r="AU16" i="15"/>
  <c r="AC16" i="15"/>
  <c r="AU15" i="15"/>
  <c r="AC15" i="15"/>
  <c r="AU9" i="15"/>
  <c r="AI7" i="15"/>
  <c r="AC9" i="15"/>
  <c r="U9" i="15"/>
  <c r="AU8" i="15"/>
  <c r="AI6" i="15"/>
  <c r="U8" i="15"/>
  <c r="AU7" i="15"/>
  <c r="AI5" i="15"/>
  <c r="U7" i="15"/>
  <c r="AU6" i="15"/>
  <c r="U6" i="15"/>
  <c r="AU5" i="15"/>
  <c r="U5" i="15"/>
  <c r="M56" i="14"/>
  <c r="K56" i="14"/>
  <c r="W55" i="14"/>
  <c r="V55" i="14"/>
  <c r="W54" i="14"/>
  <c r="V54" i="14"/>
  <c r="W53" i="14"/>
  <c r="V53" i="14"/>
  <c r="W52" i="14"/>
  <c r="V52" i="14"/>
  <c r="W51" i="14"/>
  <c r="V51" i="14"/>
  <c r="U50" i="14"/>
  <c r="U49" i="14"/>
  <c r="W49" i="14" s="1"/>
  <c r="U48" i="14"/>
  <c r="Q48" i="14"/>
  <c r="O48" i="14"/>
  <c r="U47" i="14"/>
  <c r="W47" i="14" s="1"/>
  <c r="U46" i="14"/>
  <c r="W45" i="14"/>
  <c r="V45" i="14"/>
  <c r="W44" i="14"/>
  <c r="V44" i="14"/>
  <c r="S43" i="14"/>
  <c r="S56" i="14" s="1"/>
  <c r="Q43" i="14"/>
  <c r="O43" i="14"/>
  <c r="I43" i="14"/>
  <c r="W42" i="14"/>
  <c r="V42" i="14"/>
  <c r="W41" i="14"/>
  <c r="V41" i="14"/>
  <c r="W40" i="14"/>
  <c r="V40" i="14"/>
  <c r="W39" i="14"/>
  <c r="V39" i="14"/>
  <c r="W38" i="14"/>
  <c r="V38" i="14"/>
  <c r="W37" i="14"/>
  <c r="V37" i="14"/>
  <c r="W36" i="14"/>
  <c r="V36" i="14"/>
  <c r="W35" i="14"/>
  <c r="V35" i="14"/>
  <c r="V34" i="14"/>
  <c r="I34" i="14"/>
  <c r="W34" i="14" s="1"/>
  <c r="V33" i="14"/>
  <c r="I33" i="14"/>
  <c r="W32" i="14"/>
  <c r="V32" i="14"/>
  <c r="W31" i="14"/>
  <c r="V31" i="14"/>
  <c r="W30" i="14"/>
  <c r="V30" i="14"/>
  <c r="W29" i="14"/>
  <c r="V29" i="14"/>
  <c r="W28" i="14"/>
  <c r="V28" i="14"/>
  <c r="W27" i="14"/>
  <c r="V27" i="14"/>
  <c r="W26" i="14"/>
  <c r="V26" i="14"/>
  <c r="W25" i="14"/>
  <c r="V25" i="14"/>
  <c r="W24" i="14"/>
  <c r="V24" i="14"/>
  <c r="W23" i="14"/>
  <c r="V23" i="14"/>
  <c r="Q22" i="14"/>
  <c r="V22" i="14" s="1"/>
  <c r="W21" i="14"/>
  <c r="V21" i="14"/>
  <c r="W20" i="14"/>
  <c r="V20" i="14"/>
  <c r="W19" i="14"/>
  <c r="V19" i="14"/>
  <c r="W18" i="14"/>
  <c r="V18" i="14"/>
  <c r="W17" i="14"/>
  <c r="V17" i="14"/>
  <c r="W16" i="14"/>
  <c r="V16" i="14"/>
  <c r="W15" i="14"/>
  <c r="V15" i="14"/>
  <c r="W14" i="14"/>
  <c r="V14" i="14"/>
  <c r="W13" i="14"/>
  <c r="V13" i="14"/>
  <c r="W12" i="14"/>
  <c r="V12" i="14"/>
  <c r="W11" i="14"/>
  <c r="V11" i="14"/>
  <c r="W10" i="14"/>
  <c r="V10" i="14"/>
  <c r="W9" i="14"/>
  <c r="V9" i="14"/>
  <c r="W8" i="14"/>
  <c r="V8" i="14"/>
  <c r="W7" i="14"/>
  <c r="V7" i="14"/>
  <c r="W6" i="14"/>
  <c r="V6" i="14"/>
  <c r="G50" i="12"/>
  <c r="B50" i="12" s="1"/>
  <c r="C50" i="12"/>
  <c r="G36" i="12"/>
  <c r="C36" i="12"/>
  <c r="B35" i="5"/>
  <c r="H22" i="5"/>
  <c r="B22" i="5"/>
  <c r="C10" i="1"/>
  <c r="I9" i="1"/>
  <c r="D12" i="1"/>
  <c r="C12" i="1"/>
  <c r="M4" i="23" l="1"/>
  <c r="B17" i="23"/>
  <c r="M5" i="23"/>
  <c r="B18" i="23"/>
  <c r="C18" i="23" s="1"/>
  <c r="M9" i="23"/>
  <c r="B22" i="23"/>
  <c r="C22" i="23" s="1"/>
  <c r="M8" i="23"/>
  <c r="B21" i="23"/>
  <c r="C21" i="23" s="1"/>
  <c r="M6" i="23"/>
  <c r="B19" i="23"/>
  <c r="C19" i="23" s="1"/>
  <c r="M10" i="23"/>
  <c r="B23" i="23"/>
  <c r="C23" i="23" s="1"/>
  <c r="M7" i="23"/>
  <c r="B20" i="23"/>
  <c r="C20" i="23" s="1"/>
  <c r="G21" i="9"/>
  <c r="E21" i="9"/>
  <c r="G19" i="9"/>
  <c r="E19" i="9"/>
  <c r="G20" i="9"/>
  <c r="E20" i="9"/>
  <c r="G22" i="9"/>
  <c r="E22" i="9"/>
  <c r="K6" i="22"/>
  <c r="W22" i="14"/>
  <c r="N6" i="23"/>
  <c r="N8" i="23"/>
  <c r="N10" i="23"/>
  <c r="N5" i="23"/>
  <c r="N7" i="23"/>
  <c r="N9" i="23"/>
  <c r="AI10" i="15"/>
  <c r="U10" i="15"/>
  <c r="V49" i="14"/>
  <c r="AC10" i="15"/>
  <c r="I56" i="14"/>
  <c r="AU10" i="15"/>
  <c r="V43" i="14"/>
  <c r="V47" i="14"/>
  <c r="O56" i="14"/>
  <c r="AI20" i="15"/>
  <c r="AU20" i="15"/>
  <c r="U56" i="14"/>
  <c r="V46" i="14"/>
  <c r="W46" i="14"/>
  <c r="V50" i="14"/>
  <c r="W50" i="14"/>
  <c r="J11" i="1"/>
  <c r="G52" i="12"/>
  <c r="B36" i="12"/>
  <c r="B52" i="12" s="1"/>
  <c r="AO10" i="15"/>
  <c r="W33" i="14"/>
  <c r="V48" i="14"/>
  <c r="W48" i="14"/>
  <c r="Q56" i="14"/>
  <c r="W43" i="14"/>
  <c r="AO20" i="15"/>
  <c r="C52" i="12"/>
  <c r="AC20" i="15"/>
  <c r="J12" i="1"/>
  <c r="O7" i="15" l="1"/>
  <c r="O11" i="15"/>
  <c r="O15" i="15"/>
  <c r="O19" i="15"/>
  <c r="O23" i="15"/>
  <c r="O27" i="15"/>
  <c r="O31" i="15"/>
  <c r="O35" i="15"/>
  <c r="O39" i="15"/>
  <c r="O43" i="15"/>
  <c r="O47" i="15"/>
  <c r="O51" i="15"/>
  <c r="O55" i="15"/>
  <c r="O59" i="15"/>
  <c r="O63" i="15"/>
  <c r="O67" i="15"/>
  <c r="O71" i="15"/>
  <c r="O75" i="15"/>
  <c r="O79" i="15"/>
  <c r="O83" i="15"/>
  <c r="O87" i="15"/>
  <c r="O91" i="15"/>
  <c r="O95" i="15"/>
  <c r="O99" i="15"/>
  <c r="O103" i="15"/>
  <c r="O107" i="15"/>
  <c r="O111" i="15"/>
  <c r="O115" i="15"/>
  <c r="O119" i="15"/>
  <c r="O123" i="15"/>
  <c r="O127" i="15"/>
  <c r="O131" i="15"/>
  <c r="O135" i="15"/>
  <c r="O139" i="15"/>
  <c r="O143" i="15"/>
  <c r="O147" i="15"/>
  <c r="O151" i="15"/>
  <c r="O155" i="15"/>
  <c r="O159" i="15"/>
  <c r="O163" i="15"/>
  <c r="O167" i="15"/>
  <c r="O171" i="15"/>
  <c r="O175" i="15"/>
  <c r="O179" i="15"/>
  <c r="O183" i="15"/>
  <c r="O187" i="15"/>
  <c r="O191" i="15"/>
  <c r="O195" i="15"/>
  <c r="O199" i="15"/>
  <c r="O203" i="15"/>
  <c r="O207" i="15"/>
  <c r="O211" i="15"/>
  <c r="O215" i="15"/>
  <c r="O219" i="15"/>
  <c r="O223" i="15"/>
  <c r="O227" i="15"/>
  <c r="O231" i="15"/>
  <c r="O235" i="15"/>
  <c r="O239" i="15"/>
  <c r="O243" i="15"/>
  <c r="O247" i="15"/>
  <c r="O251" i="15"/>
  <c r="O255" i="15"/>
  <c r="O259" i="15"/>
  <c r="O263" i="15"/>
  <c r="O267" i="15"/>
  <c r="O271" i="15"/>
  <c r="O275" i="15"/>
  <c r="O279" i="15"/>
  <c r="O283" i="15"/>
  <c r="O287" i="15"/>
  <c r="O291" i="15"/>
  <c r="O295" i="15"/>
  <c r="O299" i="15"/>
  <c r="O303" i="15"/>
  <c r="O307" i="15"/>
  <c r="O311" i="15"/>
  <c r="O315" i="15"/>
  <c r="O319" i="15"/>
  <c r="O323" i="15"/>
  <c r="O327" i="15"/>
  <c r="O331" i="15"/>
  <c r="O335" i="15"/>
  <c r="O339" i="15"/>
  <c r="O343" i="15"/>
  <c r="O8" i="15"/>
  <c r="O9" i="15"/>
  <c r="O13" i="15"/>
  <c r="O17" i="15"/>
  <c r="O21" i="15"/>
  <c r="O25" i="15"/>
  <c r="O29" i="15"/>
  <c r="O33" i="15"/>
  <c r="O37" i="15"/>
  <c r="O41" i="15"/>
  <c r="O45" i="15"/>
  <c r="O49" i="15"/>
  <c r="O53" i="15"/>
  <c r="O57" i="15"/>
  <c r="O61" i="15"/>
  <c r="O65" i="15"/>
  <c r="O69" i="15"/>
  <c r="O73" i="15"/>
  <c r="O77" i="15"/>
  <c r="O81" i="15"/>
  <c r="O85" i="15"/>
  <c r="O89" i="15"/>
  <c r="O93" i="15"/>
  <c r="O97" i="15"/>
  <c r="O101" i="15"/>
  <c r="O105" i="15"/>
  <c r="O109" i="15"/>
  <c r="O113" i="15"/>
  <c r="O117" i="15"/>
  <c r="O121" i="15"/>
  <c r="O125" i="15"/>
  <c r="O129" i="15"/>
  <c r="O133" i="15"/>
  <c r="O137" i="15"/>
  <c r="O141" i="15"/>
  <c r="O145" i="15"/>
  <c r="O149" i="15"/>
  <c r="O153" i="15"/>
  <c r="O157" i="15"/>
  <c r="O161" i="15"/>
  <c r="O165" i="15"/>
  <c r="O169" i="15"/>
  <c r="O173" i="15"/>
  <c r="O177" i="15"/>
  <c r="O181" i="15"/>
  <c r="O185" i="15"/>
  <c r="O189" i="15"/>
  <c r="O193" i="15"/>
  <c r="O197" i="15"/>
  <c r="O201" i="15"/>
  <c r="O205" i="15"/>
  <c r="O209" i="15"/>
  <c r="O213" i="15"/>
  <c r="O217" i="15"/>
  <c r="O221" i="15"/>
  <c r="O225" i="15"/>
  <c r="O229" i="15"/>
  <c r="O233" i="15"/>
  <c r="O237" i="15"/>
  <c r="O241" i="15"/>
  <c r="O245" i="15"/>
  <c r="O249" i="15"/>
  <c r="O253" i="15"/>
  <c r="O257" i="15"/>
  <c r="O261" i="15"/>
  <c r="O265" i="15"/>
  <c r="O269" i="15"/>
  <c r="O273" i="15"/>
  <c r="O277" i="15"/>
  <c r="O281" i="15"/>
  <c r="O285" i="15"/>
  <c r="O289" i="15"/>
  <c r="O293" i="15"/>
  <c r="O297" i="15"/>
  <c r="O301" i="15"/>
  <c r="O305" i="15"/>
  <c r="O309" i="15"/>
  <c r="O313" i="15"/>
  <c r="O317" i="15"/>
  <c r="O321" i="15"/>
  <c r="O325" i="15"/>
  <c r="O329" i="15"/>
  <c r="O333" i="15"/>
  <c r="O337" i="15"/>
  <c r="O341" i="15"/>
  <c r="O345" i="15"/>
  <c r="O349" i="15"/>
  <c r="O353" i="15"/>
  <c r="O357" i="15"/>
  <c r="O361" i="15"/>
  <c r="O365" i="15"/>
  <c r="O369" i="15"/>
  <c r="O373" i="15"/>
  <c r="O377" i="15"/>
  <c r="O381" i="15"/>
  <c r="O385" i="15"/>
  <c r="O389" i="15"/>
  <c r="O393" i="15"/>
  <c r="O397" i="15"/>
  <c r="O401" i="15"/>
  <c r="O405" i="15"/>
  <c r="O409" i="15"/>
  <c r="O6" i="15"/>
  <c r="O16" i="15"/>
  <c r="O24" i="15"/>
  <c r="O32" i="15"/>
  <c r="O40" i="15"/>
  <c r="O48" i="15"/>
  <c r="O56" i="15"/>
  <c r="O64" i="15"/>
  <c r="O72" i="15"/>
  <c r="O80" i="15"/>
  <c r="O88" i="15"/>
  <c r="O96" i="15"/>
  <c r="O104" i="15"/>
  <c r="O112" i="15"/>
  <c r="O120" i="15"/>
  <c r="O128" i="15"/>
  <c r="O136" i="15"/>
  <c r="O144" i="15"/>
  <c r="O152" i="15"/>
  <c r="O160" i="15"/>
  <c r="O168" i="15"/>
  <c r="O176" i="15"/>
  <c r="O184" i="15"/>
  <c r="O192" i="15"/>
  <c r="O200" i="15"/>
  <c r="O208" i="15"/>
  <c r="O216" i="15"/>
  <c r="O224" i="15"/>
  <c r="O232" i="15"/>
  <c r="O240" i="15"/>
  <c r="O248" i="15"/>
  <c r="O256" i="15"/>
  <c r="O264" i="15"/>
  <c r="O272" i="15"/>
  <c r="O280" i="15"/>
  <c r="O288" i="15"/>
  <c r="O296" i="15"/>
  <c r="O304" i="15"/>
  <c r="O312" i="15"/>
  <c r="O320" i="15"/>
  <c r="O328" i="15"/>
  <c r="O336" i="15"/>
  <c r="O344" i="15"/>
  <c r="O350" i="15"/>
  <c r="O355" i="15"/>
  <c r="O360" i="15"/>
  <c r="O366" i="15"/>
  <c r="O371" i="15"/>
  <c r="O376" i="15"/>
  <c r="O382" i="15"/>
  <c r="O387" i="15"/>
  <c r="O392" i="15"/>
  <c r="O398" i="15"/>
  <c r="O403" i="15"/>
  <c r="O408" i="15"/>
  <c r="O413" i="15"/>
  <c r="O417" i="15"/>
  <c r="O421" i="15"/>
  <c r="O425" i="15"/>
  <c r="O429" i="15"/>
  <c r="O433" i="15"/>
  <c r="O437" i="15"/>
  <c r="O441" i="15"/>
  <c r="O445" i="15"/>
  <c r="O449" i="15"/>
  <c r="O453" i="15"/>
  <c r="O457" i="15"/>
  <c r="O461" i="15"/>
  <c r="O465" i="15"/>
  <c r="O469" i="15"/>
  <c r="O473" i="15"/>
  <c r="O477" i="15"/>
  <c r="O481" i="15"/>
  <c r="O485" i="15"/>
  <c r="O489" i="15"/>
  <c r="O493" i="15"/>
  <c r="O497" i="15"/>
  <c r="O501" i="15"/>
  <c r="O505" i="15"/>
  <c r="O509" i="15"/>
  <c r="O10" i="15"/>
  <c r="O18" i="15"/>
  <c r="O26" i="15"/>
  <c r="O34" i="15"/>
  <c r="O42" i="15"/>
  <c r="O50" i="15"/>
  <c r="O58" i="15"/>
  <c r="O66" i="15"/>
  <c r="O74" i="15"/>
  <c r="O82" i="15"/>
  <c r="O90" i="15"/>
  <c r="O98" i="15"/>
  <c r="O106" i="15"/>
  <c r="O114" i="15"/>
  <c r="O122" i="15"/>
  <c r="O130" i="15"/>
  <c r="O138" i="15"/>
  <c r="O146" i="15"/>
  <c r="O154" i="15"/>
  <c r="O162" i="15"/>
  <c r="O170" i="15"/>
  <c r="O178" i="15"/>
  <c r="O186" i="15"/>
  <c r="O194" i="15"/>
  <c r="O202" i="15"/>
  <c r="O210" i="15"/>
  <c r="O218" i="15"/>
  <c r="O226" i="15"/>
  <c r="O234" i="15"/>
  <c r="O242" i="15"/>
  <c r="O250" i="15"/>
  <c r="O258" i="15"/>
  <c r="O266" i="15"/>
  <c r="O274" i="15"/>
  <c r="O282" i="15"/>
  <c r="O290" i="15"/>
  <c r="O298" i="15"/>
  <c r="O306" i="15"/>
  <c r="O314" i="15"/>
  <c r="O322" i="15"/>
  <c r="O330" i="15"/>
  <c r="O338" i="15"/>
  <c r="O346" i="15"/>
  <c r="O351" i="15"/>
  <c r="O356" i="15"/>
  <c r="O362" i="15"/>
  <c r="O367" i="15"/>
  <c r="O372" i="15"/>
  <c r="O378" i="15"/>
  <c r="O383" i="15"/>
  <c r="O388" i="15"/>
  <c r="O394" i="15"/>
  <c r="O399" i="15"/>
  <c r="O404" i="15"/>
  <c r="O410" i="15"/>
  <c r="O414" i="15"/>
  <c r="O418" i="15"/>
  <c r="O422" i="15"/>
  <c r="O426" i="15"/>
  <c r="O430" i="15"/>
  <c r="O434" i="15"/>
  <c r="O438" i="15"/>
  <c r="O442" i="15"/>
  <c r="O446" i="15"/>
  <c r="O450" i="15"/>
  <c r="O454" i="15"/>
  <c r="O458" i="15"/>
  <c r="O462" i="15"/>
  <c r="O12" i="15"/>
  <c r="O20" i="15"/>
  <c r="O28" i="15"/>
  <c r="O36" i="15"/>
  <c r="O44" i="15"/>
  <c r="O52" i="15"/>
  <c r="O60" i="15"/>
  <c r="O68" i="15"/>
  <c r="O76" i="15"/>
  <c r="O84" i="15"/>
  <c r="O92" i="15"/>
  <c r="O100" i="15"/>
  <c r="O108" i="15"/>
  <c r="O116" i="15"/>
  <c r="O124" i="15"/>
  <c r="O132" i="15"/>
  <c r="O140" i="15"/>
  <c r="O148" i="15"/>
  <c r="O156" i="15"/>
  <c r="O164" i="15"/>
  <c r="O172" i="15"/>
  <c r="O180" i="15"/>
  <c r="O188" i="15"/>
  <c r="O196" i="15"/>
  <c r="O204" i="15"/>
  <c r="O212" i="15"/>
  <c r="O220" i="15"/>
  <c r="O228" i="15"/>
  <c r="O236" i="15"/>
  <c r="O244" i="15"/>
  <c r="O252" i="15"/>
  <c r="O260" i="15"/>
  <c r="O268" i="15"/>
  <c r="O276" i="15"/>
  <c r="O284" i="15"/>
  <c r="O292" i="15"/>
  <c r="O300" i="15"/>
  <c r="O308" i="15"/>
  <c r="O316" i="15"/>
  <c r="O324" i="15"/>
  <c r="O332" i="15"/>
  <c r="O340" i="15"/>
  <c r="O347" i="15"/>
  <c r="O352" i="15"/>
  <c r="O358" i="15"/>
  <c r="O363" i="15"/>
  <c r="O368" i="15"/>
  <c r="O374" i="15"/>
  <c r="O379" i="15"/>
  <c r="O384" i="15"/>
  <c r="O390" i="15"/>
  <c r="O395" i="15"/>
  <c r="O400" i="15"/>
  <c r="O406" i="15"/>
  <c r="O411" i="15"/>
  <c r="O415" i="15"/>
  <c r="O419" i="15"/>
  <c r="O423" i="15"/>
  <c r="O427" i="15"/>
  <c r="O431" i="15"/>
  <c r="O435" i="15"/>
  <c r="O439" i="15"/>
  <c r="O443" i="15"/>
  <c r="O447" i="15"/>
  <c r="O451" i="15"/>
  <c r="O455" i="15"/>
  <c r="O459" i="15"/>
  <c r="O463" i="15"/>
  <c r="O467" i="15"/>
  <c r="O471" i="15"/>
  <c r="O475" i="15"/>
  <c r="O479" i="15"/>
  <c r="O483" i="15"/>
  <c r="O487" i="15"/>
  <c r="O491" i="15"/>
  <c r="O495" i="15"/>
  <c r="O499" i="15"/>
  <c r="O503" i="15"/>
  <c r="O507" i="15"/>
  <c r="O511" i="15"/>
  <c r="O38" i="15"/>
  <c r="O70" i="15"/>
  <c r="O102" i="15"/>
  <c r="O134" i="15"/>
  <c r="O166" i="15"/>
  <c r="O198" i="15"/>
  <c r="O230" i="15"/>
  <c r="O262" i="15"/>
  <c r="O294" i="15"/>
  <c r="O326" i="15"/>
  <c r="O354" i="15"/>
  <c r="O375" i="15"/>
  <c r="O396" i="15"/>
  <c r="O416" i="15"/>
  <c r="O432" i="15"/>
  <c r="O448" i="15"/>
  <c r="O464" i="15"/>
  <c r="O472" i="15"/>
  <c r="O480" i="15"/>
  <c r="O488" i="15"/>
  <c r="O496" i="15"/>
  <c r="O504" i="15"/>
  <c r="O14" i="15"/>
  <c r="O46" i="15"/>
  <c r="O78" i="15"/>
  <c r="O110" i="15"/>
  <c r="O142" i="15"/>
  <c r="O174" i="15"/>
  <c r="O206" i="15"/>
  <c r="O238" i="15"/>
  <c r="O270" i="15"/>
  <c r="O302" i="15"/>
  <c r="O334" i="15"/>
  <c r="O359" i="15"/>
  <c r="O380" i="15"/>
  <c r="O402" i="15"/>
  <c r="O420" i="15"/>
  <c r="O436" i="15"/>
  <c r="O452" i="15"/>
  <c r="O466" i="15"/>
  <c r="O474" i="15"/>
  <c r="O482" i="15"/>
  <c r="O490" i="15"/>
  <c r="O498" i="15"/>
  <c r="O506" i="15"/>
  <c r="O22" i="15"/>
  <c r="O54" i="15"/>
  <c r="O86" i="15"/>
  <c r="O118" i="15"/>
  <c r="O150" i="15"/>
  <c r="O182" i="15"/>
  <c r="O214" i="15"/>
  <c r="O246" i="15"/>
  <c r="O278" i="15"/>
  <c r="O310" i="15"/>
  <c r="O342" i="15"/>
  <c r="O364" i="15"/>
  <c r="O386" i="15"/>
  <c r="O407" i="15"/>
  <c r="O424" i="15"/>
  <c r="O440" i="15"/>
  <c r="O456" i="15"/>
  <c r="O468" i="15"/>
  <c r="O476" i="15"/>
  <c r="O484" i="15"/>
  <c r="O492" i="15"/>
  <c r="O500" i="15"/>
  <c r="O508" i="15"/>
  <c r="O30" i="15"/>
  <c r="O62" i="15"/>
  <c r="O94" i="15"/>
  <c r="O126" i="15"/>
  <c r="O158" i="15"/>
  <c r="O190" i="15"/>
  <c r="O222" i="15"/>
  <c r="O254" i="15"/>
  <c r="O286" i="15"/>
  <c r="O318" i="15"/>
  <c r="O348" i="15"/>
  <c r="O370" i="15"/>
  <c r="O391" i="15"/>
  <c r="O412" i="15"/>
  <c r="O428" i="15"/>
  <c r="O444" i="15"/>
  <c r="O460" i="15"/>
  <c r="O470" i="15"/>
  <c r="O478" i="15"/>
  <c r="O486" i="15"/>
  <c r="O494" i="15"/>
  <c r="O502" i="15"/>
  <c r="O510" i="15"/>
  <c r="V25" i="7"/>
  <c r="O4" i="15"/>
  <c r="O5" i="15"/>
  <c r="S17" i="7"/>
  <c r="U17" i="7"/>
  <c r="U10" i="7"/>
  <c r="U13" i="7"/>
  <c r="U14" i="7"/>
  <c r="U12" i="7"/>
  <c r="U16" i="7"/>
  <c r="U15" i="7"/>
  <c r="U11" i="7"/>
  <c r="T13" i="7"/>
  <c r="T14" i="7"/>
  <c r="S16" i="7"/>
  <c r="T45" i="7"/>
  <c r="T40" i="7"/>
  <c r="T15" i="7"/>
  <c r="T43" i="7"/>
  <c r="S11" i="7"/>
  <c r="T16" i="7"/>
  <c r="T12" i="7"/>
  <c r="V27" i="7" s="1"/>
  <c r="W28" i="7" s="1"/>
  <c r="T11" i="7"/>
  <c r="V26" i="7" s="1"/>
  <c r="T44" i="7"/>
  <c r="S15" i="7"/>
  <c r="S14" i="7"/>
  <c r="S12" i="7"/>
  <c r="T41" i="7"/>
  <c r="T17" i="7"/>
  <c r="T47" i="7"/>
  <c r="G12" i="9" s="1"/>
  <c r="K10" i="23" s="1"/>
  <c r="O10" i="23" s="1"/>
  <c r="S13" i="7"/>
  <c r="T46" i="7"/>
  <c r="T42" i="7"/>
  <c r="S41" i="7"/>
  <c r="S45" i="7"/>
  <c r="D9" i="9" s="1"/>
  <c r="E9" i="9" s="1"/>
  <c r="S46" i="7"/>
  <c r="D11" i="9" s="1"/>
  <c r="S44" i="7"/>
  <c r="S40" i="7"/>
  <c r="S42" i="7"/>
  <c r="S47" i="7"/>
  <c r="S43" i="7"/>
  <c r="B24" i="23"/>
  <c r="C17" i="23"/>
  <c r="C24" i="23" s="1"/>
  <c r="M11" i="23"/>
  <c r="N11" i="23"/>
  <c r="P25" i="22"/>
  <c r="P22" i="22"/>
  <c r="AC16" i="22"/>
  <c r="AB13" i="22"/>
  <c r="AB16" i="22"/>
  <c r="AA16" i="22"/>
  <c r="AA18" i="22"/>
  <c r="Z13" i="22"/>
  <c r="Z16" i="22"/>
  <c r="Z18" i="22"/>
  <c r="Y13" i="22"/>
  <c r="Y16" i="22"/>
  <c r="Y18" i="22"/>
  <c r="X18" i="22"/>
  <c r="X16" i="22"/>
  <c r="E23" i="9"/>
  <c r="C26" i="9"/>
  <c r="C27" i="9"/>
  <c r="W56" i="14"/>
  <c r="V56" i="14"/>
  <c r="U29" i="15"/>
  <c r="J13" i="1"/>
  <c r="W26" i="7" l="1"/>
  <c r="AD25" i="7"/>
  <c r="AF25" i="7" s="1"/>
  <c r="AD26" i="7"/>
  <c r="AD27" i="7"/>
  <c r="V30" i="7"/>
  <c r="AD30" i="7"/>
  <c r="AF30" i="7" s="1"/>
  <c r="V29" i="7"/>
  <c r="AD29" i="7"/>
  <c r="V32" i="7"/>
  <c r="AD32" i="7"/>
  <c r="AF32" i="7" s="1"/>
  <c r="V31" i="7"/>
  <c r="AD31" i="7"/>
  <c r="AD28" i="7"/>
  <c r="AF28" i="7" s="1"/>
  <c r="W16" i="7"/>
  <c r="X16" i="7" s="1"/>
  <c r="W10" i="7"/>
  <c r="X10" i="7" s="1"/>
  <c r="V10" i="7"/>
  <c r="S47" i="8" s="1"/>
  <c r="U43" i="7"/>
  <c r="V43" i="7" s="1"/>
  <c r="W12" i="7"/>
  <c r="X12" i="7" s="1"/>
  <c r="W14" i="7"/>
  <c r="X14" i="7" s="1"/>
  <c r="S19" i="7"/>
  <c r="U45" i="7"/>
  <c r="V45" i="7" s="1"/>
  <c r="G11" i="9"/>
  <c r="K9" i="23" s="1"/>
  <c r="O9" i="23" s="1"/>
  <c r="U47" i="7"/>
  <c r="V47" i="7" s="1"/>
  <c r="U41" i="7"/>
  <c r="V41" i="7" s="1"/>
  <c r="T8" i="8"/>
  <c r="T6" i="8"/>
  <c r="T7" i="8"/>
  <c r="P23" i="8"/>
  <c r="P24" i="8"/>
  <c r="V12" i="7"/>
  <c r="V17" i="7"/>
  <c r="V14" i="7"/>
  <c r="V15" i="7"/>
  <c r="V13" i="7"/>
  <c r="V11" i="7"/>
  <c r="S48" i="8" s="1"/>
  <c r="V16" i="7"/>
  <c r="T33" i="15"/>
  <c r="Q8" i="23" s="1"/>
  <c r="T31" i="15"/>
  <c r="Q6" i="23" s="1"/>
  <c r="T36" i="15"/>
  <c r="Q9" i="23" s="1"/>
  <c r="T35" i="15"/>
  <c r="Q10" i="23" s="1"/>
  <c r="T32" i="15"/>
  <c r="Q5" i="23" s="1"/>
  <c r="T34" i="15"/>
  <c r="F9" i="9"/>
  <c r="G8" i="23"/>
  <c r="D2" i="9"/>
  <c r="E2" i="9" s="1"/>
  <c r="G3" i="23" s="1"/>
  <c r="G6" i="9"/>
  <c r="K6" i="23" s="1"/>
  <c r="O6" i="23" s="1"/>
  <c r="D5" i="9"/>
  <c r="E5" i="9" s="1"/>
  <c r="G5" i="23" s="1"/>
  <c r="D3" i="9"/>
  <c r="E3" i="9" s="1"/>
  <c r="G8" i="9"/>
  <c r="K7" i="23" s="1"/>
  <c r="O7" i="23" s="1"/>
  <c r="G3" i="9"/>
  <c r="K4" i="23" s="1"/>
  <c r="O4" i="23" s="1"/>
  <c r="D6" i="9"/>
  <c r="E6" i="9" s="1"/>
  <c r="D8" i="9"/>
  <c r="D10" i="9" s="1"/>
  <c r="D12" i="9"/>
  <c r="E12" i="9" s="1"/>
  <c r="G2" i="9"/>
  <c r="K3" i="23" s="1"/>
  <c r="G9" i="9"/>
  <c r="K8" i="23" s="1"/>
  <c r="O8" i="23" s="1"/>
  <c r="G5" i="9"/>
  <c r="P28" i="8"/>
  <c r="P25" i="8"/>
  <c r="P26" i="8"/>
  <c r="P27" i="8"/>
  <c r="P29" i="8"/>
  <c r="C8" i="1"/>
  <c r="Q4" i="23"/>
  <c r="S33" i="15"/>
  <c r="S31" i="15"/>
  <c r="S29" i="15"/>
  <c r="S30" i="15"/>
  <c r="S32" i="15"/>
  <c r="S36" i="15"/>
  <c r="S35" i="15"/>
  <c r="S34" i="15"/>
  <c r="E11" i="9"/>
  <c r="G9" i="23" s="1"/>
  <c r="E23" i="23"/>
  <c r="G23" i="23" s="1"/>
  <c r="E22" i="23"/>
  <c r="G22" i="23" s="1"/>
  <c r="E21" i="23"/>
  <c r="G21" i="23" s="1"/>
  <c r="E20" i="23"/>
  <c r="G20" i="23" s="1"/>
  <c r="E19" i="23"/>
  <c r="G19" i="23" s="1"/>
  <c r="E18" i="23"/>
  <c r="G18" i="23" s="1"/>
  <c r="E17" i="23"/>
  <c r="D9" i="1"/>
  <c r="C9" i="1"/>
  <c r="J10" i="1"/>
  <c r="W32" i="7" l="1"/>
  <c r="W30" i="7"/>
  <c r="V35" i="7"/>
  <c r="G13" i="9"/>
  <c r="AE32" i="7"/>
  <c r="AF31" i="7"/>
  <c r="AG32" i="7" s="1"/>
  <c r="AF29" i="7"/>
  <c r="AG30" i="7" s="1"/>
  <c r="AE30" i="7"/>
  <c r="AF27" i="7"/>
  <c r="AG28" i="7" s="1"/>
  <c r="AE28" i="7"/>
  <c r="AF26" i="7"/>
  <c r="AG26" i="7" s="1"/>
  <c r="AE26" i="7"/>
  <c r="S49" i="8"/>
  <c r="S50" i="8"/>
  <c r="S53" i="8"/>
  <c r="S54" i="8"/>
  <c r="G17" i="23"/>
  <c r="G24" i="23" s="1"/>
  <c r="E24" i="23"/>
  <c r="T37" i="15"/>
  <c r="Q3" i="23"/>
  <c r="H5" i="23"/>
  <c r="I5" i="23"/>
  <c r="J5" i="23" s="1"/>
  <c r="O3" i="23"/>
  <c r="F12" i="9"/>
  <c r="G10" i="23"/>
  <c r="F6" i="9"/>
  <c r="G6" i="23"/>
  <c r="I3" i="23"/>
  <c r="H3" i="23"/>
  <c r="G7" i="9"/>
  <c r="K5" i="23"/>
  <c r="O5" i="23" s="1"/>
  <c r="F3" i="9"/>
  <c r="G4" i="23"/>
  <c r="I8" i="23"/>
  <c r="J8" i="23" s="1"/>
  <c r="H8" i="23"/>
  <c r="H9" i="23"/>
  <c r="I9" i="23"/>
  <c r="J9" i="23" s="1"/>
  <c r="D13" i="9"/>
  <c r="G4" i="9"/>
  <c r="E8" i="9"/>
  <c r="D7" i="9"/>
  <c r="U19" i="7"/>
  <c r="S48" i="7"/>
  <c r="D4" i="9"/>
  <c r="T19" i="7"/>
  <c r="G10" i="9"/>
  <c r="T48" i="7"/>
  <c r="F2" i="9"/>
  <c r="E4" i="9"/>
  <c r="F11" i="9"/>
  <c r="E13" i="9"/>
  <c r="F13" i="9" s="1"/>
  <c r="F5" i="9"/>
  <c r="E7" i="9"/>
  <c r="F7" i="9" s="1"/>
  <c r="O3" i="15"/>
  <c r="S38" i="15" s="1"/>
  <c r="L3" i="15"/>
  <c r="U38" i="15" s="1"/>
  <c r="S37" i="15"/>
  <c r="P3" i="15"/>
  <c r="T38" i="15" s="1"/>
  <c r="N3" i="15"/>
  <c r="V38" i="15" s="1"/>
  <c r="D8" i="1"/>
  <c r="D16" i="1" s="1"/>
  <c r="L6" i="23"/>
  <c r="J9" i="1"/>
  <c r="J8" i="1"/>
  <c r="L9" i="23"/>
  <c r="L5" i="23"/>
  <c r="L10" i="23"/>
  <c r="D14" i="9" l="1"/>
  <c r="L4" i="23"/>
  <c r="S51" i="8"/>
  <c r="S52" i="8"/>
  <c r="L7" i="23"/>
  <c r="K11" i="23"/>
  <c r="O11" i="23"/>
  <c r="H6" i="23"/>
  <c r="I6" i="23"/>
  <c r="J6" i="23" s="1"/>
  <c r="F8" i="9"/>
  <c r="G7" i="23"/>
  <c r="G11" i="23" s="1"/>
  <c r="I4" i="23"/>
  <c r="J4" i="23" s="1"/>
  <c r="H4" i="23"/>
  <c r="I10" i="23"/>
  <c r="J10" i="23" s="1"/>
  <c r="H10" i="23"/>
  <c r="J3" i="23"/>
  <c r="G14" i="9"/>
  <c r="E10" i="9"/>
  <c r="F10" i="9" s="1"/>
  <c r="L3" i="23"/>
  <c r="V19" i="7"/>
  <c r="L8" i="23"/>
  <c r="W36" i="15"/>
  <c r="W38" i="15"/>
  <c r="F4" i="9"/>
  <c r="U37" i="15"/>
  <c r="V37" i="15"/>
  <c r="W32" i="15" l="1"/>
  <c r="W29" i="15"/>
  <c r="S55" i="8"/>
  <c r="W35" i="15"/>
  <c r="W31" i="15"/>
  <c r="L11" i="23"/>
  <c r="I7" i="23"/>
  <c r="J7" i="23" s="1"/>
  <c r="H7" i="23"/>
  <c r="E14" i="9"/>
  <c r="F14" i="9" s="1"/>
  <c r="W34" i="15"/>
  <c r="W30" i="15"/>
  <c r="Q3" i="15"/>
  <c r="W33" i="15"/>
  <c r="I11" i="23" l="1"/>
  <c r="W3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Rosana Mendes</author>
    <author>Administrador</author>
    <author>Miriã Alves Millrath Alcantara</author>
  </authors>
  <commentList>
    <comment ref="Q1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Rosana Mendes:</t>
        </r>
        <r>
          <rPr>
            <sz val="8"/>
            <color indexed="81"/>
            <rFont val="Tahoma"/>
            <family val="2"/>
          </rPr>
          <t xml:space="preserve">
VALOR DO RESIDUAL NO DIA DO EVENTO DO MÊS ATUAL . NESSE CASO ESTAMOS UTILIZANDO OS DADOS DE DEZEMBRO MAS O SALDO É DE JANEIRO</t>
        </r>
      </text>
    </comment>
    <comment ref="R15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Rosana Mendes:</t>
        </r>
        <r>
          <rPr>
            <sz val="8"/>
            <color indexed="81"/>
            <rFont val="Tahoma"/>
            <family val="2"/>
          </rPr>
          <t xml:space="preserve">
VALOR DO RESIDUAL NO DIA DO EVENTO
</t>
        </r>
      </text>
    </comment>
    <comment ref="S17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para relatório de garantia
</t>
        </r>
      </text>
    </comment>
    <comment ref="K582" authorId="2" shapeId="0" xr:uid="{00000000-0006-0000-0200-000004000000}">
      <text>
        <r>
          <rPr>
            <b/>
            <sz val="9"/>
            <color rgb="FF000000"/>
            <rFont val="Tahoma"/>
            <family val="2"/>
          </rPr>
          <t>Miriã Alves Millrath Alcantara: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Confirmar data da quitação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U1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relatório de recebiveis</t>
        </r>
      </text>
    </comment>
    <comment ref="AD1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relatório de garantias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S37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LTV (oferta de Mercado)</t>
        </r>
      </text>
    </comment>
    <comment ref="T37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LTV(Vendas)
</t>
        </r>
      </text>
    </comment>
    <comment ref="U3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LTV/Valor Contratual)
</t>
        </r>
      </text>
    </comment>
    <comment ref="V37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LTV( Valor Contratual Atualizado)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Edineia Paulino Ferreira Boruck</author>
  </authors>
  <commentList>
    <comment ref="G6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Edineia Paulino Ferreira Boruck:</t>
        </r>
        <r>
          <rPr>
            <sz val="9"/>
            <color indexed="81"/>
            <rFont val="Tahoma"/>
            <family val="2"/>
          </rPr>
          <t xml:space="preserve">
Processo único Famíla Borela
</t>
        </r>
      </text>
    </comment>
    <comment ref="G62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Edineia Paulino Ferreira Boruck:</t>
        </r>
        <r>
          <rPr>
            <sz val="9"/>
            <color indexed="81"/>
            <rFont val="Tahoma"/>
            <family val="2"/>
          </rPr>
          <t xml:space="preserve">
Processo único Famíla Borela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Miriã Alves Millrath Alcantara</author>
  </authors>
  <commentList>
    <comment ref="U46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Miriã Alves Millrath Alcantara:</t>
        </r>
        <r>
          <rPr>
            <sz val="9"/>
            <color indexed="81"/>
            <rFont val="Tahoma"/>
            <family val="2"/>
          </rPr>
          <t xml:space="preserve">
Escritura e Registro</t>
        </r>
      </text>
    </comment>
    <comment ref="U47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>Miriã Alves Millrath Alcantara:</t>
        </r>
        <r>
          <rPr>
            <sz val="9"/>
            <color indexed="81"/>
            <rFont val="Tahoma"/>
            <family val="2"/>
          </rPr>
          <t xml:space="preserve">
Escritura e Registro</t>
        </r>
      </text>
    </comment>
    <comment ref="U48" authorId="0" shapeId="0" xr:uid="{00000000-0006-0000-0F00-000003000000}">
      <text>
        <r>
          <rPr>
            <b/>
            <sz val="9"/>
            <color indexed="81"/>
            <rFont val="Tahoma"/>
            <family val="2"/>
          </rPr>
          <t>Miriã Alves Millrath Alcantara:</t>
        </r>
        <r>
          <rPr>
            <sz val="9"/>
            <color indexed="81"/>
            <rFont val="Tahoma"/>
            <family val="2"/>
          </rPr>
          <t xml:space="preserve">
Escritura e Registro</t>
        </r>
      </text>
    </comment>
    <comment ref="U49" authorId="0" shapeId="0" xr:uid="{00000000-0006-0000-0F00-000004000000}">
      <text>
        <r>
          <rPr>
            <b/>
            <sz val="9"/>
            <color indexed="81"/>
            <rFont val="Tahoma"/>
            <family val="2"/>
          </rPr>
          <t>Miriã Alves Millrath Alcantara:</t>
        </r>
        <r>
          <rPr>
            <sz val="9"/>
            <color indexed="81"/>
            <rFont val="Tahoma"/>
            <family val="2"/>
          </rPr>
          <t xml:space="preserve">
Escritura e Registro</t>
        </r>
      </text>
    </comment>
    <comment ref="U50" authorId="0" shapeId="0" xr:uid="{00000000-0006-0000-0F00-000005000000}">
      <text>
        <r>
          <rPr>
            <b/>
            <sz val="9"/>
            <color indexed="81"/>
            <rFont val="Tahoma"/>
            <family val="2"/>
          </rPr>
          <t>Miriã Alves Millrath Alcantara:</t>
        </r>
        <r>
          <rPr>
            <sz val="9"/>
            <color indexed="81"/>
            <rFont val="Tahoma"/>
            <family val="2"/>
          </rPr>
          <t xml:space="preserve">
Escritura e Registro</t>
        </r>
      </text>
    </comment>
  </commentList>
</comments>
</file>

<file path=xl/sharedStrings.xml><?xml version="1.0" encoding="utf-8"?>
<sst xmlns="http://schemas.openxmlformats.org/spreadsheetml/2006/main" count="10753" uniqueCount="1508">
  <si>
    <t>Inadimplência (com % sendo: somatória das parcelas abertas / somatório do Valor Presente da Carteira)</t>
  </si>
  <si>
    <t>RELATÓRIO DE VENDAS</t>
  </si>
  <si>
    <t>RELATÓRIO DE DISTRATOS</t>
  </si>
  <si>
    <t>EMPREENDIMENTO</t>
  </si>
  <si>
    <t>QUADRA</t>
  </si>
  <si>
    <t>LOTE</t>
  </si>
  <si>
    <t>CLIENTE</t>
  </si>
  <si>
    <t>SITUAÇÃO</t>
  </si>
  <si>
    <t>SALDO DEVEDOR</t>
  </si>
  <si>
    <t>DATA DO CONTRATO</t>
  </si>
  <si>
    <t>VALOR DO CONTRATO</t>
  </si>
  <si>
    <t>SITUAÇÃO DOS RECEBÍVEIS</t>
  </si>
  <si>
    <t>Contratos Quitados</t>
  </si>
  <si>
    <t>Contratos Ativos</t>
  </si>
  <si>
    <t>Contratos Inadimplentes</t>
  </si>
  <si>
    <t>ORIGEM</t>
  </si>
  <si>
    <t>RELATÓRIO DE INADIMPLÊNCIA</t>
  </si>
  <si>
    <t>Recebíveis</t>
  </si>
  <si>
    <t>Vendas</t>
  </si>
  <si>
    <t>Distratos</t>
  </si>
  <si>
    <t>Inadimplência</t>
  </si>
  <si>
    <t>Posição dos Ativos</t>
  </si>
  <si>
    <t>BLOCO</t>
  </si>
  <si>
    <t>UNIDADE</t>
  </si>
  <si>
    <t>Quantidade</t>
  </si>
  <si>
    <t>Valor</t>
  </si>
  <si>
    <t xml:space="preserve"> </t>
  </si>
  <si>
    <t>Posição dos Contratos</t>
  </si>
  <si>
    <t>PARCELAS EM ATRASO</t>
  </si>
  <si>
    <t>VALOR EM ATRASO</t>
  </si>
  <si>
    <t>% INADIMPLÊNCIA</t>
  </si>
  <si>
    <t>CLASSE</t>
  </si>
  <si>
    <t>STATUS</t>
  </si>
  <si>
    <t>LONDRINA [ETAPA 03 - CONDOMINIO ARANGUA]</t>
  </si>
  <si>
    <t>LONDRINA [ETAPA 01 - CONDOMINIO ARAÇARI]</t>
  </si>
  <si>
    <t>LONDRINA [ETAPA 02 - CONDOMINIO TANGARA]</t>
  </si>
  <si>
    <t>LONDRINA [ETAPA 03 - AREAS EXTERNAS G3 - G7]</t>
  </si>
  <si>
    <t>LONDRINA [ETAPA 01 - AREAS EXTERNAS G1 - G5]</t>
  </si>
  <si>
    <t>LONDRINA [ETAPA 02 - AREAS EXTERNAS G2 - G6]</t>
  </si>
  <si>
    <t>ADEL JUNIOR CONTINI LOPES</t>
  </si>
  <si>
    <t>ADELINO DEVANIR CHIARELLI</t>
  </si>
  <si>
    <t>ADILSON APARECIDO DOS SANTOS</t>
  </si>
  <si>
    <t>ADILSON DE OLIVEIRA</t>
  </si>
  <si>
    <t>ADILSON FREITAS DE SOUZA</t>
  </si>
  <si>
    <t>ADRIANA PENHA SANCHES</t>
  </si>
  <si>
    <t>ADRIANO BARBOSA BISPO</t>
  </si>
  <si>
    <t>ADRIANO SEPE</t>
  </si>
  <si>
    <t>ADRIANO TORRES UNZER DOS SANTOS</t>
  </si>
  <si>
    <t>ADRIANO ZANCHETI</t>
  </si>
  <si>
    <t>AGUINALDO AUGUSTINHO</t>
  </si>
  <si>
    <t>AGUSTINHO FERREIRA CHAVES</t>
  </si>
  <si>
    <t>AILTON CASTORINO DA SILVA JUNIOR</t>
  </si>
  <si>
    <t>ALDEMICIO PAULA TAVARES</t>
  </si>
  <si>
    <t>ALESSANDRA BERBET</t>
  </si>
  <si>
    <t>ALESSANDRO DALBELLO MENDES</t>
  </si>
  <si>
    <t>ALESSANDRO MARTINS</t>
  </si>
  <si>
    <t>ALEX PIROLO VALERIO</t>
  </si>
  <si>
    <t>ALEX SANDRO DA SILVA OLIVEIRA</t>
  </si>
  <si>
    <t>ALEXANDRE ALEX DE OLIVEIRA</t>
  </si>
  <si>
    <t>ALEXANDRE FRANCO FERREIRA</t>
  </si>
  <si>
    <t>ALEXSANDRA VICENTE PEREIRA</t>
  </si>
  <si>
    <t>ALINE CANDIDO DE OLIVEIRA</t>
  </si>
  <si>
    <t>ALINE DANIELE MALANGA</t>
  </si>
  <si>
    <t>ALINE DE SOUZA E SOUZA</t>
  </si>
  <si>
    <t>ALINE WALDHELM</t>
  </si>
  <si>
    <t>ALVARO ROBERTO MACOPPI</t>
  </si>
  <si>
    <t>AMAURY CARDOSO DE OLIVEIRA</t>
  </si>
  <si>
    <t>ANA PAULA DE BRITO GOMES</t>
  </si>
  <si>
    <t>ANDERSON CARNEIRO</t>
  </si>
  <si>
    <t>ANDERSON JUNIOR SABINO</t>
  </si>
  <si>
    <t>ANDRE BOBROFF CANAVEZI</t>
  </si>
  <si>
    <t>ANDRE LUIZ DOS SANTOS</t>
  </si>
  <si>
    <t>ANDRE LUIZ IWAI DA SILVA</t>
  </si>
  <si>
    <t>ANDREA DE OLIVEIRA CAMPOS</t>
  </si>
  <si>
    <t>ANGELA DO ROCIO DE OLIVEIRA LIMA</t>
  </si>
  <si>
    <t>ANGELA FERREIRA DA SILVA</t>
  </si>
  <si>
    <t>ANGELA MARIA CARDOSO DE ALMEIDA</t>
  </si>
  <si>
    <t>ANGELA MARIA FUDOLLI</t>
  </si>
  <si>
    <t>ANTONIA MARIA OLIVEIRA CARDOSO</t>
  </si>
  <si>
    <t>ANTONIO ANTONHOLI</t>
  </si>
  <si>
    <t>ANTONIO LUIZ SOKOLOSKI</t>
  </si>
  <si>
    <t>ANTONIO ROBERTO DE MORAES</t>
  </si>
  <si>
    <t>ANTONIO SERGIO BARROTTI RODELLA</t>
  </si>
  <si>
    <t>APARECIDA CASTORINA DA SILVA</t>
  </si>
  <si>
    <t>ARLINDO MARCOS FIRMINO</t>
  </si>
  <si>
    <t>AUREO SILVA CASTRO</t>
  </si>
  <si>
    <t>BIANCA SILVA DE LIMA</t>
  </si>
  <si>
    <t>BRAZ FRANCISCO ALVES</t>
  </si>
  <si>
    <t>BRUNO FERREIRA DA SILVA</t>
  </si>
  <si>
    <t>BRUNO VINICIUS HONORATO CADINA</t>
  </si>
  <si>
    <t>CAMILA DAIANI LEME</t>
  </si>
  <si>
    <t>CAMILLA SARTORATO RAMOS ORTEGA</t>
  </si>
  <si>
    <t>CARINA DOS SANTOS DA SILVA</t>
  </si>
  <si>
    <t>CARINA FILIPA GONCALVES RAFAEL</t>
  </si>
  <si>
    <t>CARLOS ALBERTO DA COSTA</t>
  </si>
  <si>
    <t>CARLOS ANTONIO DA SILVA</t>
  </si>
  <si>
    <t>CARLOS APARECIDO DE SOUZA</t>
  </si>
  <si>
    <t>CARLOS HENRIQUE CRUZ CASTILHO</t>
  </si>
  <si>
    <t>CARLOS JUNIO RIBEIRO SILVA</t>
  </si>
  <si>
    <t>CARLOS KUNIO NAKANO</t>
  </si>
  <si>
    <t>CARLOS ROBERTO DA SILVA JUNIOR</t>
  </si>
  <si>
    <t>CAROLINA FONSECA DE ALMEIDA</t>
  </si>
  <si>
    <t>CASSIA REGINA BACELAR</t>
  </si>
  <si>
    <t>CELIA GUERRA BICUDO</t>
  </si>
  <si>
    <t>CELSO HIROSHI MIYASAKI</t>
  </si>
  <si>
    <t>CESAR ALVES DE MACEDO</t>
  </si>
  <si>
    <t>CESAR AUGUSTO BORELA</t>
  </si>
  <si>
    <t>CEZAR ALVES MOREIRA</t>
  </si>
  <si>
    <t>CHRISTIAN RIBEIRO FRANCO</t>
  </si>
  <si>
    <t>CIBELLI NUNES BONINE SCARPIM</t>
  </si>
  <si>
    <t>CILAS FONSECA VIANNA</t>
  </si>
  <si>
    <t>CLAUDENIR GARBUIO</t>
  </si>
  <si>
    <t>CLAUDIA THAIS BERA</t>
  </si>
  <si>
    <t>CLAUDINEI DOS SANTOS SISNER</t>
  </si>
  <si>
    <t>CLAUDINEIA MARIA SILVA</t>
  </si>
  <si>
    <t>CLAUDIO ALECIO BIONDO CAVALARI</t>
  </si>
  <si>
    <t>CLAUDIO GUIRARDELLI</t>
  </si>
  <si>
    <t>CLAUDIO MORYAMA</t>
  </si>
  <si>
    <t>CLAUDIO RODRIGUES FABIANO</t>
  </si>
  <si>
    <t>CLAUDIONOR ELENO RICCI</t>
  </si>
  <si>
    <t>CRISTIANE FRANCINE GARCIA</t>
  </si>
  <si>
    <t>CRISTINA DA SILVA GERMANI</t>
  </si>
  <si>
    <t>DALMO CORREIA</t>
  </si>
  <si>
    <t>DANIEL ALVES GUIMARAES</t>
  </si>
  <si>
    <t>DANIEL BRAGUETO MARTINS</t>
  </si>
  <si>
    <t>DANIEL FORCATO SANDOLI</t>
  </si>
  <si>
    <t>DANIEL LUCENA DE ARAUJO</t>
  </si>
  <si>
    <t>DANIELA MOISES GOMES KANDA</t>
  </si>
  <si>
    <t>DANIELLY NUNES GOMES CIQUINI</t>
  </si>
  <si>
    <t>DANILTON LUIS LIMA JESUS DE ARAGAO</t>
  </si>
  <si>
    <t>DARCI FIN</t>
  </si>
  <si>
    <t>DAVI MARTINS DE SOUZA</t>
  </si>
  <si>
    <t>DAVID LUCIANO SALOMAO</t>
  </si>
  <si>
    <t>DAYANE GABRIELA MEDEIROS</t>
  </si>
  <si>
    <t>DEBORA FERNANDA DE LIMA</t>
  </si>
  <si>
    <t>DEBORA SALES RODRIGUES MACHADO</t>
  </si>
  <si>
    <t>DEBORA SKAU DE AQUINO</t>
  </si>
  <si>
    <t>DEIVIN BUSUTTIL</t>
  </si>
  <si>
    <t>DEJAIR DA SILVA</t>
  </si>
  <si>
    <t>DEMILTON SALES DOS SANTOS</t>
  </si>
  <si>
    <t>DENISE APARECIDA BALZER</t>
  </si>
  <si>
    <t>DENISON HENRIQUE LEANDRO</t>
  </si>
  <si>
    <t>DENYS RAPHAEL DE CAMARGO</t>
  </si>
  <si>
    <t>DIEGO FREITAS DE SOUZA</t>
  </si>
  <si>
    <t>DIEGO GUIMARAES BIANCONI</t>
  </si>
  <si>
    <t>DIEGO JOSE BARBOSA RAMALHO</t>
  </si>
  <si>
    <t>DIOGO RIBEIRO GARCIA</t>
  </si>
  <si>
    <t>DONIZETE DOMINGUES MORAES</t>
  </si>
  <si>
    <t>DORIS ANDRADE DA CRUZ</t>
  </si>
  <si>
    <t>DOUGLAS MOREIRA NUNES</t>
  </si>
  <si>
    <t>DOUTORTEMTUDO COMERCIO ARTIGOS PARA CASA LTDA</t>
  </si>
  <si>
    <t>DYESSICA YENDIS RIAN MIRANDA</t>
  </si>
  <si>
    <t>ED WILLIAN DE OLIVEIRA GUASSU</t>
  </si>
  <si>
    <t>EDER FERREIRA DOS SANTOS</t>
  </si>
  <si>
    <t>EDERSON RODRIGUES DE SOUZA</t>
  </si>
  <si>
    <t>EDICLEI VELOSO GARCIA</t>
  </si>
  <si>
    <t>EDILAINE FERNANDA RIBEIRO LEITE</t>
  </si>
  <si>
    <t>EDINARA FERREIRA</t>
  </si>
  <si>
    <t>EDIOGENES DE ARAUJO AVILA</t>
  </si>
  <si>
    <t>EDIRLEI LUIZ CONEJO</t>
  </si>
  <si>
    <t>EDISON PEREIRA DA SILVA FILHO</t>
  </si>
  <si>
    <t>EDMILSON TEIXEIRA DE VASCONCELOS</t>
  </si>
  <si>
    <t>EDNEY LIMA DA SILVA</t>
  </si>
  <si>
    <t>EDSON ALVES DE OLIVEIRA</t>
  </si>
  <si>
    <t>EDSON DONISETE DA SILVA</t>
  </si>
  <si>
    <t>EDSON FIALHO DA COSTA</t>
  </si>
  <si>
    <t>EDSON MAINARDI FERNANDES</t>
  </si>
  <si>
    <t>EDUARDO ALEXANDRE DA SILVA</t>
  </si>
  <si>
    <t>EDUARDO DA SILVA</t>
  </si>
  <si>
    <t>EDUARDO FERREIRA DE MELLO</t>
  </si>
  <si>
    <t>EDUARDO HENRIQUE CORREA DE OLIVEIRA</t>
  </si>
  <si>
    <t>EDUARDO LUCIO DA SILVA NETO</t>
  </si>
  <si>
    <t>EDUARDO LUIZ MARCHESE</t>
  </si>
  <si>
    <t>EDUARDO XAVIER DUARTE</t>
  </si>
  <si>
    <t>ELAINE CRISTINA RODRIGUES NOVO</t>
  </si>
  <si>
    <t>ELAINE GOMES DO AMARAL</t>
  </si>
  <si>
    <t>ELAINE LOMBARDI</t>
  </si>
  <si>
    <t>ELIANARA CARVALHO DA SILVA</t>
  </si>
  <si>
    <t>ELIAS DE OLIVEIRA FERNANDES JUNIOR</t>
  </si>
  <si>
    <t>ELIAS MORAES VIEIRA</t>
  </si>
  <si>
    <t>ELIEL MARCIO PEDRO</t>
  </si>
  <si>
    <t>ELINHO PIRES DA SILVA</t>
  </si>
  <si>
    <t>ELISANGELA DIORIO FLORINDO MACEDA</t>
  </si>
  <si>
    <t>ELISANGELA FERNANDES CAMARGO DE SOUZA</t>
  </si>
  <si>
    <t>ELOUISE BATISTI DE SOUZA</t>
  </si>
  <si>
    <t>EMERSON DO AMARAL PEREIRA</t>
  </si>
  <si>
    <t>EMERSON JORGE BIM</t>
  </si>
  <si>
    <t>EMERSON VILA</t>
  </si>
  <si>
    <t>EMPORIUM DA PIZZA DELIVERY LTDA ME</t>
  </si>
  <si>
    <t>ENGENHARIA FROES LTDA</t>
  </si>
  <si>
    <t>ERICA DE CAMARGO CORREA FERRAZ MARANGONI</t>
  </si>
  <si>
    <t>ERMESON TIAGO MENDES LIMA</t>
  </si>
  <si>
    <t>EUGENIA CAMPREGHER DA SILVA</t>
  </si>
  <si>
    <t>EULALIA BOAVENTURA MACIEL</t>
  </si>
  <si>
    <t>EVERALDO CAMPOS MARTINS</t>
  </si>
  <si>
    <t>EVERALDO FIORINI DE OLIVEIRA</t>
  </si>
  <si>
    <t>EVERSON PEREIRA DOS SANTOS</t>
  </si>
  <si>
    <t>EVERTON RODRIGO NOVACKI</t>
  </si>
  <si>
    <t>FABIANA DE ABREU BONO REGO</t>
  </si>
  <si>
    <t>FABIANE LUZIA MENEZES SANTOS</t>
  </si>
  <si>
    <t>FABIANO FRANCISCO DE ANDRADE</t>
  </si>
  <si>
    <t>FABIANO TERUO OMURA</t>
  </si>
  <si>
    <t>FABIO ANTUNES PEREIRA</t>
  </si>
  <si>
    <t>FABIO APARECIDO VAZ DANTAS</t>
  </si>
  <si>
    <t>FABIO AUGUSTO GUIRARDELLI</t>
  </si>
  <si>
    <t>FABIO AUGUSTO SEKO HASIZUME</t>
  </si>
  <si>
    <t>FABIO HENRIQUE VILLAS BOAS</t>
  </si>
  <si>
    <t>FABIO MARQUI</t>
  </si>
  <si>
    <t>FABIO VIEIRA RODRIGUES</t>
  </si>
  <si>
    <t>FABRICIO FRANDINI CANDIDO MONTEIRO</t>
  </si>
  <si>
    <t>FAUSTO ALMEIDA DE OLIVEIRA</t>
  </si>
  <si>
    <t>FERNANDA YABE TREVISAN</t>
  </si>
  <si>
    <t>FERNANDO JUNIOR DE SOUZA</t>
  </si>
  <si>
    <t>FERNANDO MEIRA MATTOS</t>
  </si>
  <si>
    <t>FLAVIA CRIVARI GARCIA E SILVA</t>
  </si>
  <si>
    <t>FLAVIO ADRIANO DA SILVA</t>
  </si>
  <si>
    <t>FLAVIO DA SILVA SENA</t>
  </si>
  <si>
    <t>FRANK GOMES DA NOBREGA</t>
  </si>
  <si>
    <t>FREDERICO MERCER DE LIMA</t>
  </si>
  <si>
    <t>GABRIEL GARCIA BOGO</t>
  </si>
  <si>
    <t>GABRIELA FERNANDA GRILO SILVA</t>
  </si>
  <si>
    <t>GERSON ALVES FRANCO</t>
  </si>
  <si>
    <t>GIELE ROSA ALVES</t>
  </si>
  <si>
    <t>GILBERTO ZEQUIM MALDONADO</t>
  </si>
  <si>
    <t>GILDETE RODRIGUES DA CRUZ</t>
  </si>
  <si>
    <t>GILMAR AMARAL GOMES</t>
  </si>
  <si>
    <t>GILSON ALVES</t>
  </si>
  <si>
    <t>GILSON TOSHIHIKO MORIYAMA</t>
  </si>
  <si>
    <t>GMO EMPREENDIMENTOS E ASSESSORIA EMPRESARIAL LTDA</t>
  </si>
  <si>
    <t>GUILHERME ANDRADE SALVADOR</t>
  </si>
  <si>
    <t>GUILHERME GALAN CORDEIRO</t>
  </si>
  <si>
    <t>GUILHERME HENRIQUE BORELA</t>
  </si>
  <si>
    <t>GUSTAVO ALUISIO DE PAULA</t>
  </si>
  <si>
    <t>GUSTAVO APARECIDO BRANDÃO MEIRELES</t>
  </si>
  <si>
    <t>HELBERT NILSON FAGGION</t>
  </si>
  <si>
    <t>HELEN BERNARDO DA SILVA BENTO</t>
  </si>
  <si>
    <t>HELIO YASSUO NISHIMURA</t>
  </si>
  <si>
    <t>HELTON ERNANI DE AGUIAR</t>
  </si>
  <si>
    <t>HENRIQUE CARAMURU CEZAR JUNIOR</t>
  </si>
  <si>
    <t>HERMES RINALDIN</t>
  </si>
  <si>
    <t>HERON GUSTAVO SANTOS RIBEIRO</t>
  </si>
  <si>
    <t>HILARIO NUNES SILVA JUNIOR</t>
  </si>
  <si>
    <t>HORACIO BORGES DOS REIS</t>
  </si>
  <si>
    <t>HUGO LUIZ PANCOTI</t>
  </si>
  <si>
    <t>ITAMARCIO PEIXOTO</t>
  </si>
  <si>
    <t>IVANILDE DIONISIA BORTOLASSI</t>
  </si>
  <si>
    <t>IVONE FERREIRA ROCHA</t>
  </si>
  <si>
    <t xml:space="preserve">IVONILDA NUNES </t>
  </si>
  <si>
    <t>IZAURA MARIA CARELLI</t>
  </si>
  <si>
    <t>IZAURO YABE JUNIOR</t>
  </si>
  <si>
    <t>JAIME DOS SANTOS MENDES GOMES</t>
  </si>
  <si>
    <t>JAMILLE DA COSTA VITOR</t>
  </si>
  <si>
    <t>JANETE LONGHINI PONTES</t>
  </si>
  <si>
    <t>JANIO QUADROS ROMANHA</t>
  </si>
  <si>
    <t>JANIO VIEIRA ALVAREZ</t>
  </si>
  <si>
    <t>JAQUELINE MITOSHI YUKIHARA CACERES</t>
  </si>
  <si>
    <t>JATIR JUNIOR DA SILVA</t>
  </si>
  <si>
    <t>JEFFERSON CUSTODIO DE SOUZA</t>
  </si>
  <si>
    <t>JEFFERSON DE OLIVEIRA</t>
  </si>
  <si>
    <t>JEFFERSON MOREIRA FRANCA</t>
  </si>
  <si>
    <t>JOAO AMANDIO RODRIGUES DA COSTA JUNIOR</t>
  </si>
  <si>
    <t>JOAO CARVALHO DE SOUZA</t>
  </si>
  <si>
    <t>JOAO PAULO BONFIM</t>
  </si>
  <si>
    <t>JOAQUIM MANOEL DA SILVA</t>
  </si>
  <si>
    <t>JOAQUIM MOREIRA DIAS</t>
  </si>
  <si>
    <t>JONAS RUFINO DA SILVA</t>
  </si>
  <si>
    <t>JONATHAS SIMEY ALVES DOS SANTOS</t>
  </si>
  <si>
    <t>JORGE AUGUSTO ROSA DE MEDEIROS</t>
  </si>
  <si>
    <t>JOSAFA GUIMARAES DA SILVA</t>
  </si>
  <si>
    <t>JOSE CARLOS BRUNO DE OLIVEIRA</t>
  </si>
  <si>
    <t>JOSÉ CARLOS DE LIMA</t>
  </si>
  <si>
    <t>JOSE CARLOS OLIVEIRA</t>
  </si>
  <si>
    <t>JOSE CARLOS PEREIRA FARIA</t>
  </si>
  <si>
    <t>JOSE JAIRO DA SILVA</t>
  </si>
  <si>
    <t>JOSE LEONARDO SULINO</t>
  </si>
  <si>
    <t>JOSE MARIA DE ANDRADE</t>
  </si>
  <si>
    <t>JOSE ODAIR FERREIRA JUNIOR</t>
  </si>
  <si>
    <t>JOSE ORLANDO TAVARES CELESTINO</t>
  </si>
  <si>
    <t>JOSE PAULO PEREIRA</t>
  </si>
  <si>
    <t>JOSE ROBERTO DOS SANTOS</t>
  </si>
  <si>
    <t>JOSE TADEI FERRAZ DE GOUVEIA</t>
  </si>
  <si>
    <t>JOSE VAGNER DE FREITAS</t>
  </si>
  <si>
    <t>JOSE VICENTE BORDINGNON</t>
  </si>
  <si>
    <t>JOSEMARIS APARECIDA MARTINELLI</t>
  </si>
  <si>
    <t>JOSIANA SOARES CASTELARI</t>
  </si>
  <si>
    <t>JOSIANE DOS SANTOS REDON</t>
  </si>
  <si>
    <t>JOSIANE JUNIA FACUNDO DE ALMEIDA</t>
  </si>
  <si>
    <t>JOVANO FERREIRA MACIEL</t>
  </si>
  <si>
    <t>JULIANA DE SOUZA</t>
  </si>
  <si>
    <t>JULIANA MARIA CARVALHO MEDEIROS</t>
  </si>
  <si>
    <t>JULIANO CEZARIO BORTOLASSI</t>
  </si>
  <si>
    <t>JULIO CESAR DA CRUZ</t>
  </si>
  <si>
    <t>KAREN JEREMIAS FERMINO</t>
  </si>
  <si>
    <t>KARINA ALCANTARA</t>
  </si>
  <si>
    <t>KATIA REIS RODRIGUES</t>
  </si>
  <si>
    <t>KEIGO FUKUDA</t>
  </si>
  <si>
    <t>KLEBER LUIZ PAGANI</t>
  </si>
  <si>
    <t>LAICE BAGGIO MORAIS</t>
  </si>
  <si>
    <t>LEANDRO CAMPOS KOGIMA</t>
  </si>
  <si>
    <t>LEANDRO MARCAL BATISTA DE LIMA</t>
  </si>
  <si>
    <t>LEANDRO NOGUEIRA SILVA</t>
  </si>
  <si>
    <t>LEANDRO PERON DE OLIVEIRA</t>
  </si>
  <si>
    <t>LEONARDO GASPAR DA MOTTA</t>
  </si>
  <si>
    <t>LEONICE APARECIDA TEIXEIRA</t>
  </si>
  <si>
    <t>LETICIA JOVELINA STORTO</t>
  </si>
  <si>
    <t>LINDAMARA HUNKA</t>
  </si>
  <si>
    <t>LOURDES ALVES ANASTACIO</t>
  </si>
  <si>
    <t>LUCAS DE OLIVEIRA LIMA</t>
  </si>
  <si>
    <t>LUCAS FABRICIO SALAMON</t>
  </si>
  <si>
    <t>LUCIANA MELANI</t>
  </si>
  <si>
    <t>LUCIANE CRISTINA BORELA FREIRE</t>
  </si>
  <si>
    <t>LUCIANO BUENO</t>
  </si>
  <si>
    <t>LUCIANO CONRADO MACHADO DALLOLIO</t>
  </si>
  <si>
    <t>LUCILENE MARIA RODRIGUES</t>
  </si>
  <si>
    <t>LUDMEIRE CAMACHO</t>
  </si>
  <si>
    <t>LUIS ADRIANO PILCHOWSKI</t>
  </si>
  <si>
    <t>LUIS FERNANDO DEVERGENES</t>
  </si>
  <si>
    <t>LUIS GUSTAVO BORELA</t>
  </si>
  <si>
    <t>LUIS MARCOS DIAS</t>
  </si>
  <si>
    <t>LUIS ROBERTO BORBA</t>
  </si>
  <si>
    <t>LUIZ FERNANDO PERISOTTO TEXEIRA</t>
  </si>
  <si>
    <t>LUIZ HIROAKI SATO</t>
  </si>
  <si>
    <t>LUIZ ROBERTO CARVALHO SALGADO</t>
  </si>
  <si>
    <t>LUZIA DO CARMO ALVES</t>
  </si>
  <si>
    <t>MARA SILVIA SPURIO</t>
  </si>
  <si>
    <t>MARCELLY BARRETO CORREA</t>
  </si>
  <si>
    <t>MARCELO DOS ANJOS BISPO</t>
  </si>
  <si>
    <t>MARCELO FELIX RAMPAZZO</t>
  </si>
  <si>
    <t>MARCELO FERNANDES DA COSTA</t>
  </si>
  <si>
    <t>MARCELO GOMES PATARO</t>
  </si>
  <si>
    <t>MARCELO HELIO KRUGUER</t>
  </si>
  <si>
    <t>MARCELO JOSE SIMOES DE OLIVEIRA</t>
  </si>
  <si>
    <t>MARCELO RIBEIRO DA CRUZ</t>
  </si>
  <si>
    <t>MARCELO SILVA VIDOTTO</t>
  </si>
  <si>
    <t>MARCIA MESTRE MARTINELI</t>
  </si>
  <si>
    <t>MARCIA REGINA DE FREITAS SOUZA</t>
  </si>
  <si>
    <t>MARCIO LOPES BAZZO</t>
  </si>
  <si>
    <t>MARCIO ROGERIO DA SILVA</t>
  </si>
  <si>
    <t>MARCO ANTONIO GERALDA</t>
  </si>
  <si>
    <t>MARCO AURELIO BENEDITO DA SILVA</t>
  </si>
  <si>
    <t>MARCOS ALIPIO VASCONCELOS VIANA</t>
  </si>
  <si>
    <t>MARCOS ANTONIO BARBOSA DE LIMA</t>
  </si>
  <si>
    <t>MARCOS ANTONIO BARZON</t>
  </si>
  <si>
    <t>MARCOS AUGUSTO ODEBRECHT SCHMID</t>
  </si>
  <si>
    <t>MARCOS GUIRALDELLI JUNIOR</t>
  </si>
  <si>
    <t>MARCOS LUIZ VIEIRA</t>
  </si>
  <si>
    <t>MARCOS MASSARO THIBES</t>
  </si>
  <si>
    <t>MARCOS RAFAEL PETEK</t>
  </si>
  <si>
    <t>MARCOS ROGERIO PEREIRA ARANHA</t>
  </si>
  <si>
    <t>MARCUS VINICIUS RICARDO</t>
  </si>
  <si>
    <t>MARIA DA GRAÇA FALLEIROS SCHMIDT</t>
  </si>
  <si>
    <t>MARIA DAS GRACAS FONSECA MORAES</t>
  </si>
  <si>
    <t>MARIA DAS GRACAS PICCININI</t>
  </si>
  <si>
    <t>MARIA GERALDA DE OLIVEIRA</t>
  </si>
  <si>
    <t>MARIA INEZ BUENO MODESTO</t>
  </si>
  <si>
    <t>MARIA LUCIA GIMENES</t>
  </si>
  <si>
    <t>MARILENA DE PAULO</t>
  </si>
  <si>
    <t>MARINA APARECIDA BERNINI</t>
  </si>
  <si>
    <t>MARIO CESAR VOLPE PAULO</t>
  </si>
  <si>
    <t>MARIO HIDEKI ITO</t>
  </si>
  <si>
    <t>MARLENE MOREIRA DA SILVA</t>
  </si>
  <si>
    <t>MARLENE SALLES DE OLIVEIRA TSAY</t>
  </si>
  <si>
    <t>MARLI PEREIRA NEVES LEME</t>
  </si>
  <si>
    <t>MARLON ANDERSON BELINI</t>
  </si>
  <si>
    <t>MARLY APARECIDA BORGES KOTINDA</t>
  </si>
  <si>
    <t>MARVIN PARREIRA BUSUTTIL</t>
  </si>
  <si>
    <t>MATEUS DOS SANTOS GONSALES</t>
  </si>
  <si>
    <t>MAURICIO CLARO DE ASSIS</t>
  </si>
  <si>
    <t>MAURO GEREMIAS DOS SANTOS</t>
  </si>
  <si>
    <t>MEIRE ADRIANA ARAUJO MARCONDES</t>
  </si>
  <si>
    <t>MERCES MARIA DE OLIVEIRA</t>
  </si>
  <si>
    <t>MICHEL APARECIDO ZELAQUETT DE OLIVEIRA</t>
  </si>
  <si>
    <t>MILTON CORDEIRO DE JESUS</t>
  </si>
  <si>
    <t>MIRIAN APARECIDA GONCALVES DIAS</t>
  </si>
  <si>
    <t>MONICA FERREIRA DE SOUZA</t>
  </si>
  <si>
    <t>MOYSES DO LAGO</t>
  </si>
  <si>
    <t>NANCI NAPOLITANA GONCALVES</t>
  </si>
  <si>
    <t>NATALINO LUCIANO DE ANDRADE</t>
  </si>
  <si>
    <t>NATHALIA RODRIGUES INACIO</t>
  </si>
  <si>
    <t>NAUM BORGES FLAUZINO</t>
  </si>
  <si>
    <t>NEILA CELIA SOARES</t>
  </si>
  <si>
    <t>NELSON BATISTA DE LIMA</t>
  </si>
  <si>
    <t>NILSON BERNARDES</t>
  </si>
  <si>
    <t>NILSON DE SOUZA FARIA</t>
  </si>
  <si>
    <t>NIXON FERNANDES</t>
  </si>
  <si>
    <t>NOVA COPIADORA E SUPRIMENTOS LTDA EPP</t>
  </si>
  <si>
    <t>OISON CAVALARI</t>
  </si>
  <si>
    <t>OSVALDO TOSHIYUKI HIGASHI</t>
  </si>
  <si>
    <t>PATRICIA CRISTINA DE SOUZA SANTOS</t>
  </si>
  <si>
    <t>PATRICIA FRANCISCO GONCALVES</t>
  </si>
  <si>
    <t>PATRICIA JANAINA SILVA EL KADRI</t>
  </si>
  <si>
    <t>PATRICIA SANCHES FRANCO</t>
  </si>
  <si>
    <t>PATRICIANE KELY DONIZETTI LOPES</t>
  </si>
  <si>
    <t>PAULA BERTONCINE SASSO</t>
  </si>
  <si>
    <t>PAULO ANDRE DE ARAUJO AFONSO</t>
  </si>
  <si>
    <t>PAULO FERNANDO DOS SANTOS</t>
  </si>
  <si>
    <t>PAULO ROBERTO DE SOUZA SANTOS</t>
  </si>
  <si>
    <t>PAULO SERGIO PAULINO ROSA</t>
  </si>
  <si>
    <t>PAULO SERGIO PUZIPPE JUNIOR</t>
  </si>
  <si>
    <t>PEDRO LUCAS BACILI</t>
  </si>
  <si>
    <t>PIZZARIA DI CAPRIO LTDA   ME</t>
  </si>
  <si>
    <t>RAFAEL FRANCISCO FRARE DE SIQUEIRA</t>
  </si>
  <si>
    <t>RAFAEL GOMES CARVALHO BOTELHO</t>
  </si>
  <si>
    <t>RAFAEL MONTANHINI SOARES DE OLIVEIRA</t>
  </si>
  <si>
    <t>RAFAELI FRARE DE SIQUEIRA</t>
  </si>
  <si>
    <t>RAISSA GOUVEIA ANCIOTO</t>
  </si>
  <si>
    <t>RAMON GUSTAVO DA SILVA</t>
  </si>
  <si>
    <t>RAQUEL EUCANAS GOULART VIEIRA</t>
  </si>
  <si>
    <t>REGIANE ALVES DE SOUZA</t>
  </si>
  <si>
    <t>REGIANE GEREMIAS DOS SANTOS</t>
  </si>
  <si>
    <t>REGINALDO DA ROCHA</t>
  </si>
  <si>
    <t>REGINALDO FIDELIS</t>
  </si>
  <si>
    <t>RENAN ROMANI GODINHO DOS SANTOS</t>
  </si>
  <si>
    <t>RENAN VINICIUS GOUVEIA ANCIOTO</t>
  </si>
  <si>
    <t>RENATA APARECIDA ULTRAMAR</t>
  </si>
  <si>
    <t>ROBERTO CALDEIRAO</t>
  </si>
  <si>
    <t>ROBERTO MARTINS</t>
  </si>
  <si>
    <t>ROBERTO NUNES</t>
  </si>
  <si>
    <t>ROBISON JUNIOR DO NASCIMENTO</t>
  </si>
  <si>
    <t>ROBSON CAMILLO DE SOUZA</t>
  </si>
  <si>
    <t>RODRIANGELO ALMIR GARCIA</t>
  </si>
  <si>
    <t>RODRIGO AUGUSTO MODESTO</t>
  </si>
  <si>
    <t>RODRIGO PINTO ROMANO</t>
  </si>
  <si>
    <t>ROGERIO FRANCISCO MANOEL</t>
  </si>
  <si>
    <t>ROGERIO SANCHES FRANCO</t>
  </si>
  <si>
    <t>ROSENDO ROMERO</t>
  </si>
  <si>
    <t>ROSICLER RODINI MASIRONI</t>
  </si>
  <si>
    <t>SABRINA APARECIDA DIZARRO SALES</t>
  </si>
  <si>
    <t>SAMUEL ANTONIO VIANA</t>
  </si>
  <si>
    <t>SANDERSON CAVALCANTI DOS SANTOS</t>
  </si>
  <si>
    <t>SANDRA KAAFA SOUTELLO</t>
  </si>
  <si>
    <t>SANDRA MARIA SIMONELLI</t>
  </si>
  <si>
    <t>SEBASTIAO CESCONETO</t>
  </si>
  <si>
    <t>SEBASTIAO MONTEIRO</t>
  </si>
  <si>
    <t>SELMA ROSA DA SILVA</t>
  </si>
  <si>
    <t>SERGIO AKIRA NAZIMA</t>
  </si>
  <si>
    <t>SERGIO AVILA</t>
  </si>
  <si>
    <t>SERGIO FERREIRA PAIS</t>
  </si>
  <si>
    <t>SERGIO NOCERA FILHO</t>
  </si>
  <si>
    <t>SHEILA PINTO SILVA</t>
  </si>
  <si>
    <t>SIDNEI DOS SANTOS AMARO</t>
  </si>
  <si>
    <t>SIDNEY APARECIDO DE OLIVEIRA</t>
  </si>
  <si>
    <t>SIDNEY ROEDA GARDENGUE</t>
  </si>
  <si>
    <t>SILVANA SOARES DE SOUZA</t>
  </si>
  <si>
    <t>SILVANO MARCOS DE SOUZA</t>
  </si>
  <si>
    <t>SILVIA HELENA FIORINI ALVES</t>
  </si>
  <si>
    <t>SILVIO AKIO NAKANO</t>
  </si>
  <si>
    <t>SINESIO DE SOUZA JUNIOR</t>
  </si>
  <si>
    <t>SIRLENE EVANGELISTA DE CARVALHO GONGORA</t>
  </si>
  <si>
    <t>SUELI GOMES BRENZAM</t>
  </si>
  <si>
    <t>TATIANE PEREIRA ALVES MARIGO</t>
  </si>
  <si>
    <t>TEDSON AKIRA KOBAYASHI</t>
  </si>
  <si>
    <t>TEREZINHA RODRIGUES DA SILVA SOUZA</t>
  </si>
  <si>
    <t>TEREZINHA ROSA DE SOUZA</t>
  </si>
  <si>
    <t>THIAGO DE MENEZES CALDAS</t>
  </si>
  <si>
    <t>THIAGO MERCADANTE DREWS</t>
  </si>
  <si>
    <t>TIAGO SAID MORTEAN</t>
  </si>
  <si>
    <t>ULISSES ALEXANDRE DE CARVALHO RODRIGUES</t>
  </si>
  <si>
    <t>VALDELICE FLORENTINO</t>
  </si>
  <si>
    <t>VALDEMIRO APARECIDO GIROLDO</t>
  </si>
  <si>
    <t>VALDENILSON  PEREIRA MEIRELES</t>
  </si>
  <si>
    <t>VALDETE PIRES CARDIA</t>
  </si>
  <si>
    <t>VALMIR SOUZA DE GODOI</t>
  </si>
  <si>
    <t>VALQUIRIA GASPAROTTE</t>
  </si>
  <si>
    <t>VALTER ALVES MOREIRA JUNIOR E CIA LTDA</t>
  </si>
  <si>
    <t>VANDERLEI MOREIRA PINTO</t>
  </si>
  <si>
    <t>VANDERSON DA SILVA SOUZA</t>
  </si>
  <si>
    <t>VANDERSON FABIANO DA SILVA</t>
  </si>
  <si>
    <t>VANESSA GARCIA DUARTE</t>
  </si>
  <si>
    <t>VANIA YWASAKI</t>
  </si>
  <si>
    <t>VERA LUCIA GOMES MAGALHAES</t>
  </si>
  <si>
    <t>VICENTE MONTEIRO DOS SANTOS</t>
  </si>
  <si>
    <t>VICTOR BELIEIRO MALVEZZI</t>
  </si>
  <si>
    <t>VINICIUS APARECIDO DE ALMEIDA</t>
  </si>
  <si>
    <t>VINICIUS MARQUES DE OLIVEIRA CAVALARI</t>
  </si>
  <si>
    <t>VM ASSESSORIA E CONSULTORIA S S LTDA</t>
  </si>
  <si>
    <t>WAGNER MAFRA</t>
  </si>
  <si>
    <t>WALMI PEREIRA DE SOUZA</t>
  </si>
  <si>
    <t>WANDERSON GERALDO GLATZ</t>
  </si>
  <si>
    <t>WELINGTON MARQUES MOREIRA JUNIOR</t>
  </si>
  <si>
    <t>WELINGTON SERRA FERREIRA</t>
  </si>
  <si>
    <t>WELLINGTON TEIXEIRA MARCONDES</t>
  </si>
  <si>
    <t>WELTON SEIORRA ASSIS</t>
  </si>
  <si>
    <t>WESLEY RICHARD ALEXANDRE</t>
  </si>
  <si>
    <t>WILLIAM CHRISTIAN DE SOUZA</t>
  </si>
  <si>
    <t>WILLIAN DO NASCIMENTO PRIAMO</t>
  </si>
  <si>
    <t>WILSON ALVES DE ANDRADE</t>
  </si>
  <si>
    <t>YASMIN ADRIANA DA SILVA ALVES</t>
  </si>
  <si>
    <t>ZENILDO BEZERRA DA SILVA</t>
  </si>
  <si>
    <t>16/06/2013</t>
  </si>
  <si>
    <t>04/06/2014</t>
  </si>
  <si>
    <t>22/06/2013</t>
  </si>
  <si>
    <t>10/06/2013</t>
  </si>
  <si>
    <t>01/11/2014</t>
  </si>
  <si>
    <t>14/06/2013</t>
  </si>
  <si>
    <t>09/12/2015</t>
  </si>
  <si>
    <t>01/04/2014</t>
  </si>
  <si>
    <t>16/08/2013</t>
  </si>
  <si>
    <t>04/01/2017</t>
  </si>
  <si>
    <t>02/10/2017</t>
  </si>
  <si>
    <t>10/02/2014</t>
  </si>
  <si>
    <t>18/04/2016</t>
  </si>
  <si>
    <t>15/03/2016</t>
  </si>
  <si>
    <t>XI</t>
  </si>
  <si>
    <t>XIX</t>
  </si>
  <si>
    <t>XXI</t>
  </si>
  <si>
    <t>XXII</t>
  </si>
  <si>
    <t>XXIII</t>
  </si>
  <si>
    <t>XXIV</t>
  </si>
  <si>
    <t>XXV</t>
  </si>
  <si>
    <t>XII</t>
  </si>
  <si>
    <t>XV</t>
  </si>
  <si>
    <t>XVIII</t>
  </si>
  <si>
    <t>XXIX</t>
  </si>
  <si>
    <t>XXVI</t>
  </si>
  <si>
    <t>XXVII</t>
  </si>
  <si>
    <t>XXVIII</t>
  </si>
  <si>
    <t>XXX</t>
  </si>
  <si>
    <t>XXXII</t>
  </si>
  <si>
    <t>XXXIII</t>
  </si>
  <si>
    <t>XXXIV</t>
  </si>
  <si>
    <t>XIII</t>
  </si>
  <si>
    <t>XVI</t>
  </si>
  <si>
    <t>XL</t>
  </si>
  <si>
    <t>XLI</t>
  </si>
  <si>
    <t>XLII</t>
  </si>
  <si>
    <t>XLIII</t>
  </si>
  <si>
    <t>XXXIX</t>
  </si>
  <si>
    <t>XXXV</t>
  </si>
  <si>
    <t>XXXVI</t>
  </si>
  <si>
    <t>XXXVII</t>
  </si>
  <si>
    <t>XXXVIII</t>
  </si>
  <si>
    <t>VII</t>
  </si>
  <si>
    <t>VIII</t>
  </si>
  <si>
    <t>IX</t>
  </si>
  <si>
    <t>XLI-A</t>
  </si>
  <si>
    <t>XVIII-A</t>
  </si>
  <si>
    <t>XVIII-B</t>
  </si>
  <si>
    <t>XXV-A</t>
  </si>
  <si>
    <t>Remanescente</t>
  </si>
  <si>
    <t>Valor Total Inadimplente</t>
  </si>
  <si>
    <t>% Total</t>
  </si>
  <si>
    <t>HERRERAGRICOLA PARTICIPAÇÕES E EMPREENDIMENTOS IMOBILIARIOS E AGROPECUARIOS SS LTDA</t>
  </si>
  <si>
    <t>Total de Contratos Inadimplentes</t>
  </si>
  <si>
    <t>% Total de Atraso pelo Total do Saldo Devedor dos contratos inadimplentes</t>
  </si>
  <si>
    <t>% Total de Atraso pelo Total do Saldo Devedor dos recebíveis</t>
  </si>
  <si>
    <t>Total do Saldo Devedor dos Contratos Inadimplentes</t>
  </si>
  <si>
    <t>Total do Saldo Devedor de todos os Recebíveis</t>
  </si>
  <si>
    <t>Valor total em Atraso</t>
  </si>
  <si>
    <t>Saldo Devedor Total Inadimplente</t>
  </si>
  <si>
    <t>MARCIO MAURICIO PERDIGAO</t>
  </si>
  <si>
    <t>EDSON DE OLIVEIRA</t>
  </si>
  <si>
    <t>PERÍODO</t>
  </si>
  <si>
    <t>VALOR</t>
  </si>
  <si>
    <t>QTDE</t>
  </si>
  <si>
    <t>COL AUX</t>
  </si>
  <si>
    <t>Posição Atual</t>
  </si>
  <si>
    <t>Saldo Devedor Atualizado</t>
  </si>
  <si>
    <t>RELATÓRIO DE ACOMPANHAMENTO DA 16ª/17ª SÉRIES</t>
  </si>
  <si>
    <t>% Saldo Devedor Inadimplente pelo Saldo Devedor dos Recebíveis</t>
  </si>
  <si>
    <t>Renegociações e Acordos</t>
  </si>
  <si>
    <t>* Percentual de Inadimplência pelo Saldo dos Recebíveis</t>
  </si>
  <si>
    <t>BRUNO RODRIGUES CROCE</t>
  </si>
  <si>
    <t>CRISTIANE CAROLINA CRUZES</t>
  </si>
  <si>
    <t>CARLOS CEZAR VIEIRA</t>
  </si>
  <si>
    <t>DATA DO DISTRATO</t>
  </si>
  <si>
    <t>VALOR DO DISTRATO</t>
  </si>
  <si>
    <t>OBSERVAÇÕES</t>
  </si>
  <si>
    <t>VALOR TRANSFERIDO PARA O LOTE XI-20</t>
  </si>
  <si>
    <t>SEM DEVOLUÇÃO DO VALOR PAGO</t>
  </si>
  <si>
    <t>Distrato</t>
  </si>
  <si>
    <t>TOTAL ACUMULADO</t>
  </si>
  <si>
    <t>EVOLUÇÃO DOS RECEBÍVEIS</t>
  </si>
  <si>
    <t>QTDE INICIAL</t>
  </si>
  <si>
    <t>RECEBÍVEIS</t>
  </si>
  <si>
    <t>ESTOQUE</t>
  </si>
  <si>
    <t>VENDAS</t>
  </si>
  <si>
    <t>DISTRATOS</t>
  </si>
  <si>
    <t>REVENDAS</t>
  </si>
  <si>
    <t>QTDE ATUAL</t>
  </si>
  <si>
    <t>QUITAÇÕES</t>
  </si>
  <si>
    <t>Data Base:</t>
  </si>
  <si>
    <t>DISTRATO</t>
  </si>
  <si>
    <t>% Total Atraso pelo Saldo dos CRIs</t>
  </si>
  <si>
    <t>% Total de Atraso acima de 90d pelo Total do Saldo Devedor dos recebíveis</t>
  </si>
  <si>
    <t>ROMARIO LOMBARDE</t>
  </si>
  <si>
    <t>FRANCIELLE SANCHES CARNELOSSI</t>
  </si>
  <si>
    <t>LUCIANO CROCE</t>
  </si>
  <si>
    <t>RENATO NOBREGA GARCIA</t>
  </si>
  <si>
    <t>MARIA DE LOURDES SPERANDIO</t>
  </si>
  <si>
    <t>Contratos em Atraso</t>
  </si>
  <si>
    <t xml:space="preserve">Saldos do CRI </t>
  </si>
  <si>
    <t>16ª</t>
  </si>
  <si>
    <t>17ª</t>
  </si>
  <si>
    <t>Total</t>
  </si>
  <si>
    <t>Gatilho de Garantia</t>
  </si>
  <si>
    <t>* OBS - Limite Mínimo de Garantia: 115%</t>
  </si>
  <si>
    <t>Fase</t>
  </si>
  <si>
    <t>Empreendimento</t>
  </si>
  <si>
    <t>Quantidade de Lotes</t>
  </si>
  <si>
    <t>Lotes Livres</t>
  </si>
  <si>
    <t>Condomínio 1 - Araçari</t>
  </si>
  <si>
    <t>Áreas Externas</t>
  </si>
  <si>
    <t>Total Fase 1</t>
  </si>
  <si>
    <t>Condomínio 2 – Tangará</t>
  </si>
  <si>
    <t>Total Fase 2</t>
  </si>
  <si>
    <t>Condomínio 3 – Aranguá</t>
  </si>
  <si>
    <t>Total Fase 3</t>
  </si>
  <si>
    <t>Condomínio 4 – Araguari</t>
  </si>
  <si>
    <t>Total Fase 4</t>
  </si>
  <si>
    <t>Total Geral:</t>
  </si>
  <si>
    <t>VGV</t>
  </si>
  <si>
    <t>LONDRINA [ETAPA 04 - AREAS EXTERNAS G4 - G8]</t>
  </si>
  <si>
    <t>X</t>
  </si>
  <si>
    <t>XIV</t>
  </si>
  <si>
    <t>XVII</t>
  </si>
  <si>
    <t>XLV</t>
  </si>
  <si>
    <t>XLVI</t>
  </si>
  <si>
    <t>XLVII</t>
  </si>
  <si>
    <t>XLVIII</t>
  </si>
  <si>
    <t>XLIX</t>
  </si>
  <si>
    <t>L</t>
  </si>
  <si>
    <t>LI</t>
  </si>
  <si>
    <t>XLIV</t>
  </si>
  <si>
    <t>CONTRATO</t>
  </si>
  <si>
    <t>NILTON CESAR BONINI</t>
  </si>
  <si>
    <t>MAURO SERGIO PAGOTI</t>
  </si>
  <si>
    <t>ALEXANDRE CESAR CESTARI</t>
  </si>
  <si>
    <t>EDUARDO OLIVEIRA BONIFACIO</t>
  </si>
  <si>
    <t>RODRIGO LAFORÉ DOMENE</t>
  </si>
  <si>
    <t>JOAO MARCELO GUERRA</t>
  </si>
  <si>
    <t>NOVO CLIENTE</t>
  </si>
  <si>
    <t>DATA DA CESSÃO</t>
  </si>
  <si>
    <t>VALOR PAGO PELA OPERAÇÃO</t>
  </si>
  <si>
    <t>VALOR TRANSFERIDO PARA O LOTE XXXVIII-42</t>
  </si>
  <si>
    <t>VALOR TRANSFERIDO PARA O LOTE XIII-05</t>
  </si>
  <si>
    <t>% Total de Atraso acima de 90d pelo Total do Saldo Devedor do CRI</t>
  </si>
  <si>
    <t>MIKAELA APARECIDA LIMA TEODORO</t>
  </si>
  <si>
    <t>JOSE DONIZETE PIANISSOLA</t>
  </si>
  <si>
    <t>EDUARDO FAGANELLO HELBEL</t>
  </si>
  <si>
    <t>MARCELO RUELA DE OLIVEIRA</t>
  </si>
  <si>
    <t>CARLOS HENRIQUE NAVARRO MAZZEO</t>
  </si>
  <si>
    <t>DANIELA MOISES GOMES KANDA E JULIANO BATISTA KANDA</t>
  </si>
  <si>
    <t>JUÍZO</t>
  </si>
  <si>
    <t>3ª VARA CÍVEL DE LONDRINA</t>
  </si>
  <si>
    <t>N º DOS AUTOS</t>
  </si>
  <si>
    <t>0063982-66.2016.8.16.0014</t>
  </si>
  <si>
    <t>DATA DO AJUIZAMENTO</t>
  </si>
  <si>
    <t>OBJETO</t>
  </si>
  <si>
    <t>RESCISÃO CONTRATUAL COM DEVOLUÇÃO DE VALORES</t>
  </si>
  <si>
    <t>JULGADA IMPROCEDENTE. CLIENTE AINDA NÃO RECORREU.</t>
  </si>
  <si>
    <t>OBSERVAÇÃO</t>
  </si>
  <si>
    <t>VALOR DA CAUSA</t>
  </si>
  <si>
    <t xml:space="preserve">RENAN ROMANI GODINHO DOS SANTOS </t>
  </si>
  <si>
    <t>3º JUIZADO ESPECIAL CÍVEL DE LONDRINA</t>
  </si>
  <si>
    <t>0056886-63.2017.8.16.0014</t>
  </si>
  <si>
    <t>JULGADA PARCIALMENTE PROCEDENTE. NO PRAZO PARA APRESENTAÇÃO RECURSO.</t>
  </si>
  <si>
    <t>ULISSES ALEXANDRE DE CARVALHO RODRIGUES e VANIA LETÍCIA ZAMPAR</t>
  </si>
  <si>
    <t>1ª VARA CÍVEL DE LONDRINA</t>
  </si>
  <si>
    <t>0013759-75.2017.8.16.0014</t>
  </si>
  <si>
    <t>JULGADA PROCEDENTE. REQUERIDAS APRESENTARAM RECURSO. AGUARDA JULGAMENTO TJPR.</t>
  </si>
  <si>
    <t>ANGELA FERREIRA DA SILVA e ROBERTO RODRIGUES CRUZ</t>
  </si>
  <si>
    <t>4ª VARA CÍVEL DE LONDRINA</t>
  </si>
  <si>
    <t>0073846.31.2016.8.16.0014</t>
  </si>
  <si>
    <t>RESTITUIÇAO DE VALORES PAGOS E INDENIZACÃO POR DANOS MORAIS.</t>
  </si>
  <si>
    <t xml:space="preserve"> EM FASE DE PRODUÇÃO DE PROVAS. INSTRUÇÃO PROCESSUAL.</t>
  </si>
  <si>
    <t>1º JUIZADO ESPECIAL CÍVEL DE LONDRINA</t>
  </si>
  <si>
    <t>0033927-98.2017.8.16.0014</t>
  </si>
  <si>
    <t>DEVOLUÇÃO DE TAXA DE CORRETAGEM</t>
  </si>
  <si>
    <t>AUTOR DESISTIU DA ACÃO. AUTOS ARQUIVADOS.</t>
  </si>
  <si>
    <t>9º VARA CÍVEL DE LONDRINA</t>
  </si>
  <si>
    <t>007633-09.2017.8.16.0014</t>
  </si>
  <si>
    <t>JULGADO IMPROCEDENTE. CLIENTE RECORREU. AGUARDA JULGAMENTO NA TURMA RECURSAL.</t>
  </si>
  <si>
    <t>0085445-30.2017.8.16.0014</t>
  </si>
  <si>
    <t>LIMINAR PARA SUSPENDER AS COBRANÇAS FOI INDEFERIDA. AGUARDA REALIZAÇÃO DE AUDIËNCIA.</t>
  </si>
  <si>
    <t>4º JUIZADO ESPECIAL CÍVEL DE LONDRINA</t>
  </si>
  <si>
    <t>0054394-69.2015.8.16.0014</t>
  </si>
  <si>
    <t>DECLARATÓRIO DE INEXISTËNCIA DE DÉBITO</t>
  </si>
  <si>
    <t>JULGADO PROCEDENTE APENAS PARA DETERMINAR A BAIXA DO NOME DA CLIENTE. AUTOS ARQUIVADOS</t>
  </si>
  <si>
    <t xml:space="preserve">EDIANARA FERREIRA e VITOR DE FREITAS NARDIN </t>
  </si>
  <si>
    <t>0029079-39.2015.8.16.0014</t>
  </si>
  <si>
    <t>REPETIÇAO DE INDÉBITO E INDENIZATÓRIA</t>
  </si>
  <si>
    <t>JULGADA IMPROCEDENTE. AUTOS ARQUIVADOS</t>
  </si>
  <si>
    <t>MARCELO HELIO KRUGER</t>
  </si>
  <si>
    <t>5º JUIZADO ESPECIAL CÍVEL DE LONDRINA</t>
  </si>
  <si>
    <t>0036813-70.207.8.16.0014</t>
  </si>
  <si>
    <t>RESTITUIÇAO DE VALORES E INDENIZAÇAO POR DANOS MORAIS</t>
  </si>
  <si>
    <t>JULGADA IMPROCEDENTE. PEDIDOS PRESCRITOS. AUTOS ARQUIVADOS.</t>
  </si>
  <si>
    <t>PAULO SERGIO PAULINO ROSA e MARIA DE FATIMA BOTAZOLI ROSA</t>
  </si>
  <si>
    <t>0054925-24.2016.8.16.0014</t>
  </si>
  <si>
    <t xml:space="preserve"> JULGADO EXTINTO SEM RESOLUÇÃO DE MÉRITO. AUTOS ARQUIVADOS.</t>
  </si>
  <si>
    <t xml:space="preserve">9ª VARA CÍVEL DE LONDRINA </t>
  </si>
  <si>
    <t>0015454-30.2018.8.16.0014</t>
  </si>
  <si>
    <t>RESCISÃO CONTRATUAL COM DEVOLUÇÃO DE VALORES.</t>
  </si>
  <si>
    <t>PRAZO PARA APRESENTAR CONTESTAÇÃO</t>
  </si>
  <si>
    <t>2º JUIZADO ESPECIAL CÍVEL DE LONDRINA</t>
  </si>
  <si>
    <t>0038603-89.2017.8.16.0014</t>
  </si>
  <si>
    <t>RESTITUIÇAO DE VALORES.</t>
  </si>
  <si>
    <t>JULGADA IMPROCEDENTE. CLIENTE RECORREU. AGUARDA JULGAMENTO NA TURMA RECURSAL.</t>
  </si>
  <si>
    <t>TELMA CRISTINA DA COSTA BARROS DE OLIVEIRA</t>
  </si>
  <si>
    <t>0048771-53.2017.8.16.0014</t>
  </si>
  <si>
    <t>JULGADA IMPROCEDENTE. AUTOS ARQUIVADOS.</t>
  </si>
  <si>
    <t>6º JUIZADO ESPECIAL CÍVEL DE LONDRINA</t>
  </si>
  <si>
    <t>0023299-50.2017.8.16.0014</t>
  </si>
  <si>
    <t>6ª VARA CÍVEL DE LONDRINA</t>
  </si>
  <si>
    <t>0001014-29.2018.8.16.0014</t>
  </si>
  <si>
    <t>PRÁTICAS ABUSIVAS / VENDAS CASADAS</t>
  </si>
  <si>
    <t>PROCESSO EM SEGREDO DE JUSTIÇA (NÃO CONSEGUIMOS CÓPIA AINDA)</t>
  </si>
  <si>
    <t>13º JUIZADO ESPECIAL CÍVEL DE CURITIBA</t>
  </si>
  <si>
    <t>0041420-10.2017.8.16.0182</t>
  </si>
  <si>
    <t>8ª VARA CÍVEL DE LONDRINA</t>
  </si>
  <si>
    <t>0071469-53.2017.8.16.0014</t>
  </si>
  <si>
    <t>ADELINO DEVANIR CHIARELLI e ELZIRA PASSINATO CHIARELLI</t>
  </si>
  <si>
    <t>2415 e 2416</t>
  </si>
  <si>
    <t>0032503-21.2017.8.16.0014</t>
  </si>
  <si>
    <t>2738 e 2739</t>
  </si>
  <si>
    <t>0058184-95.2014.8.16.0014</t>
  </si>
  <si>
    <t>AUREO SILVA CASTRO e ANDREIA KARINA SILVA CASTRO</t>
  </si>
  <si>
    <t>EDIOGENES DE ARAUJO AVILLA e CAROLINA ARJONA PALMA AVILA</t>
  </si>
  <si>
    <t>CIBELE NUNES BONINE SCARPIM</t>
  </si>
  <si>
    <t>Contrato Distratado em Jun/2018</t>
  </si>
  <si>
    <t>AÇÃO INDENIZATÓRIA POR MANUTENÇÃO INDEVIDA NO SERASA</t>
  </si>
  <si>
    <t>Contrato Quitado</t>
  </si>
  <si>
    <t>Tentativa de acordo com Jurídico (Logos)</t>
  </si>
  <si>
    <t>MATEUS DO SANTOS GONSALES</t>
  </si>
  <si>
    <t>Status</t>
  </si>
  <si>
    <t>OBS.</t>
  </si>
  <si>
    <t>JOSÉ VICENTE BORDIGNON</t>
  </si>
  <si>
    <t>EXECUÇÃO JUDICIAL</t>
  </si>
  <si>
    <t>5ª VARA CIVEL DE LONDRINA</t>
  </si>
  <si>
    <t>0000263-42.2018.8.16.0014</t>
  </si>
  <si>
    <t>0000263-42.2018.8.16.0015</t>
  </si>
  <si>
    <t xml:space="preserve">CARLOS ALBERTO DA COSTA </t>
  </si>
  <si>
    <t>EXECUÇÃO DE GARANTIA FIDUCIARIA</t>
  </si>
  <si>
    <t xml:space="preserve">3º REGISTRO IMOVEIS DE LONDRINA </t>
  </si>
  <si>
    <t xml:space="preserve"> DY847749765BR</t>
  </si>
  <si>
    <t xml:space="preserve">ENVIADO AO CARTORIO </t>
  </si>
  <si>
    <t>VARA CÍVEL DE LONDRINA</t>
  </si>
  <si>
    <t>VALTER ALVES MOREIRA JUNIOR</t>
  </si>
  <si>
    <t>AR DY847749765BR</t>
  </si>
  <si>
    <t>AGUARDA DISTRIBUIÇÃO</t>
  </si>
  <si>
    <t xml:space="preserve">ACAO PROTOCOLADA-AGUARDA PAGAMENTO DE CUSTAS. </t>
  </si>
  <si>
    <t>JOAO AMANDIO RODRIGUES DA COSTA</t>
  </si>
  <si>
    <t xml:space="preserve">SERGIO AKIRA NAZIMA </t>
  </si>
  <si>
    <t xml:space="preserve">31.797, 65 </t>
  </si>
  <si>
    <t xml:space="preserve"> ALEX PIROLO VALERIO</t>
  </si>
  <si>
    <t>VALOR EXECUTADO</t>
  </si>
  <si>
    <t>NATUREZA DA AÇÃO</t>
  </si>
  <si>
    <t>DATA PROTOCOLO</t>
  </si>
  <si>
    <t>Nª PROCESSO</t>
  </si>
  <si>
    <t>CLIENTE ADIMPLENTE</t>
  </si>
  <si>
    <t>Contrato Quitado em Ago/2017</t>
  </si>
  <si>
    <t>Valor Pago R$  27.255,48</t>
  </si>
  <si>
    <t>(i) Até 30 dias</t>
  </si>
  <si>
    <t>(ii) De 30 a 60 dias</t>
  </si>
  <si>
    <t>(iii) De 60 a 90 dias</t>
  </si>
  <si>
    <t xml:space="preserve">(iv) Acima de 90 dias </t>
  </si>
  <si>
    <t>VALOR TRANSFERIDO PARA O LOTE XXV_A-24</t>
  </si>
  <si>
    <t>VALOR PAGO PELA PAYSAGE</t>
  </si>
  <si>
    <t>VALOR TRANSFERIDO PARA O LOTE XIII-24</t>
  </si>
  <si>
    <t>VALOR TRANSFERIDO PARA O LOTE XXIX-44</t>
  </si>
  <si>
    <t>SERGIO PEREIRA JUNIOR</t>
  </si>
  <si>
    <t>SUN FLEX REPRESENTAÇOES COMERCIAIS LTDA</t>
  </si>
  <si>
    <t>LEONARDO NUNES BUONO</t>
  </si>
  <si>
    <t>II</t>
  </si>
  <si>
    <t>IV</t>
  </si>
  <si>
    <t>I</t>
  </si>
  <si>
    <t>III</t>
  </si>
  <si>
    <t>ENGENHARIA FRÓES LTDA</t>
  </si>
  <si>
    <t xml:space="preserve">6ª VARA CÍVEL DE LONDRINA </t>
  </si>
  <si>
    <t>0020502-67.2018.8.16.0014</t>
  </si>
  <si>
    <t>ENVIADA NOTIFICAÇÃO SIMPLES</t>
  </si>
  <si>
    <t>CLIENTE FEZ ACORDO</t>
  </si>
  <si>
    <t>CLIENTE RECEBEU NOTIFICAÇÃO E ESTÁ EM NEGOCIAÇÃO</t>
  </si>
  <si>
    <t>ENVIADO AO CARTORIO. NOTIFICAÇÃO PRENOTADA.</t>
  </si>
  <si>
    <t>NOTIFICAÇÃO PRENOTADA</t>
  </si>
  <si>
    <t xml:space="preserve">MARCO ANTONIO BARBOSA </t>
  </si>
  <si>
    <t xml:space="preserve">ANDRÉ LUIZ DOS SANTOS </t>
  </si>
  <si>
    <t>SITUAÇÃO DO CONTRATO</t>
  </si>
  <si>
    <t>REGISTRADO</t>
  </si>
  <si>
    <t>DATA PAGTO</t>
  </si>
  <si>
    <t>VALOR PAGO</t>
  </si>
  <si>
    <t>FUNREJUS</t>
  </si>
  <si>
    <t>ITBI</t>
  </si>
  <si>
    <t>CARTÓRIO</t>
  </si>
  <si>
    <t>TOTAL DESPESAS</t>
  </si>
  <si>
    <t>APENAS DESPESAS</t>
  </si>
  <si>
    <t>VALOR TOTAL PAGO</t>
  </si>
  <si>
    <t>VINICIUS MENDONCA DE OLIVEIRA</t>
  </si>
  <si>
    <t>WILLIAN VASCONCELOS NUNES</t>
  </si>
  <si>
    <t>RICARDO CANDIDO RODRIGUES</t>
  </si>
  <si>
    <t>POLEANE RODRIGUES</t>
  </si>
  <si>
    <t>CAROLINE SANTIAGO NUNES</t>
  </si>
  <si>
    <t>QUITADO</t>
  </si>
  <si>
    <t>LOTE DISTRATADO EM AGOSTO/18</t>
  </si>
  <si>
    <t>PROCESSO INICIAL EM ELABORAÇÃO</t>
  </si>
  <si>
    <t>LOTE DISTRATADO EM JULHO/18</t>
  </si>
  <si>
    <t>PROCESSO ENVIADO PARA RI</t>
  </si>
  <si>
    <t>ENVIADA NOTIFICAÇÃO</t>
  </si>
  <si>
    <t>AGUARDANDO RETORNO DO AR</t>
  </si>
  <si>
    <t>CONTRATO QUITADO EM AGOSTO/2018</t>
  </si>
  <si>
    <t>ACORDO - RENEGOCIAÇÃO EFETVADA</t>
  </si>
  <si>
    <t>REGISTRO DE IMÓVEIS</t>
  </si>
  <si>
    <t xml:space="preserve">??? VALOR QUE O CLIENTE PAGOU </t>
  </si>
  <si>
    <t>CONDOMÍNIO</t>
  </si>
  <si>
    <t>IPTU (ATRASADOS)</t>
  </si>
  <si>
    <t>ANA PAULA VASCONCELOS SILVEIRA</t>
  </si>
  <si>
    <t>EUCLIDES DE OLIVIO</t>
  </si>
  <si>
    <t>BILL ANDERSON DA SILVA FRANCISCO</t>
  </si>
  <si>
    <t>CARLOS ROBERTO GOMES DOS SANTOS</t>
  </si>
  <si>
    <t>CONF</t>
  </si>
  <si>
    <t>EM ANÁLISE DAS EXIGÊNCIAS NO RI</t>
  </si>
  <si>
    <t>AGUARDA PROTOCOLO INCIAL</t>
  </si>
  <si>
    <t>AGUARDANDO RETORNO DE AR</t>
  </si>
  <si>
    <t>AGUARDANDO ANÁLISE DO RI</t>
  </si>
  <si>
    <t>LOTE DISTRATADO EM SETEMBRO/18</t>
  </si>
  <si>
    <t>ENVIADA NOTIFICAÇÃO SIMPLES DEVIDO AOS VALORES EM ATRASO SEREM BAIXOS - AGUARDANDO AR)</t>
  </si>
  <si>
    <t>ANDRÉ LUIZ DOS SANTOS RODRIGUES</t>
  </si>
  <si>
    <t>2ª VARA CÍVEL DE LONDRINA</t>
  </si>
  <si>
    <t>0033545-71.2018.8.16.0014</t>
  </si>
  <si>
    <t xml:space="preserve">RESCISÃO CONTRATUAL COM DEVOLUÇÃO DE VALORES </t>
  </si>
  <si>
    <t>LIMINAR SUSPENDENDO A COBRANÇA</t>
  </si>
  <si>
    <t>0037424-86.2018.8.16.0014</t>
  </si>
  <si>
    <t>FRANCIELI QUINHONE E ROBISON JUNIOR DO NASCIMENTO</t>
  </si>
  <si>
    <t>0048518-31.2018.8.16.0014</t>
  </si>
  <si>
    <t>DEVOLUÇÃO COMISSÃO DE CORRETAGEM</t>
  </si>
  <si>
    <t xml:space="preserve">AGUARDA AUDIËNCIA </t>
  </si>
  <si>
    <t>0056812-72.2018.8.16.0014</t>
  </si>
  <si>
    <t>CAROLINA ARJONA PALMA AVILA e EDIOGENES DE ARAUJO AVILLA</t>
  </si>
  <si>
    <t>5º VARA CÍVEL DE LONDRINA</t>
  </si>
  <si>
    <t>0055348-13.2018.8.16.0014</t>
  </si>
  <si>
    <t>LORENA MOLIN DA SILVA OLIVEIRA E MARCELO RUELA OLIVEIRA</t>
  </si>
  <si>
    <t>AGUARDA AUDIËNCIA - ESTA É A SEGUNDA AÇÃO QUE CLIENTE AJUIZA. NA PRIMEIRA CLIENTE PERDEU.</t>
  </si>
  <si>
    <t>STATUS CONTRATO</t>
  </si>
  <si>
    <t>ATIVO</t>
  </si>
  <si>
    <t>Ações Passivas</t>
  </si>
  <si>
    <t>LTV Compra</t>
  </si>
  <si>
    <t>LTV Compra Atualizada</t>
  </si>
  <si>
    <t>LTV Mercado</t>
  </si>
  <si>
    <t>LTV Últimas Vendas</t>
  </si>
  <si>
    <t>VALOR COMPRA ATUALIZADO</t>
  </si>
  <si>
    <t>Média:</t>
  </si>
  <si>
    <t>Metragem</t>
  </si>
  <si>
    <t>M² (R$)</t>
  </si>
  <si>
    <t>Endereço de Pesquisa</t>
  </si>
  <si>
    <t>LTV Última Vendas</t>
  </si>
  <si>
    <t>Lote</t>
  </si>
  <si>
    <t>M²</t>
  </si>
  <si>
    <t>R$ m²</t>
  </si>
  <si>
    <t>Data</t>
  </si>
  <si>
    <t>Preço Médio  Mercado:</t>
  </si>
  <si>
    <t>Preço Médio Vendido:</t>
  </si>
  <si>
    <t>https://www.vivareal.com.br/imovel/lote-terreno-jardim-morumbi-bairros-londrina-320m2-venda-RS185000-id-1038558864/?__vt=ldp:a</t>
  </si>
  <si>
    <t>https://www.vivareal.com.br/imovel/lote-terreno-jardim-morumbi-bairros-londrina-251m2-venda-RS130000-id-1042416022/?__vt=ldp:a</t>
  </si>
  <si>
    <t>https://www.zapimoveis.com.br/oferta/venda+terreno-padrao+morumbi+londrina+pr/ID-14914637/?utm_source=Trovit&amp;utm_medium=CPC&amp;utm_campaign=audience%2factively-searching-users---1%2c00-brl</t>
  </si>
  <si>
    <t>https://imoveis.trovit.com.br/listing/terreno-a-venda-285m.1rp1zMSn1416</t>
  </si>
  <si>
    <t>https://imoveis.trovit.com.br/listing/lote-em-condominio-a-venda-no-bairro-jardim-morumbi-251m.121GX1ByDZ7</t>
  </si>
  <si>
    <t>VALDIR DAMA</t>
  </si>
  <si>
    <t>GIOVANO APARECIDO DE LIMA</t>
  </si>
  <si>
    <t>IZAEL DE PAULA GUIMARÃES</t>
  </si>
  <si>
    <t>HAROLDO LAFAIETE MASSARO</t>
  </si>
  <si>
    <t>JESSICA SABRINA APARECIDA BRAGA</t>
  </si>
  <si>
    <t>TAINA PARECIDA SIMÃO</t>
  </si>
  <si>
    <t>VINCENZO TADEU ETERNO</t>
  </si>
  <si>
    <t>LUCY MATSUKO TANJI NISHITANI</t>
  </si>
  <si>
    <t>RENATO ADRIANO DA SILVA</t>
  </si>
  <si>
    <t>WESLEY DOS SANTOS ANTUNES</t>
  </si>
  <si>
    <t>JORGE DE SOUSA</t>
  </si>
  <si>
    <t>JAIRO ANTONIO DOS SANTOS</t>
  </si>
  <si>
    <t>NILVA APARECIDA DINIS RIBEIRO</t>
  </si>
  <si>
    <t>RODRIGO LAFORE DOMENE</t>
  </si>
  <si>
    <t>Valor Compra Atualiz.</t>
  </si>
  <si>
    <t>AILTON HORACIO GARCIA</t>
  </si>
  <si>
    <t>ANTONIO DONIZETI GARCIA</t>
  </si>
  <si>
    <t>MIRIAM QUADROS MONTEIRO MARTINS</t>
  </si>
  <si>
    <t>ANTONIVALDO JESUS DA HORA</t>
  </si>
  <si>
    <t>GILBERTO MILLE</t>
  </si>
  <si>
    <t>PRISCILA GARCIA NEGRELI</t>
  </si>
  <si>
    <t>LONDRINA [ETAPA 04 - CONDOMINIO ARAGUARI]</t>
  </si>
  <si>
    <t>ANDERSON JOSE LIMA DA SILVA</t>
  </si>
  <si>
    <t>WASHINGTON DE OLIVEIRA DRUMOND</t>
  </si>
  <si>
    <t>Condomínio</t>
  </si>
  <si>
    <t>Araçari</t>
  </si>
  <si>
    <t>Tangará</t>
  </si>
  <si>
    <t>Aranguá</t>
  </si>
  <si>
    <t>Araguari</t>
  </si>
  <si>
    <t>Externos 1</t>
  </si>
  <si>
    <t>Externos 2</t>
  </si>
  <si>
    <t>Externos 3</t>
  </si>
  <si>
    <t>Externos 4</t>
  </si>
  <si>
    <t>ARAÇARI</t>
  </si>
  <si>
    <t>EXT 01</t>
  </si>
  <si>
    <t>TANGARÁ</t>
  </si>
  <si>
    <t>EXT 02</t>
  </si>
  <si>
    <t>ARANGUÁ</t>
  </si>
  <si>
    <t>EXT 03</t>
  </si>
  <si>
    <t>ARAGUARI</t>
  </si>
  <si>
    <t>EXT 04</t>
  </si>
  <si>
    <t>JANEIRO/2019</t>
  </si>
  <si>
    <t>RESUMO DO VGV</t>
  </si>
  <si>
    <t>FASE</t>
  </si>
  <si>
    <t>ANDREA BRENZAN ALVIM</t>
  </si>
  <si>
    <t>RAPHAEL AUGUSTO FERREIRA</t>
  </si>
  <si>
    <t>RYANDER ALVES PEREIRA CRIVILIM</t>
  </si>
  <si>
    <t>MARCIO RODRIGUES</t>
  </si>
  <si>
    <t>METRAGEM</t>
  </si>
  <si>
    <t>JOAO BATISTA DA SILVA JUNIOR</t>
  </si>
  <si>
    <t>PABIANO VIDAL DE OLIVEIRA</t>
  </si>
  <si>
    <t>NATANAEL CARVALHO DOS SANTOS</t>
  </si>
  <si>
    <t>MARCOS JOSE DE MOURA</t>
  </si>
  <si>
    <t>DEBORA CRISTINA MATTOS DA ROCHA</t>
  </si>
  <si>
    <t>LEONARDO MEDEIROS GUILET PIRES</t>
  </si>
  <si>
    <t>THAIS AMARILHA DE CASTRO</t>
  </si>
  <si>
    <t>FERNANDO DE OLIVEIRA GARBETO</t>
  </si>
  <si>
    <t>ANDREA SARAIVA DA ROCHA ZIELONKA</t>
  </si>
  <si>
    <t>RODRIGO CHANAN LOPES DE JESUS</t>
  </si>
  <si>
    <t>TOTAL</t>
  </si>
  <si>
    <t>Total Contratos</t>
  </si>
  <si>
    <t>ALEXANDRE AUGUSTO TOFANETTO</t>
  </si>
  <si>
    <t>ANDRE HENRIQUE DE SOUZA GUIRAO</t>
  </si>
  <si>
    <t>LTV MER</t>
  </si>
  <si>
    <t>LTV VDA</t>
  </si>
  <si>
    <t>LTV CTO</t>
  </si>
  <si>
    <t>LTV CTO AT</t>
  </si>
  <si>
    <t>EXT 1</t>
  </si>
  <si>
    <t>EXT 2</t>
  </si>
  <si>
    <t>EXT 3</t>
  </si>
  <si>
    <t xml:space="preserve">EXT </t>
  </si>
  <si>
    <t>EWERTON MITSUSTOCHI SUZUKI</t>
  </si>
  <si>
    <t>ROBERTO CARDOSO</t>
  </si>
  <si>
    <t>PRISCILA JESSILYN DA ROCHA</t>
  </si>
  <si>
    <t>GUILHERME ROCHA HIDALGO MORENO</t>
  </si>
  <si>
    <t>CLEBIO SELMO MARQUES</t>
  </si>
  <si>
    <t>PAULO MASSAYOSHI TANNO</t>
  </si>
  <si>
    <t>SANVIG MONITORAMENTO E CONSERVACAO LTDA</t>
  </si>
  <si>
    <t>FELIPE MARTINS SCOTTON</t>
  </si>
  <si>
    <t>DOUGLAS ANTONIO DE LIMA</t>
  </si>
  <si>
    <t>LEANDRO MARIA CLARO</t>
  </si>
  <si>
    <t>BRUNO ADRIANO DA SILVA</t>
  </si>
  <si>
    <t>JULIO CESAR OLIVIERI REFUNDINI</t>
  </si>
  <si>
    <t>ROSANGELA DE CASSIA DIAS</t>
  </si>
  <si>
    <t>7020</t>
  </si>
  <si>
    <t>SAMUEL FERNANDES SANTANA</t>
  </si>
  <si>
    <t>WILSON ALESSANDRO DOS SANTOS</t>
  </si>
  <si>
    <t>Ativos</t>
  </si>
  <si>
    <t>Sequência</t>
  </si>
  <si>
    <t>Movimento</t>
  </si>
  <si>
    <t>INGRID RODRIGUES PAULINO</t>
  </si>
  <si>
    <t>KRATOS ENGENHARIA LTDA</t>
  </si>
  <si>
    <t>DIEGO SOARES DA SILVA</t>
  </si>
  <si>
    <t>LAIARA MARTINS BRASIL</t>
  </si>
  <si>
    <t>BRUNO BORTOLETO CORA</t>
  </si>
  <si>
    <t>NILTON CESAR GONCALVES CAMARGO</t>
  </si>
  <si>
    <t>APARECIDO FRANCESCHINI</t>
  </si>
  <si>
    <t>ALEXSANDRO RIBEIRO DOS SANTOS</t>
  </si>
  <si>
    <t>LTV Garantia</t>
  </si>
  <si>
    <t>LTV ACIMA DE 100% - PARA CÁLCULO DA GARANTIA</t>
  </si>
  <si>
    <t>ATIVOS</t>
  </si>
  <si>
    <t>EM ATRASO</t>
  </si>
  <si>
    <t>Saldo Devedor</t>
  </si>
  <si>
    <t>Lançamento</t>
  </si>
  <si>
    <t>Débito (R$)</t>
  </si>
  <si>
    <t>Descrição</t>
  </si>
  <si>
    <t>22/01/2019</t>
  </si>
  <si>
    <t>TED DIF.TITUL.CC H.BANK DEST. CARTORIO OCTAVIO CES</t>
  </si>
  <si>
    <t>CUSTAS CARTÓRIO</t>
  </si>
  <si>
    <t>JOSE GONCALVES NETO</t>
  </si>
  <si>
    <t>KEILA REGINA DE OLIVEIRA DA COSTA</t>
  </si>
  <si>
    <t>03/01/2019 04/02/2019</t>
  </si>
  <si>
    <t>19/02/2019 19/03/2019</t>
  </si>
  <si>
    <t>22/01/2019 22/02/2019 22/03/2019 22/04/2019</t>
  </si>
  <si>
    <t>29/04/2019 30/04/2019</t>
  </si>
  <si>
    <t>7179</t>
  </si>
  <si>
    <t>TATIANE MARIELE PAGLIOTO</t>
  </si>
  <si>
    <t>THIAGO BELIATO VERISSIMO</t>
  </si>
  <si>
    <t>KAIO HENRIQUE ALBANO CAVALARI</t>
  </si>
  <si>
    <t>WILSON LOPES DE SOUSA JUNIOR</t>
  </si>
  <si>
    <t>ROBERTA REIS DA SILVA TERRA</t>
  </si>
  <si>
    <t>MARCELO LUIZ CABRERA OLINTO</t>
  </si>
  <si>
    <t>MARCIO JOSE CABRERA OLINTO</t>
  </si>
  <si>
    <t>JOSE OSVALDO OLIVEIRA DE SOUZA</t>
  </si>
  <si>
    <t>MARIA APARECIDA BATISTA FERREIRA</t>
  </si>
  <si>
    <t>LEO ANTONIO RAMOS</t>
  </si>
  <si>
    <t>MARCOS RIBEIRO MORGAN</t>
  </si>
  <si>
    <t>JOAO PACIFICO DE MEDIROS FILHO</t>
  </si>
  <si>
    <t>DANIELE LUZIA ZAPPAROLI</t>
  </si>
  <si>
    <t>Atrasos &gt;90d / Receb</t>
  </si>
  <si>
    <t>Atrasos &gt; 90 dias</t>
  </si>
  <si>
    <t>Identificação</t>
  </si>
  <si>
    <t>Venci
mento</t>
  </si>
  <si>
    <t>Data
Baixa</t>
  </si>
  <si>
    <t>Valor 
Nominal</t>
  </si>
  <si>
    <t>Valor
Correção</t>
  </si>
  <si>
    <t>Valor 
Juros</t>
  </si>
  <si>
    <t>Valor 
Base</t>
  </si>
  <si>
    <t>Valor
Dif. 
P x R</t>
  </si>
  <si>
    <t xml:space="preserve"> Valor
Taxas
Adicionais</t>
  </si>
  <si>
    <t>Valor
Multa</t>
  </si>
  <si>
    <t>Valor 
Mora</t>
  </si>
  <si>
    <t>Valor 
Desconto</t>
  </si>
  <si>
    <t>Juros TP/SAC
não cob.</t>
  </si>
  <si>
    <t>VM Juros
TP/SAC
não cob.</t>
  </si>
  <si>
    <t>Valor
Pago</t>
  </si>
  <si>
    <t>Valor 
Pago a Maior</t>
  </si>
  <si>
    <t>Valor 
Amortização</t>
  </si>
  <si>
    <t>Valor
Juros TP/SAC</t>
  </si>
  <si>
    <t>Valor
Descontos Adicionais</t>
  </si>
  <si>
    <t>SERASA - Ações Ativas - RI</t>
  </si>
  <si>
    <t>SERASA - Ações Ativas - Execução Judicial</t>
  </si>
  <si>
    <t>Atrasos até 90 dias</t>
  </si>
  <si>
    <t>Atrasos até 90d / Receb</t>
  </si>
  <si>
    <t>DISTRATADO</t>
  </si>
  <si>
    <t>JEFFERSON GAMBI DE SOUZA</t>
  </si>
  <si>
    <t>EDNILSON APARECIDO DA SILVA</t>
  </si>
  <si>
    <t>KELEY REGIANE APARECIDA DOS SANTOS</t>
  </si>
  <si>
    <t>RAFAEL DA COSTA BARROS</t>
  </si>
  <si>
    <t>%</t>
  </si>
  <si>
    <t>M² Estoque</t>
  </si>
  <si>
    <t>RESUMO DE VENDAS E VGV ESTOQUE</t>
  </si>
  <si>
    <t>Valor Contratual</t>
  </si>
  <si>
    <t>Média m²</t>
  </si>
  <si>
    <t>Média R$ m²</t>
  </si>
  <si>
    <t>M² Total</t>
  </si>
  <si>
    <t>R$ x m² Vendas</t>
  </si>
  <si>
    <t>Preço Médio Vendas:</t>
  </si>
  <si>
    <t>XXIII_20</t>
  </si>
  <si>
    <r>
      <t xml:space="preserve">Últimas Vendas </t>
    </r>
    <r>
      <rPr>
        <b/>
        <sz val="11"/>
        <color rgb="FFFF0000"/>
        <rFont val="Calibri"/>
        <family val="2"/>
        <scheme val="minor"/>
      </rPr>
      <t>ARAÇARI</t>
    </r>
  </si>
  <si>
    <r>
      <t xml:space="preserve">Últimas Vendas </t>
    </r>
    <r>
      <rPr>
        <b/>
        <sz val="11"/>
        <color rgb="FFFF0000"/>
        <rFont val="Calibri"/>
        <family val="2"/>
        <scheme val="minor"/>
      </rPr>
      <t>Externos 01</t>
    </r>
  </si>
  <si>
    <r>
      <t xml:space="preserve">Últimas Vendas </t>
    </r>
    <r>
      <rPr>
        <b/>
        <sz val="11"/>
        <color rgb="FFFF0000"/>
        <rFont val="Calibri"/>
        <family val="2"/>
        <scheme val="minor"/>
      </rPr>
      <t>ARAGUARI</t>
    </r>
  </si>
  <si>
    <r>
      <t xml:space="preserve">Últimas Vendas </t>
    </r>
    <r>
      <rPr>
        <b/>
        <sz val="11"/>
        <color rgb="FFFF0000"/>
        <rFont val="Calibri"/>
        <family val="2"/>
        <scheme val="minor"/>
      </rPr>
      <t>Externos 04</t>
    </r>
  </si>
  <si>
    <r>
      <t xml:space="preserve">Últimas Vendas </t>
    </r>
    <r>
      <rPr>
        <b/>
        <sz val="11"/>
        <color rgb="FFFF0000"/>
        <rFont val="Calibri"/>
        <family val="2"/>
        <scheme val="minor"/>
      </rPr>
      <t>Externos 03</t>
    </r>
  </si>
  <si>
    <r>
      <t xml:space="preserve">Últimas Vendas </t>
    </r>
    <r>
      <rPr>
        <b/>
        <sz val="11"/>
        <color rgb="FFFF0000"/>
        <rFont val="Calibri"/>
        <family val="2"/>
        <scheme val="minor"/>
      </rPr>
      <t>ARANGUÁ</t>
    </r>
  </si>
  <si>
    <r>
      <t xml:space="preserve">Últimas Vendas </t>
    </r>
    <r>
      <rPr>
        <b/>
        <sz val="11"/>
        <color rgb="FFFF0000"/>
        <rFont val="Calibri"/>
        <family val="2"/>
        <scheme val="minor"/>
      </rPr>
      <t>TANGARÁ</t>
    </r>
  </si>
  <si>
    <r>
      <t xml:space="preserve">Últimas Vendas </t>
    </r>
    <r>
      <rPr>
        <b/>
        <sz val="11"/>
        <color rgb="FFFF0000"/>
        <rFont val="Calibri"/>
        <family val="2"/>
        <scheme val="minor"/>
      </rPr>
      <t>Externos 02</t>
    </r>
  </si>
  <si>
    <t>XI_17</t>
  </si>
  <si>
    <t>ROBERTO LOPES DE LIMA</t>
  </si>
  <si>
    <t>RITA DE CASSIA APARECIDA JARDIM</t>
  </si>
  <si>
    <t>LIVIA BEATRIZ LIMA LUIZETTO</t>
  </si>
  <si>
    <t>TOTAL MENSAL</t>
  </si>
  <si>
    <t>Colunas1</t>
  </si>
  <si>
    <t>Ações Passivas (02 ações)</t>
  </si>
  <si>
    <t>Ações Ativas - Execução Judicial</t>
  </si>
  <si>
    <t>Estoque</t>
  </si>
  <si>
    <t>LTV R$ m² Últimas Vendas</t>
  </si>
  <si>
    <t>LTV Méd VDAs</t>
  </si>
  <si>
    <t>EDUARDO ROBERTO DOS SANTOS</t>
  </si>
  <si>
    <t>DIEGO ALEXANDRE FAGUNDES</t>
  </si>
  <si>
    <t>BENEDITA DE LOURDES CARDOSO</t>
  </si>
  <si>
    <t>HELTON LUIS DE OLIVEIRA</t>
  </si>
  <si>
    <t>TEOFILO RODRIGUES DA SILVA</t>
  </si>
  <si>
    <t>CLAUDIONOR HENRIQUE DA SILVA</t>
  </si>
  <si>
    <t>DERIQUE APARECIDO BORTHOLAZZI</t>
  </si>
  <si>
    <t>WILLIAM EVANGELISTA TEODORO</t>
  </si>
  <si>
    <t>GUILHERME NEVES BORGES</t>
  </si>
  <si>
    <t>ALYSON VALERIO DE MORAIS FERRAZ</t>
  </si>
  <si>
    <t>C. PIRES EMPREENDIMENTOS IMOBILIÁRIOS LTDA</t>
  </si>
  <si>
    <t>Qtde Ativos</t>
  </si>
  <si>
    <t>BEATRIZ SAMARTANO CARNEIRO CANDIDO</t>
  </si>
  <si>
    <t>BRUNA DA SILVA</t>
  </si>
  <si>
    <t>ELIZEU GETAO</t>
  </si>
  <si>
    <t>WESLEY DE LIMA PICCIOLI</t>
  </si>
  <si>
    <t>CINTHYA DE CARVALHO SOVENHI DIAS</t>
  </si>
  <si>
    <t>ANDERSON FRANCO GIL</t>
  </si>
  <si>
    <t>JUVENAL TENORIO DA ROCHA</t>
  </si>
  <si>
    <t>LUCIVANA DOS SANTOS</t>
  </si>
  <si>
    <t>BRUNO CESAR BOZELLI</t>
  </si>
  <si>
    <t>RENATO DE MORAIS SILVA</t>
  </si>
  <si>
    <t>-</t>
  </si>
  <si>
    <t>recuperado</t>
  </si>
  <si>
    <r>
      <rPr>
        <sz val="11"/>
        <color rgb="FF000000"/>
        <rFont val="Calibri"/>
        <family val="2"/>
      </rPr>
      <t>%</t>
    </r>
    <r>
      <rPr>
        <b/>
        <sz val="11"/>
        <color rgb="FF000000"/>
        <rFont val="Calibri"/>
        <family val="2"/>
      </rPr>
      <t xml:space="preserve"> Vendas</t>
    </r>
  </si>
  <si>
    <t>ROBERTO LUIZ REYS LOPEZ</t>
  </si>
  <si>
    <t>KARLA CAROLINA CARNIETTO TEODORO</t>
  </si>
  <si>
    <t>ROBERTA ALINE SCATAMBURGO</t>
  </si>
  <si>
    <t>THAIS FERNANDA VASCONCELOS DOS SANTOS</t>
  </si>
  <si>
    <t>EMERSON SOUZA DE ALMEIDA</t>
  </si>
  <si>
    <t>XI - A</t>
  </si>
  <si>
    <t>XXV - A</t>
  </si>
  <si>
    <t>XVIII - A</t>
  </si>
  <si>
    <t>XVIII - B</t>
  </si>
  <si>
    <t>XLI - A</t>
  </si>
  <si>
    <t>12 - A</t>
  </si>
  <si>
    <t>MARIO REGIS MARTINS DOS SANTOS</t>
  </si>
  <si>
    <t>MARIO REGISMARTINS DOS SANTOS</t>
  </si>
  <si>
    <t xml:space="preserve">KARLA CAROLINA CARNIETTO TEODORO </t>
  </si>
  <si>
    <t>XI_25</t>
  </si>
  <si>
    <t>XXX_37</t>
  </si>
  <si>
    <t>XXXIII_12</t>
  </si>
  <si>
    <t>XVIII_17</t>
  </si>
  <si>
    <t>XXXV_28</t>
  </si>
  <si>
    <t>XVI_26</t>
  </si>
  <si>
    <t>XVI_27</t>
  </si>
  <si>
    <t>XLIX_9</t>
  </si>
  <si>
    <t>X_27</t>
  </si>
  <si>
    <t>EXT01</t>
  </si>
  <si>
    <t>ARANGUA</t>
  </si>
  <si>
    <t xml:space="preserve">Ações Passivas </t>
  </si>
  <si>
    <t xml:space="preserve">SERASA - Preparação - RI </t>
  </si>
  <si>
    <t>SERASA - Preparação - RI</t>
  </si>
  <si>
    <t>Vendidos</t>
  </si>
  <si>
    <t>Rótulos de Linha</t>
  </si>
  <si>
    <t>(vazio)</t>
  </si>
  <si>
    <t>Total Geral</t>
  </si>
  <si>
    <t>Soma de VALOR COMPRA ATUALIZADO</t>
  </si>
  <si>
    <t>Soma de SALDO DEVEDOR</t>
  </si>
  <si>
    <t xml:space="preserve">Atraso Acima de 90 dias </t>
  </si>
  <si>
    <t>Média de LTV Compra</t>
  </si>
  <si>
    <t>C.C FIGUEIRA DOS SANTSO FOGÕES</t>
  </si>
  <si>
    <t>WELLINGTON CORONADO FABRI</t>
  </si>
  <si>
    <t>DIEGO RODRIGUES</t>
  </si>
  <si>
    <t>LUCCAS PACHECO SILVEIRA</t>
  </si>
  <si>
    <t>THIAGO PASQUETTO BURANELLO</t>
  </si>
  <si>
    <t>PATRICIA DE PAULA PADILHA</t>
  </si>
  <si>
    <t>SERASA - Ação Ativa - Execução Judicial</t>
  </si>
  <si>
    <t>QTDE Estoque</t>
  </si>
  <si>
    <t>MARCELO BUOSI BRIANEZI</t>
  </si>
  <si>
    <t>FERNANDA MOURA DE OLIVEIRA GONCALVES</t>
  </si>
  <si>
    <t>LEWI PETHRUS COSTA</t>
  </si>
  <si>
    <t>DANILO HENRIQUE DE OLIVEIRA</t>
  </si>
  <si>
    <t>PAULO SERGIO BARBOSA</t>
  </si>
  <si>
    <t>VITOR DAUDT DE MELLO</t>
  </si>
  <si>
    <t>VAGNER RODRIGO CREPALDI</t>
  </si>
  <si>
    <t>EMERSON FERREIRA DA CUNHA</t>
  </si>
  <si>
    <t>EDSON REINALDO ROSSINI</t>
  </si>
  <si>
    <t>LUIZ GUILHERME DE GOES</t>
  </si>
  <si>
    <t>GABRIEL FERNANDO CONSTANTINO</t>
  </si>
  <si>
    <t>SUN FLEX REPRESENTACOES COMERCIAIS LTDA</t>
  </si>
  <si>
    <t>GUSTAVO APARECIDO BRANDAO MEIRELES</t>
  </si>
  <si>
    <t>C. C. FIGUEIRA DOS SANTOS FOGOES - ME.</t>
  </si>
  <si>
    <t>IZAEL DE PAULA GUIMARAES</t>
  </si>
  <si>
    <t>TAINA APARECIDA SIMAO</t>
  </si>
  <si>
    <t>C. PIRES EMPREENDIMENTOS IMOBILIARIOS LTDA</t>
  </si>
  <si>
    <t>FELIPE PEREIRA SIMOES</t>
  </si>
  <si>
    <t>Total Inadimplencia</t>
  </si>
  <si>
    <t>SERASA - Passivas - Execução Judicial</t>
  </si>
  <si>
    <t>Ações Passivas -</t>
  </si>
  <si>
    <t>GRACIELE APARECIDA BERNARDO</t>
  </si>
  <si>
    <t>VANIA BALDUINO FARIAS</t>
  </si>
  <si>
    <t>RODRIGO ALBUQUERQUE LINDOLFO</t>
  </si>
  <si>
    <t>THIAGO RUFINO DE OLIVEIRA GOMES</t>
  </si>
  <si>
    <t>GILBERTO FELIPE CAPELOTO</t>
  </si>
  <si>
    <t>NATANY CARDOZO RODRIGUES</t>
  </si>
  <si>
    <t>GIZELA APARECIDA LOPES DE OLIVEIRA</t>
  </si>
  <si>
    <t>ELTON JOHANATA GALDINI MATUO</t>
  </si>
  <si>
    <t>ANDERSON WILLIANS DE SOUZA CORTEZ</t>
  </si>
  <si>
    <t>LEANDRO RENE GOMES</t>
  </si>
  <si>
    <t>ALEXANDRE HENRIQUE FERREIRA FARIAS</t>
  </si>
  <si>
    <t>ROBERTO CARLOS DE OLIVEIRA</t>
  </si>
  <si>
    <t>ALEXANDRE MARTINS MOREIRA</t>
  </si>
  <si>
    <t>FABRICIO DELFINO DOS SANTOS</t>
  </si>
  <si>
    <t>ALEX CAETANO DA SILVA</t>
  </si>
  <si>
    <t>DIEGO RODRIGUES VIEIRA</t>
  </si>
  <si>
    <t>JOAO PAULO PASCHOALETO FRATELLI</t>
  </si>
  <si>
    <t>081/180</t>
  </si>
  <si>
    <t>001/015</t>
  </si>
  <si>
    <t>002/015</t>
  </si>
  <si>
    <t>LEANDRO DA SILVA CREPALDI</t>
  </si>
  <si>
    <t>Ação Ativa - Execução Judicial</t>
  </si>
  <si>
    <t xml:space="preserve">SERASA - Ação Ativa - RI </t>
  </si>
  <si>
    <t>SERASA -Em preparação Ações Ativas - RI</t>
  </si>
  <si>
    <t>Ação Ativa</t>
  </si>
  <si>
    <t xml:space="preserve">Ação Ativa </t>
  </si>
  <si>
    <t>Ação Passiva</t>
  </si>
  <si>
    <t>ELIO JOSE DE SOUZA</t>
  </si>
  <si>
    <t>WALDIR PITELLA</t>
  </si>
  <si>
    <t>JANETE URBICK</t>
  </si>
  <si>
    <t>TAIS MOREIRA DE MENEZES</t>
  </si>
  <si>
    <t>BRUNO CARDOSO DE ALMEIDA</t>
  </si>
  <si>
    <t>RENATO ROBERTO MUNIZ DAVID</t>
  </si>
  <si>
    <t>GUSTAVO NEVES BOSSO</t>
  </si>
  <si>
    <t>VANESSA FRAGA DE ALMEIDA</t>
  </si>
  <si>
    <t>MARCELLE ZACARIAS SILVA TOLENTINO BEZERRA</t>
  </si>
  <si>
    <t>MARCIO MERINO DE LIMA</t>
  </si>
  <si>
    <t>NELSON LEITE DOS SANTOS FILHO</t>
  </si>
  <si>
    <t>LUIS GUSTAVO DOS SANTOS SAMPAIO</t>
  </si>
  <si>
    <t>ROBERTSON RODRIGUES</t>
  </si>
  <si>
    <t>WASHINGTON SOARES DE OLIVEIRA</t>
  </si>
  <si>
    <t>MIGUEL DA SILVA</t>
  </si>
  <si>
    <t>GABRIELLA MIDORI UENO MAZETI</t>
  </si>
  <si>
    <t>EDNEI LUCIO CORREIA</t>
  </si>
  <si>
    <t>MARCIO MERINO DE  LIMA</t>
  </si>
  <si>
    <t>Cidade/UF</t>
  </si>
  <si>
    <t>#Unidades</t>
  </si>
  <si>
    <t>Média m² Média R$/m²</t>
  </si>
  <si>
    <t>Evolução Obras</t>
  </si>
  <si>
    <t>Conclusão</t>
  </si>
  <si>
    <t>#Vendas</t>
  </si>
  <si>
    <t>#Estoque</t>
  </si>
  <si>
    <t>% Estoque</t>
  </si>
  <si>
    <t>% Vendas</t>
  </si>
  <si>
    <t>Estoque (R$MM)</t>
  </si>
  <si>
    <t>Estoque ultimas vendas (R$MM)</t>
  </si>
  <si>
    <t>#Recebíveis</t>
  </si>
  <si>
    <t>Recebiveis Estoque(R$MM)</t>
  </si>
  <si>
    <t>Recebíveis R$MM</t>
  </si>
  <si>
    <t>Contrato (R$MM)</t>
  </si>
  <si>
    <t>Valor Imóvel e LTV</t>
  </si>
  <si>
    <t>Vendas + Estoque</t>
  </si>
  <si>
    <t>Obras</t>
  </si>
  <si>
    <t>Londrina/PR</t>
  </si>
  <si>
    <t>271,54            658,93</t>
  </si>
  <si>
    <t>289,43    626,07</t>
  </si>
  <si>
    <t>278,74       605,84</t>
  </si>
  <si>
    <t>269,53      565,69</t>
  </si>
  <si>
    <t>252,75      553,91</t>
  </si>
  <si>
    <t>252,2                 626,48</t>
  </si>
  <si>
    <t>260,28       513,25</t>
  </si>
  <si>
    <t>258,81      476,25</t>
  </si>
  <si>
    <t>LTV (ultimas Vendas)</t>
  </si>
  <si>
    <t>Empreendimentos</t>
  </si>
  <si>
    <t># Contratos</t>
  </si>
  <si>
    <t># Direitos Creditórios Adimplidos</t>
  </si>
  <si>
    <t># Direitos Creditórios Inadimplidos</t>
  </si>
  <si>
    <t>Direitos Creditórios Adimplidos R$MM</t>
  </si>
  <si>
    <t>Direitos Creditórios Inadimplidos R$MM</t>
  </si>
  <si>
    <t>Total Direitos Creditórios R$MM</t>
  </si>
  <si>
    <t>JAN</t>
  </si>
  <si>
    <t>FEV</t>
  </si>
  <si>
    <t>MAR</t>
  </si>
  <si>
    <t>ABRIL</t>
  </si>
  <si>
    <t>MAIO</t>
  </si>
  <si>
    <t>JUNHO</t>
  </si>
  <si>
    <t>#Inadimplidos</t>
  </si>
  <si>
    <t>Valor Contratos</t>
  </si>
  <si>
    <t>Valor Inadimplidos</t>
  </si>
  <si>
    <t xml:space="preserve">                             -  </t>
  </si>
  <si>
    <t xml:space="preserve">                           -  </t>
  </si>
  <si>
    <t>030/180</t>
  </si>
  <si>
    <t>080/180</t>
  </si>
  <si>
    <t>total</t>
  </si>
  <si>
    <t>Total Saldo</t>
  </si>
  <si>
    <t>Total Parcelas R$</t>
  </si>
  <si>
    <t>VALDEIR MAGALHAES</t>
  </si>
  <si>
    <t>RAFAELA MAICHAK DE CARVALHO</t>
  </si>
  <si>
    <t>CLEONILDO DA SILVA POGGIAN</t>
  </si>
  <si>
    <t>RODOLFO VINNICIUS DA SILVA EVANGELISTA</t>
  </si>
  <si>
    <t>THIAGO AUGUSTO RIGONI</t>
  </si>
  <si>
    <t>AUGUSTO CESAR DA SILVA MOREIRA</t>
  </si>
  <si>
    <t>FRANCISCO FERNANDES JUNIOR</t>
  </si>
  <si>
    <t>DOUGLAS DUARTE VIEIRA</t>
  </si>
  <si>
    <t>MARCOS ANTUNES LOPES</t>
  </si>
  <si>
    <t>LEANDRO LINO DA SILVA</t>
  </si>
  <si>
    <t>RONALDO GONCALVES</t>
  </si>
  <si>
    <t>LUCIANE APARECIDA DE PAULA</t>
  </si>
  <si>
    <t>FERNANDO IMANISHI</t>
  </si>
  <si>
    <t>RGS CONSULTORIA EMPRESARIAL E ADMINISTRADORA DE BENS LTDA</t>
  </si>
  <si>
    <t>084/180</t>
  </si>
  <si>
    <t>007/013</t>
  </si>
  <si>
    <t>Rótulos de Coluna</t>
  </si>
  <si>
    <t>Contagem de CLIENTE</t>
  </si>
  <si>
    <t>ATRASO</t>
  </si>
  <si>
    <t>INADIMPLENTE</t>
  </si>
  <si>
    <t>Total Contagem de CLIENTE</t>
  </si>
  <si>
    <t>Total Soma de SALDO DEVEDOR</t>
  </si>
  <si>
    <t>Soma de VALOR EM ATRASO</t>
  </si>
  <si>
    <t>RODOLFO ALEXANDRE HILDEBRANDT</t>
  </si>
  <si>
    <t>ELCIO LUIZ DOS SANTOS</t>
  </si>
  <si>
    <t>EVERTON JULIANO D'ADA</t>
  </si>
  <si>
    <t>MARISTELA ROMAGNOLE DE ARAUJO JURKEVICZ</t>
  </si>
  <si>
    <t>ALEXANDRE  GREIN</t>
  </si>
  <si>
    <t>ALEXANDRE CASSIO BENITES DA SILVA</t>
  </si>
  <si>
    <t>GUILHERME RODRIGUES SPOLADOR</t>
  </si>
  <si>
    <t>VINICIUS NOGUEIRA DE PAULA</t>
  </si>
  <si>
    <t>GIOVANNA NATALIE RIBEIRO DE CASTRO</t>
  </si>
  <si>
    <t>KAUANA TORRES DE SOUSA</t>
  </si>
  <si>
    <t>MARCO ANTONIO DE OLIVEIRA</t>
  </si>
  <si>
    <t>SIMEIRE ANTONELI DOS SANTOS FALEIROS</t>
  </si>
  <si>
    <t>MATEUS HOFSTATTER</t>
  </si>
  <si>
    <t>WESLY APARECIDO WEBER</t>
  </si>
  <si>
    <t>MURILO COMAR ALENCAR</t>
  </si>
  <si>
    <t>HERCULES MARCIO IDALINO</t>
  </si>
  <si>
    <t>RENATA FERREIRA GALINDO</t>
  </si>
  <si>
    <t>MATEUS REZENDE DE OLIVEIRA</t>
  </si>
  <si>
    <t>BRUNO BARBALHO SILVA</t>
  </si>
  <si>
    <t xml:space="preserve">GUSTAVO SHINJI YAMASHIRO SATO </t>
  </si>
  <si>
    <t>ALEXANDRE GREIN</t>
  </si>
  <si>
    <t>GUSTAVO SHINJI YAMASHIRO SATO</t>
  </si>
  <si>
    <t>SIMEIRE ANTONIELI DOS SANTOS FALEIROS</t>
  </si>
  <si>
    <t>009/180</t>
  </si>
  <si>
    <t>Ação Ativa - suspenso</t>
  </si>
  <si>
    <t>SERASA - Ações Ativas - suspenso /Passiva</t>
  </si>
  <si>
    <t>Ações Passivas / AtIva em preparação- RI</t>
  </si>
  <si>
    <t>XXI_4</t>
  </si>
  <si>
    <t>XXII_31</t>
  </si>
  <si>
    <t>XXIII_19</t>
  </si>
  <si>
    <t>XXV - A_18</t>
  </si>
  <si>
    <t>XI_13</t>
  </si>
  <si>
    <t>XXX_47</t>
  </si>
  <si>
    <t>XXXIII_8</t>
  </si>
  <si>
    <t>XXXIV_11</t>
  </si>
  <si>
    <t>VIII_14</t>
  </si>
  <si>
    <t>VIII_26</t>
  </si>
  <si>
    <t>XVIII_5</t>
  </si>
  <si>
    <t>XVIII_13</t>
  </si>
  <si>
    <t>XVIII_18</t>
  </si>
  <si>
    <t>IX_1</t>
  </si>
  <si>
    <t>XVI_3</t>
  </si>
  <si>
    <t>XLI - A_2</t>
  </si>
  <si>
    <t>XLIII_7</t>
  </si>
  <si>
    <t>XXXIX_20</t>
  </si>
  <si>
    <t>XXXVII_7</t>
  </si>
  <si>
    <t>XXXVIII_22</t>
  </si>
  <si>
    <t>XIV_11</t>
  </si>
  <si>
    <t>XIV_12</t>
  </si>
  <si>
    <t>XVI_14</t>
  </si>
  <si>
    <t>XVI_17</t>
  </si>
  <si>
    <t>XLIV_5</t>
  </si>
  <si>
    <t>XLVII_22</t>
  </si>
  <si>
    <t>XLVII_23</t>
  </si>
  <si>
    <t>XLVII_24</t>
  </si>
  <si>
    <t>XLVIII_21</t>
  </si>
  <si>
    <t>BRUNO CESAR TAZIMA</t>
  </si>
  <si>
    <t>VALDEMIR RICCI</t>
  </si>
  <si>
    <t>LUIZ NOGUEIRA MONTEIRO NETO</t>
  </si>
  <si>
    <t>ADILSON HENRIQUE SANCHES</t>
  </si>
  <si>
    <t>SERGIO AUGUSTO POLO</t>
  </si>
  <si>
    <t>CELEBE GUEDES SILVA</t>
  </si>
  <si>
    <t>MARGARET ECHES URBANEJA</t>
  </si>
  <si>
    <t>KATIA MUNARETTO</t>
  </si>
  <si>
    <t>ELISA ASSUNÇAO MOZZAQUATRO</t>
  </si>
  <si>
    <t>MARCELO VINICIUS DE SOUSA NANTES</t>
  </si>
  <si>
    <t>EDSON LUIZ ROMA GNOLO</t>
  </si>
  <si>
    <t>ANA PAULA GRACINDO</t>
  </si>
  <si>
    <t>GUILHERME STELLBRINK</t>
  </si>
  <si>
    <t>WANDERLEI ROSA</t>
  </si>
  <si>
    <t>MARCELO HENRIQUE PELEGRINI ROCHA</t>
  </si>
  <si>
    <t>LUIZ NOGUEIRA MONTEIRO NETTO</t>
  </si>
  <si>
    <t>CALEBE GUEDES SILVA</t>
  </si>
  <si>
    <t>R$ estoque</t>
  </si>
  <si>
    <t>R$ M² Estoque</t>
  </si>
  <si>
    <t>022/180</t>
  </si>
  <si>
    <t>016/180</t>
  </si>
  <si>
    <t>THAIS ALMEIDA PRADO MONTEIRO</t>
  </si>
  <si>
    <t>DOLORES CRISTINA MANPRIM</t>
  </si>
  <si>
    <t>MARIA ANGELA ALVES NUNES AVERSA</t>
  </si>
  <si>
    <t>VIVIANE NAGILA CAMARGO ABDO</t>
  </si>
  <si>
    <t>EDUARDO ALVES NUNES AVERSA</t>
  </si>
  <si>
    <t>EDUARDO FERNANDES DA SILVA NETO</t>
  </si>
  <si>
    <t>JORGE LUIZ DE OLIVEIRA LOVATO</t>
  </si>
  <si>
    <t>WENDEL ROGERIO DANTAS TSUZAKI</t>
  </si>
  <si>
    <t>GUILHERME SOUZA MIGUELETE</t>
  </si>
  <si>
    <t>PAULO MENDONÇA FELIX PESSOA</t>
  </si>
  <si>
    <t>VIEIRA &amp; NUNES CONSTRUÇÕES</t>
  </si>
  <si>
    <t>CARLOS EDUARDO BAZANI CABRAL DE MELO</t>
  </si>
  <si>
    <t>ROMILDA PEREIRA PINHO</t>
  </si>
  <si>
    <t>ARIEL LUCCHESI DELIBERADOR</t>
  </si>
  <si>
    <t>JGS COMERCIO E EXPORTACAO DE OBRAS ARTISTICAS LTDA</t>
  </si>
  <si>
    <t>SORAYA FERNANDES DA SILVA ARAUJO</t>
  </si>
  <si>
    <t>EDUARDO GUIMARAES REZENDE JUNIOR</t>
  </si>
  <si>
    <t>DIRLEY SOARES DOS SANTOS</t>
  </si>
  <si>
    <t>ELCIO LUIS BASSI</t>
  </si>
  <si>
    <t>RAFAEL COMAR ALENCAR</t>
  </si>
  <si>
    <t>FRANCISCO CARLOS CABRAL DE MELO</t>
  </si>
  <si>
    <t>MARCOS ROBERTO RODRIGUES</t>
  </si>
  <si>
    <t>28/102020</t>
  </si>
  <si>
    <t>GLAUBER LOPES ARAUJO</t>
  </si>
  <si>
    <t>RENATO ZUNTINI MUNIZ MEIBORG</t>
  </si>
  <si>
    <t>ADRIANO RODRIGO MOLEIRO</t>
  </si>
  <si>
    <t>VIEIRA &amp; NUNES CONSTRUCOES</t>
  </si>
  <si>
    <t>JGS COMERCIO E EXPORTAÇÃO DE OBRAS ARTISTICAS LTDA</t>
  </si>
  <si>
    <t>SERASA - Ações Ativas</t>
  </si>
  <si>
    <t>ACORDO LOGOS</t>
  </si>
  <si>
    <t>EM NEGOCIAÇÃO</t>
  </si>
  <si>
    <t>ACORDO FERREIRA</t>
  </si>
  <si>
    <t>LARISSA BASSI PICONI</t>
  </si>
  <si>
    <t>EDUARDO GUIMARÃES REZENDE JUNIOR</t>
  </si>
  <si>
    <t>JOAO BATISTA DE LIMA</t>
  </si>
  <si>
    <t>FELIPE AKIO HOSHINO DE BARROS</t>
  </si>
  <si>
    <t>MARIA MAYUMI HOSHINO DE BARROS</t>
  </si>
  <si>
    <t>ANGELO MOZZAQUATRO</t>
  </si>
  <si>
    <t>MATHEUS ASTH DA SILVA</t>
  </si>
  <si>
    <t>DAVID CANDIDO DO NASCIMENTO</t>
  </si>
  <si>
    <t>CARLOS HENRIQUE ANDRADE BARBOSA</t>
  </si>
  <si>
    <t>RAUL RANGEL DE OLIVEIRA</t>
  </si>
  <si>
    <t>M &amp; R MADEIRAS LTDA - ME</t>
  </si>
  <si>
    <t>LUCIMARA LOPES DA SILVA</t>
  </si>
  <si>
    <t>MARCIO GEREMIAS</t>
  </si>
  <si>
    <t>(Tudo)</t>
  </si>
  <si>
    <t>Contagem de SALDO DEVEDOR</t>
  </si>
  <si>
    <t>Soma de VALOR DO CONTRATO</t>
  </si>
  <si>
    <t>VALDENILSON PEREIRA MEIRELES</t>
  </si>
  <si>
    <t>PEDRO LUIS ALVES DE OLIVEIRA</t>
  </si>
  <si>
    <t>FLAVIO GONCALVES DA COSTA</t>
  </si>
  <si>
    <t>VANESSA VALERO MOREIRA</t>
  </si>
  <si>
    <t>DANIEL REBOLO</t>
  </si>
  <si>
    <t>ANDERSON NOVAES CORDEIRO</t>
  </si>
  <si>
    <t>GIVANIA MARIA BERTIN MAZIERI</t>
  </si>
  <si>
    <t>EDER VASSOLER</t>
  </si>
  <si>
    <t>FABIANA BARBOSA DOS SANTOS</t>
  </si>
  <si>
    <t>VENDAS ULTIMOS 6 MESES</t>
  </si>
  <si>
    <t>BRUNO HENRIQUE FAGUNDES DE SOUZA</t>
  </si>
  <si>
    <t>MARIANY SOUZA CARVALHO</t>
  </si>
  <si>
    <t>DIEGO FRANCISCO PAES</t>
  </si>
  <si>
    <t>JOAO HENRIQUE ALVES</t>
  </si>
  <si>
    <t>RONALDO ALEXANDRE FERIATO</t>
  </si>
  <si>
    <t>MARCO ANTONIO VOLSE FERNANDES</t>
  </si>
  <si>
    <t>ELENICE CHICO CLAUDIO</t>
  </si>
  <si>
    <t>MARCELO NAVARRO MODESTO</t>
  </si>
  <si>
    <t>089/180</t>
  </si>
  <si>
    <t>001/001</t>
  </si>
  <si>
    <t>012/180</t>
  </si>
  <si>
    <t>007/008</t>
  </si>
  <si>
    <t>017/070</t>
  </si>
  <si>
    <t>027/040</t>
  </si>
  <si>
    <t>070/180</t>
  </si>
  <si>
    <t>018/180</t>
  </si>
  <si>
    <t>014/084</t>
  </si>
  <si>
    <t>031/180</t>
  </si>
  <si>
    <t>079/180</t>
  </si>
  <si>
    <t>072/120</t>
  </si>
  <si>
    <t>010/180</t>
  </si>
  <si>
    <t>THIARA RAMOS DA SILVA</t>
  </si>
  <si>
    <t>SIDNEY RUFINO BELARDI</t>
  </si>
  <si>
    <t>GLEYSON KELVIN NOGUEIRA QUEIROZ</t>
  </si>
  <si>
    <t>ANDERSON BATISTA DA SILVA</t>
  </si>
  <si>
    <t>JULIANO CEZAR GOUVEIA</t>
  </si>
  <si>
    <t>RENATO ZANIN</t>
  </si>
  <si>
    <t>ROBSON SAKAMOTO BATILANI</t>
  </si>
  <si>
    <t>ALESSANDRO LUIS LEITE</t>
  </si>
  <si>
    <t>MARCELO MIRANDA FERREIRA</t>
  </si>
  <si>
    <t>IZALTINO CELESTE</t>
  </si>
  <si>
    <t>MARCOS VINICIUS MAGALHAES BELIATO</t>
  </si>
  <si>
    <t>CRISTIANO BETIOL</t>
  </si>
  <si>
    <t>MIKAELE DA COSTA MOURA</t>
  </si>
  <si>
    <t>CLEMILDO DE OLIVEIRA</t>
  </si>
  <si>
    <t>090/180</t>
  </si>
  <si>
    <t>039/180</t>
  </si>
  <si>
    <t>023/180</t>
  </si>
  <si>
    <t>004/180</t>
  </si>
  <si>
    <t>001/120</t>
  </si>
  <si>
    <t>003/009</t>
  </si>
  <si>
    <t>082/180</t>
  </si>
  <si>
    <t>043/180</t>
  </si>
  <si>
    <t>008/180</t>
  </si>
  <si>
    <t>071/120</t>
  </si>
  <si>
    <t>073/120</t>
  </si>
  <si>
    <t>074/120</t>
  </si>
  <si>
    <t>075/120</t>
  </si>
  <si>
    <t>076/120</t>
  </si>
  <si>
    <t>077/120</t>
  </si>
  <si>
    <t>078/120</t>
  </si>
  <si>
    <t>079/120</t>
  </si>
  <si>
    <t>080/120</t>
  </si>
  <si>
    <t>081/120</t>
  </si>
  <si>
    <t>007/010</t>
  </si>
  <si>
    <t>082/120</t>
  </si>
  <si>
    <t>002/003</t>
  </si>
  <si>
    <t>082/178</t>
  </si>
  <si>
    <t>006/060</t>
  </si>
  <si>
    <t>004/169</t>
  </si>
  <si>
    <t>078/180</t>
  </si>
  <si>
    <t>023/070</t>
  </si>
  <si>
    <t>007/009</t>
  </si>
  <si>
    <t>016/084</t>
  </si>
  <si>
    <t>006/180</t>
  </si>
  <si>
    <t>003/024</t>
  </si>
  <si>
    <t>022/084</t>
  </si>
  <si>
    <t>003/108</t>
  </si>
  <si>
    <t>089/178</t>
  </si>
  <si>
    <t>087/180</t>
  </si>
  <si>
    <t>073/180</t>
  </si>
  <si>
    <t>032/180</t>
  </si>
  <si>
    <t>029/121</t>
  </si>
  <si>
    <t>030/121</t>
  </si>
  <si>
    <t>030/170</t>
  </si>
  <si>
    <t>011/180</t>
  </si>
  <si>
    <t>R$/ M2</t>
  </si>
  <si>
    <t>Média de VALOR DO CONTRATO</t>
  </si>
  <si>
    <t>Média de METRAGEM</t>
  </si>
  <si>
    <t>Atrasos</t>
  </si>
  <si>
    <t>Inadimplentes</t>
  </si>
  <si>
    <t>TOTAL GERAL</t>
  </si>
  <si>
    <t>FABIO HENRIQUE ALCANTARA FRANCISCO</t>
  </si>
  <si>
    <t>Média $$ M2</t>
  </si>
  <si>
    <t>Valor Médio das ultimas (6 meses) vendas</t>
  </si>
  <si>
    <t>Média do m² Últimas Venda</t>
  </si>
  <si>
    <t>R$ Estoque Últimas Vendas</t>
  </si>
  <si>
    <t>R$ m² Últimas Vendas</t>
  </si>
  <si>
    <t>WILSON TAKASHI KOBAYASHI</t>
  </si>
  <si>
    <t>MARIANA LIE NAKAYAMA</t>
  </si>
  <si>
    <t>SILAS ODA</t>
  </si>
  <si>
    <t>EDUARDO AKIRA HIROTA</t>
  </si>
  <si>
    <t>ELIZEU ABEL TRINDADE</t>
  </si>
  <si>
    <t>RODRIGO CLIVATI SCERBO</t>
  </si>
  <si>
    <t>RENAN CAMPANA MARTINS</t>
  </si>
  <si>
    <t>RAFAEL STELLATO LIU</t>
  </si>
  <si>
    <t>JEFFERSON GONCALVES BUSONI</t>
  </si>
  <si>
    <t>SIRLEI RIBEIRO</t>
  </si>
  <si>
    <t>RAFAEL APARECIDO DE SOUZA</t>
  </si>
  <si>
    <t>LUCAS DONIZETTI BUENO DE CAMARGO</t>
  </si>
  <si>
    <t>GISELE MIYUKI KAWABATA</t>
  </si>
  <si>
    <t>SERES DE FATIMA PACHER</t>
  </si>
  <si>
    <t>VICTORIA FERNANDA LIMA MENDES</t>
  </si>
  <si>
    <t>MICHELLI GUERMANI</t>
  </si>
  <si>
    <t>HEVELIN MIKA MIYA</t>
  </si>
  <si>
    <t>JOSE MARCELO TEIXEIRA COSTA</t>
  </si>
  <si>
    <t>ROBERTO HIROYUKI HIRAYAMA</t>
  </si>
  <si>
    <t>LAURA PEREIRA DE OLIVEIRA</t>
  </si>
  <si>
    <t>RENATA PACHECO ABREU</t>
  </si>
  <si>
    <t>MARIA APARECIDA ARANDA MILAN</t>
  </si>
  <si>
    <t>WESLEY ROQUE SIQUEIRA</t>
  </si>
  <si>
    <t>PAULO HENRIQUE GOMES PERUSSI</t>
  </si>
  <si>
    <t>ROSEMARY MARIKO HIRAYAMA</t>
  </si>
  <si>
    <t>BRUNO SCUPINARI</t>
  </si>
  <si>
    <t>VIVIANE HELENA DA SILVA ALMEIDA</t>
  </si>
  <si>
    <t>IZABELA DE OLIVEIRA AMERICO</t>
  </si>
  <si>
    <t>LOURIVAL RODRIGUES INACIO</t>
  </si>
  <si>
    <t>LUIZ FERNANDO PORTELLO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</si>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</sst>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-* #,##0_-;\-* #,##0_-;_-* &quot;-&quot;??_-;_-@_-"/>
    <numFmt numFmtId="166" formatCode="mm/yyyy"/>
    <numFmt numFmtId="167" formatCode="[=0]&quot;-&quot;;General"/>
    <numFmt numFmtId="168" formatCode="dd\/mm\/yy"/>
    <numFmt numFmtId="169" formatCode="General_)"/>
    <numFmt numFmtId="170" formatCode="0.000_)"/>
    <numFmt numFmtId="171" formatCode="_(* #,##0.00_);_(* \(#,##0.00\);_(* &quot;-&quot;??_);_(@_)"/>
    <numFmt numFmtId="172" formatCode="_(&quot;$&quot;* #,##0.00_);_(&quot;$&quot;* \(#,##0.00\);_(&quot;$&quot;* &quot;-&quot;??_);_(@_)"/>
    <numFmt numFmtId="173" formatCode="&quot;R$&quot;#,##0_);\(&quot;R$&quot;#,##0\)"/>
    <numFmt numFmtId="174" formatCode="m\o\n\th\ d\,\ yyyy"/>
    <numFmt numFmtId="175" formatCode="#,##0,"/>
    <numFmt numFmtId="176" formatCode="#,##0,,"/>
    <numFmt numFmtId="177" formatCode="_([$€-2]* #,##0.00_);_([$€-2]* \(#,##0.00\);_([$€-2]* &quot;-&quot;??_)"/>
    <numFmt numFmtId="178" formatCode="_ [$€-2]\ * #,##0.00_ ;_ [$€-2]\ * \-#,##0.00_ ;_ [$€-2]\ * &quot;-&quot;??_ "/>
    <numFmt numFmtId="179" formatCode="#.00"/>
    <numFmt numFmtId="180" formatCode="#,#00"/>
    <numFmt numFmtId="181" formatCode="#."/>
    <numFmt numFmtId="182" formatCode="_-* #,##0\ _P_t_s_-;\-* #,##0\ _P_t_s_-;_-* &quot;-&quot;\ _P_t_s_-;_-@_-"/>
    <numFmt numFmtId="183" formatCode="_-* #,##0.00\ _P_t_s_-;\-* #,##0.00\ _P_t_s_-;_-* &quot;-&quot;??\ _P_t_s_-;_-@_-"/>
    <numFmt numFmtId="184" formatCode="#,##0%_);\(#,##0%\)"/>
    <numFmt numFmtId="185" formatCode="_(&quot;R$ &quot;* #,##0.00_);_(&quot;R$ &quot;* \(#,##0.00\);_(&quot;R$ &quot;* &quot;-&quot;??_);_(@_)"/>
    <numFmt numFmtId="186" formatCode="\$#,##0\ ;\(\$#,##0\)"/>
    <numFmt numFmtId="187" formatCode="_-* #,##0\ &quot;Pts&quot;_-;\-* #,##0\ &quot;Pts&quot;_-;_-* &quot;-&quot;\ &quot;Pts&quot;_-;_-@_-"/>
    <numFmt numFmtId="188" formatCode="_-* #,##0.00\ &quot;Pts&quot;_-;\-* #,##0.00\ &quot;Pts&quot;_-;_-* &quot;-&quot;??\ &quot;Pts&quot;_-;_-@_-"/>
    <numFmt numFmtId="189" formatCode="0.00_)"/>
    <numFmt numFmtId="190" formatCode="_(* #,##0.0_);_(* \(#,##0.0\);_(* &quot;-&quot;?_);_(@_)"/>
    <numFmt numFmtId="191" formatCode="dd\/mm\/yyyy"/>
  </numFmts>
  <fonts count="1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3" tint="0.3999755851924192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Arial"/>
      <family val="2"/>
    </font>
    <font>
      <sz val="11"/>
      <color indexed="8"/>
      <name val="Calibri"/>
      <family val="2"/>
    </font>
    <font>
      <sz val="12"/>
      <color indexed="9"/>
      <name val="Verdana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0"/>
      <name val="Courier"/>
      <family val="3"/>
    </font>
    <font>
      <sz val="12"/>
      <color indexed="20"/>
      <name val="Arial"/>
      <family val="2"/>
    </font>
    <font>
      <sz val="12"/>
      <color indexed="20"/>
      <name val="Verdana"/>
      <family val="2"/>
    </font>
    <font>
      <b/>
      <sz val="10"/>
      <name val="Arial"/>
      <family val="2"/>
    </font>
    <font>
      <sz val="8"/>
      <name val="SwitzerlandLight"/>
    </font>
    <font>
      <sz val="7"/>
      <name val="Times New Roman"/>
      <family val="1"/>
    </font>
    <font>
      <sz val="7"/>
      <name val="SwitzerlandLight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"/>
      <color indexed="8"/>
      <name val="Courier"/>
      <family val="3"/>
    </font>
    <font>
      <b/>
      <sz val="18"/>
      <name val="Arial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2"/>
      <color indexed="52"/>
      <name val="Verdana"/>
      <family val="2"/>
    </font>
    <font>
      <b/>
      <sz val="12"/>
      <color indexed="52"/>
      <name val="Arial"/>
      <family val="2"/>
    </font>
    <font>
      <b/>
      <sz val="12"/>
      <color indexed="10"/>
      <name val="Verdana"/>
      <family val="2"/>
    </font>
    <font>
      <b/>
      <sz val="10"/>
      <color indexed="52"/>
      <name val="Arial"/>
      <family val="2"/>
    </font>
    <font>
      <b/>
      <sz val="11"/>
      <color indexed="52"/>
      <name val="Calibri"/>
      <family val="2"/>
    </font>
    <font>
      <b/>
      <sz val="9"/>
      <name val="Times New Roman"/>
      <family val="1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2"/>
      <color indexed="9"/>
      <name val="Verdana"/>
      <family val="2"/>
    </font>
    <font>
      <b/>
      <sz val="12"/>
      <color indexed="9"/>
      <name val="Arial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13"/>
      <color indexed="9"/>
      <name val="Verdana"/>
      <family val="2"/>
    </font>
    <font>
      <b/>
      <sz val="10"/>
      <color indexed="54"/>
      <name val="Verdana"/>
      <family val="2"/>
    </font>
    <font>
      <sz val="11"/>
      <color indexed="8"/>
      <name val="Arial"/>
      <family val="2"/>
    </font>
    <font>
      <b/>
      <sz val="9"/>
      <name val="Arial"/>
      <family val="2"/>
    </font>
    <font>
      <sz val="11"/>
      <name val="Tms Rmn"/>
      <family val="1"/>
    </font>
    <font>
      <sz val="10"/>
      <name val="Trebuchet MS"/>
      <family val="2"/>
    </font>
    <font>
      <sz val="12"/>
      <name val="Arial"/>
      <family val="2"/>
    </font>
    <font>
      <sz val="9"/>
      <color rgb="FF000000"/>
      <name val="Arial"/>
      <family val="2"/>
    </font>
    <font>
      <sz val="11"/>
      <name val="Book Antiqua"/>
      <family val="1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i/>
      <sz val="12"/>
      <color indexed="23"/>
      <name val="Arial"/>
      <family val="2"/>
    </font>
    <font>
      <i/>
      <sz val="12"/>
      <color indexed="23"/>
      <name val="Verdana"/>
      <family val="2"/>
    </font>
    <font>
      <sz val="12"/>
      <color indexed="17"/>
      <name val="Arial"/>
      <family val="2"/>
    </font>
    <font>
      <sz val="12"/>
      <color indexed="17"/>
      <name val="Verdana"/>
      <family val="2"/>
    </font>
    <font>
      <b/>
      <sz val="15"/>
      <color indexed="56"/>
      <name val="Verdana"/>
      <family val="2"/>
    </font>
    <font>
      <b/>
      <sz val="15"/>
      <color indexed="56"/>
      <name val="Arial"/>
      <family val="2"/>
    </font>
    <font>
      <b/>
      <sz val="15"/>
      <color indexed="62"/>
      <name val="Verdana"/>
      <family val="2"/>
    </font>
    <font>
      <b/>
      <sz val="15"/>
      <color indexed="49"/>
      <name val="Verdana"/>
      <family val="2"/>
    </font>
    <font>
      <b/>
      <sz val="15"/>
      <color indexed="49"/>
      <name val="Arial"/>
      <family val="2"/>
    </font>
    <font>
      <b/>
      <sz val="13"/>
      <color indexed="56"/>
      <name val="Verdana"/>
      <family val="2"/>
    </font>
    <font>
      <b/>
      <sz val="13"/>
      <color indexed="56"/>
      <name val="Arial"/>
      <family val="2"/>
    </font>
    <font>
      <b/>
      <sz val="13"/>
      <color indexed="62"/>
      <name val="Verdana"/>
      <family val="2"/>
    </font>
    <font>
      <b/>
      <sz val="13"/>
      <color indexed="49"/>
      <name val="Verdana"/>
      <family val="2"/>
    </font>
    <font>
      <b/>
      <sz val="13"/>
      <color indexed="49"/>
      <name val="Arial"/>
      <family val="2"/>
    </font>
    <font>
      <b/>
      <sz val="11"/>
      <color indexed="56"/>
      <name val="Verdana"/>
      <family val="2"/>
    </font>
    <font>
      <b/>
      <sz val="11"/>
      <color indexed="56"/>
      <name val="Arial"/>
      <family val="2"/>
    </font>
    <font>
      <b/>
      <sz val="11"/>
      <color indexed="62"/>
      <name val="Verdana"/>
      <family val="2"/>
    </font>
    <font>
      <b/>
      <sz val="11"/>
      <color indexed="49"/>
      <name val="Verdana"/>
      <family val="2"/>
    </font>
    <font>
      <b/>
      <sz val="11"/>
      <color indexed="49"/>
      <name val="Arial"/>
      <family val="2"/>
    </font>
    <font>
      <b/>
      <sz val="1"/>
      <color indexed="8"/>
      <name val="Courier"/>
      <family val="3"/>
    </font>
    <font>
      <u/>
      <sz val="10"/>
      <color indexed="12"/>
      <name val="Arial"/>
      <family val="2"/>
    </font>
    <font>
      <u/>
      <sz val="10"/>
      <color indexed="20"/>
      <name val="Arial"/>
      <family val="2"/>
    </font>
    <font>
      <u/>
      <sz val="10"/>
      <color indexed="36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62"/>
      <name val="Verdana"/>
      <family val="2"/>
    </font>
    <font>
      <sz val="12"/>
      <color indexed="62"/>
      <name val="Arial"/>
      <family val="2"/>
    </font>
    <font>
      <sz val="12"/>
      <color indexed="54"/>
      <name val="Arial"/>
      <family val="2"/>
    </font>
    <font>
      <sz val="12"/>
      <color indexed="54"/>
      <name val="Verdana"/>
      <family val="2"/>
    </font>
    <font>
      <sz val="12"/>
      <color indexed="52"/>
      <name val="Arial"/>
      <family val="2"/>
    </font>
    <font>
      <sz val="12"/>
      <color indexed="10"/>
      <name val="Verdana"/>
      <family val="2"/>
    </font>
    <font>
      <sz val="12"/>
      <color indexed="52"/>
      <name val="Verdana"/>
      <family val="2"/>
    </font>
    <font>
      <sz val="11"/>
      <name val="Times New Roman"/>
      <family val="1"/>
    </font>
    <font>
      <sz val="12"/>
      <color theme="1"/>
      <name val="Calibri"/>
      <family val="2"/>
      <charset val="134"/>
      <scheme val="minor"/>
    </font>
    <font>
      <sz val="8"/>
      <name val="Arial"/>
      <family val="2"/>
    </font>
    <font>
      <sz val="10"/>
      <color indexed="60"/>
      <name val="Arial"/>
      <family val="2"/>
    </font>
    <font>
      <sz val="11"/>
      <color indexed="60"/>
      <name val="Calibri"/>
      <family val="2"/>
    </font>
    <font>
      <sz val="12"/>
      <color indexed="60"/>
      <name val="Verdana"/>
      <family val="2"/>
    </font>
    <font>
      <sz val="12"/>
      <color indexed="60"/>
      <name val="Arial"/>
      <family val="2"/>
    </font>
    <font>
      <sz val="12"/>
      <color indexed="19"/>
      <name val="Verdana"/>
      <family val="2"/>
    </font>
    <font>
      <sz val="12"/>
      <color indexed="19"/>
      <name val="Arial"/>
      <family val="2"/>
    </font>
    <font>
      <b/>
      <i/>
      <sz val="16"/>
      <name val="Helv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Verdana"/>
      <family val="2"/>
    </font>
    <font>
      <sz val="10"/>
      <color indexed="8"/>
      <name val="MS Sans Serif"/>
      <family val="2"/>
    </font>
    <font>
      <sz val="10"/>
      <color theme="1"/>
      <name val="Univers 45 Light"/>
      <family val="2"/>
    </font>
    <font>
      <sz val="11"/>
      <color theme="1"/>
      <name val="Spranq eco sans"/>
      <family val="2"/>
    </font>
    <font>
      <sz val="12"/>
      <color theme="1"/>
      <name val="Calibri"/>
      <family val="2"/>
      <charset val="128"/>
      <scheme val="minor"/>
    </font>
    <font>
      <b/>
      <i/>
      <sz val="12"/>
      <color indexed="8"/>
      <name val="Arial"/>
      <family val="2"/>
    </font>
    <font>
      <b/>
      <sz val="11"/>
      <color indexed="63"/>
      <name val="Calibri"/>
      <family val="2"/>
    </font>
    <font>
      <sz val="10"/>
      <name val="MS Sans Serif"/>
      <family val="2"/>
    </font>
    <font>
      <b/>
      <sz val="12"/>
      <color indexed="8"/>
      <name val="Times New Roman"/>
      <family val="1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theme="3"/>
      <name val="Calibri"/>
      <family val="2"/>
      <charset val="128"/>
      <scheme val="minor"/>
    </font>
    <font>
      <b/>
      <sz val="15"/>
      <color indexed="56"/>
      <name val="Calibri"/>
      <family val="2"/>
    </font>
    <font>
      <b/>
      <sz val="13"/>
      <color theme="3"/>
      <name val="Calibri"/>
      <family val="2"/>
      <charset val="128"/>
      <scheme val="minor"/>
    </font>
    <font>
      <b/>
      <sz val="13"/>
      <color indexed="56"/>
      <name val="Calibri"/>
      <family val="2"/>
    </font>
    <font>
      <b/>
      <sz val="11"/>
      <color theme="3"/>
      <name val="Calibri"/>
      <family val="2"/>
      <charset val="128"/>
      <scheme val="minor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name val="Calibri"/>
      <family val="2"/>
      <scheme val="minor"/>
    </font>
    <font>
      <sz val="10"/>
      <color indexed="8"/>
      <name val="Arial"/>
      <family val="2"/>
    </font>
    <font>
      <sz val="7"/>
      <color rgb="FF000000"/>
      <name val="Gotham"/>
      <family val="3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6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1"/>
      <color theme="0" tint="-0.34998626667073579"/>
      <name val="Calibri"/>
      <family val="2"/>
      <scheme val="minor"/>
    </font>
    <font>
      <sz val="11"/>
      <color rgb="FF00B050"/>
      <name val="Calibri"/>
      <family val="2"/>
      <scheme val="minor"/>
    </font>
  </fonts>
  <fills count="7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18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8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5"/>
      </patternFill>
    </fill>
    <fill>
      <patternFill patternType="solid">
        <fgColor indexed="54"/>
      </patternFill>
    </fill>
    <fill>
      <patternFill patternType="solid">
        <fgColor rgb="FF538DD5"/>
        <bgColor indexed="64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E3E4E7"/>
      </patternFill>
    </fill>
    <fill>
      <patternFill patternType="solid">
        <fgColor rgb="FFF5F5F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4" tint="0.399945066682943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3" tint="0.79998168889431442"/>
      </left>
      <right/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theme="4" tint="0.39994506668294322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4" tint="0.39994506668294322"/>
      </left>
      <right/>
      <top style="medium">
        <color theme="4" tint="0.39994506668294322"/>
      </top>
      <bottom/>
      <diagonal/>
    </border>
    <border>
      <left/>
      <right/>
      <top style="medium">
        <color theme="4" tint="0.3999450666829432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440">
    <xf numFmtId="0" fontId="0" fillId="0" borderId="0"/>
    <xf numFmtId="43" fontId="1" fillId="0" borderId="0" applyFont="0" applyFill="0" applyBorder="0" applyAlignment="0" applyProtection="0"/>
    <xf numFmtId="0" fontId="3" fillId="0" borderId="1" applyNumberFormat="0" applyFill="0" applyAlignment="0" applyProtection="0"/>
    <xf numFmtId="9" fontId="1" fillId="0" borderId="0" applyFont="0" applyFill="0" applyBorder="0" applyAlignment="0" applyProtection="0"/>
    <xf numFmtId="0" fontId="8" fillId="5" borderId="0" applyNumberFormat="0" applyBorder="0" applyAlignment="0" applyProtection="0"/>
    <xf numFmtId="164" fontId="1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6" fillId="0" borderId="0">
      <alignment vertical="top"/>
    </xf>
    <xf numFmtId="0" fontId="38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1" borderId="0" applyNumberFormat="0" applyBorder="0" applyAlignment="0" applyProtection="0"/>
    <xf numFmtId="0" fontId="39" fillId="42" borderId="0" applyNumberFormat="0" applyBorder="0" applyAlignment="0" applyProtection="0"/>
    <xf numFmtId="0" fontId="38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4" borderId="0" applyNumberFormat="0" applyBorder="0" applyAlignment="0" applyProtection="0"/>
    <xf numFmtId="0" fontId="39" fillId="45" borderId="0" applyNumberFormat="0" applyBorder="0" applyAlignment="0" applyProtection="0"/>
    <xf numFmtId="0" fontId="38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9" fillId="47" borderId="0" applyNumberFormat="0" applyBorder="0" applyAlignment="0" applyProtection="0"/>
    <xf numFmtId="0" fontId="38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8" fillId="49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49" borderId="0" applyNumberFormat="0" applyBorder="0" applyAlignment="0" applyProtection="0"/>
    <xf numFmtId="0" fontId="39" fillId="50" borderId="0" applyNumberFormat="0" applyBorder="0" applyAlignment="0" applyProtection="0"/>
    <xf numFmtId="0" fontId="38" fillId="42" borderId="0" applyNumberFormat="0" applyBorder="0" applyAlignment="0" applyProtection="0"/>
    <xf numFmtId="0" fontId="38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51" borderId="0" applyNumberFormat="0" applyBorder="0" applyAlignment="0" applyProtection="0"/>
    <xf numFmtId="0" fontId="38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8" fillId="47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7" borderId="0" applyNumberFormat="0" applyBorder="0" applyAlignment="0" applyProtection="0"/>
    <xf numFmtId="0" fontId="39" fillId="49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38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8" fillId="5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51" borderId="0" applyNumberFormat="0" applyBorder="0" applyAlignment="0" applyProtection="0"/>
    <xf numFmtId="0" fontId="39" fillId="42" borderId="0" applyNumberFormat="0" applyBorder="0" applyAlignment="0" applyProtection="0"/>
    <xf numFmtId="0" fontId="38" fillId="45" borderId="0" applyNumberFormat="0" applyBorder="0" applyAlignment="0" applyProtection="0"/>
    <xf numFmtId="0" fontId="38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4" borderId="0" applyNumberFormat="0" applyBorder="0" applyAlignment="0" applyProtection="0"/>
    <xf numFmtId="0" fontId="38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8" fillId="5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53" borderId="0" applyNumberFormat="0" applyBorder="0" applyAlignment="0" applyProtection="0"/>
    <xf numFmtId="0" fontId="39" fillId="47" borderId="0" applyNumberFormat="0" applyBorder="0" applyAlignment="0" applyProtection="0"/>
    <xf numFmtId="0" fontId="38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8" fillId="43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43" borderId="0" applyNumberFormat="0" applyBorder="0" applyAlignment="0" applyProtection="0"/>
    <xf numFmtId="0" fontId="39" fillId="54" borderId="0" applyNumberFormat="0" applyBorder="0" applyAlignment="0" applyProtection="0"/>
    <xf numFmtId="0" fontId="38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8" fillId="5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51" borderId="0" applyNumberFormat="0" applyBorder="0" applyAlignment="0" applyProtection="0"/>
    <xf numFmtId="0" fontId="39" fillId="42" borderId="0" applyNumberFormat="0" applyBorder="0" applyAlignment="0" applyProtection="0"/>
    <xf numFmtId="0" fontId="38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8" fillId="47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7" borderId="0" applyNumberFormat="0" applyBorder="0" applyAlignment="0" applyProtection="0"/>
    <xf numFmtId="0" fontId="39" fillId="4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1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1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1" fillId="5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5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5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1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1" fillId="55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55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55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1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1" fillId="4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1" fillId="51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1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1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1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1" fillId="44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4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4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4" fillId="56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4" fillId="4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4" fillId="52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43" fillId="58" borderId="0" applyNumberFormat="0" applyBorder="0" applyAlignment="0" applyProtection="0"/>
    <xf numFmtId="0" fontId="43" fillId="58" borderId="0" applyNumberFormat="0" applyBorder="0" applyAlignment="0" applyProtection="0"/>
    <xf numFmtId="0" fontId="44" fillId="58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4" fillId="59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43" fillId="60" borderId="0" applyNumberFormat="0" applyBorder="0" applyAlignment="0" applyProtection="0"/>
    <xf numFmtId="0" fontId="43" fillId="60" borderId="0" applyNumberFormat="0" applyBorder="0" applyAlignment="0" applyProtection="0"/>
    <xf numFmtId="0" fontId="44" fillId="60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41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1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1" fillId="5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5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5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1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2" fillId="64" borderId="0" applyNumberFormat="0" applyBorder="0" applyAlignment="0" applyProtection="0"/>
    <xf numFmtId="0" fontId="41" fillId="55" borderId="0" applyNumberFormat="0" applyBorder="0" applyAlignment="0" applyProtection="0"/>
    <xf numFmtId="0" fontId="41" fillId="65" borderId="0" applyNumberFormat="0" applyBorder="0" applyAlignment="0" applyProtection="0"/>
    <xf numFmtId="0" fontId="41" fillId="65" borderId="0" applyNumberFormat="0" applyBorder="0" applyAlignment="0" applyProtection="0"/>
    <xf numFmtId="0" fontId="41" fillId="6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65" borderId="0" applyNumberFormat="0" applyBorder="0" applyAlignment="0" applyProtection="0"/>
    <xf numFmtId="0" fontId="41" fillId="65" borderId="0" applyNumberFormat="0" applyBorder="0" applyAlignment="0" applyProtection="0"/>
    <xf numFmtId="0" fontId="41" fillId="55" borderId="0" applyNumberFormat="0" applyBorder="0" applyAlignment="0" applyProtection="0"/>
    <xf numFmtId="0" fontId="41" fillId="65" borderId="0" applyNumberFormat="0" applyBorder="0" applyAlignment="0" applyProtection="0"/>
    <xf numFmtId="0" fontId="41" fillId="65" borderId="0" applyNumberFormat="0" applyBorder="0" applyAlignment="0" applyProtection="0"/>
    <xf numFmtId="0" fontId="41" fillId="6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65" borderId="0" applyNumberFormat="0" applyBorder="0" applyAlignment="0" applyProtection="0"/>
    <xf numFmtId="0" fontId="41" fillId="65" borderId="0" applyNumberFormat="0" applyBorder="0" applyAlignment="0" applyProtection="0"/>
    <xf numFmtId="0" fontId="41" fillId="55" borderId="0" applyNumberFormat="0" applyBorder="0" applyAlignment="0" applyProtection="0"/>
    <xf numFmtId="0" fontId="41" fillId="65" borderId="0" applyNumberFormat="0" applyBorder="0" applyAlignment="0" applyProtection="0"/>
    <xf numFmtId="0" fontId="41" fillId="65" borderId="0" applyNumberFormat="0" applyBorder="0" applyAlignment="0" applyProtection="0"/>
    <xf numFmtId="0" fontId="41" fillId="6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65" borderId="0" applyNumberFormat="0" applyBorder="0" applyAlignment="0" applyProtection="0"/>
    <xf numFmtId="0" fontId="41" fillId="65" borderId="0" applyNumberFormat="0" applyBorder="0" applyAlignment="0" applyProtection="0"/>
    <xf numFmtId="0" fontId="42" fillId="65" borderId="0" applyNumberFormat="0" applyBorder="0" applyAlignment="0" applyProtection="0"/>
    <xf numFmtId="0" fontId="42" fillId="65" borderId="0" applyNumberFormat="0" applyBorder="0" applyAlignment="0" applyProtection="0"/>
    <xf numFmtId="0" fontId="41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2" fillId="66" borderId="0" applyNumberFormat="0" applyBorder="0" applyAlignment="0" applyProtection="0"/>
    <xf numFmtId="0" fontId="42" fillId="66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1" fillId="59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1" fillId="63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3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3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5" fillId="0" borderId="35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7" fillId="48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8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8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6" fillId="43" borderId="0" applyNumberFormat="0" applyBorder="0" applyAlignment="0" applyProtection="0"/>
    <xf numFmtId="0" fontId="48" fillId="0" borderId="0" applyNumberFormat="0" applyFill="0" applyBorder="0" applyAlignment="0" applyProtection="0"/>
    <xf numFmtId="169" fontId="49" fillId="0" borderId="0">
      <alignment vertical="top"/>
    </xf>
    <xf numFmtId="0" fontId="48" fillId="0" borderId="0" applyNumberFormat="0" applyFill="0" applyBorder="0" applyProtection="0">
      <alignment horizontal="right"/>
    </xf>
    <xf numFmtId="169" fontId="50" fillId="0" borderId="0">
      <alignment horizontal="right"/>
    </xf>
    <xf numFmtId="0" fontId="51" fillId="0" borderId="36"/>
    <xf numFmtId="169" fontId="50" fillId="0" borderId="0">
      <alignment horizontal="left"/>
    </xf>
    <xf numFmtId="0" fontId="50" fillId="0" borderId="0">
      <alignment horizontal="left"/>
    </xf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3" fillId="46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3" fontId="54" fillId="0" borderId="0">
      <protection locked="0"/>
    </xf>
    <xf numFmtId="3" fontId="54" fillId="0" borderId="0">
      <protection locked="0"/>
    </xf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67" borderId="5" applyNumberFormat="0" applyProtection="0">
      <alignment horizontal="center" vertical="center" wrapText="1"/>
    </xf>
    <xf numFmtId="0" fontId="58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59" fillId="54" borderId="37" applyNumberFormat="0" applyAlignment="0" applyProtection="0"/>
    <xf numFmtId="0" fontId="60" fillId="50" borderId="37" applyNumberFormat="0" applyAlignment="0" applyProtection="0"/>
    <xf numFmtId="0" fontId="58" fillId="50" borderId="37" applyNumberFormat="0" applyAlignment="0" applyProtection="0"/>
    <xf numFmtId="0" fontId="58" fillId="50" borderId="37" applyNumberFormat="0" applyAlignment="0" applyProtection="0"/>
    <xf numFmtId="0" fontId="58" fillId="50" borderId="37" applyNumberFormat="0" applyAlignment="0" applyProtection="0"/>
    <xf numFmtId="0" fontId="60" fillId="50" borderId="37" applyNumberFormat="0" applyAlignment="0" applyProtection="0"/>
    <xf numFmtId="0" fontId="60" fillId="50" borderId="37" applyNumberFormat="0" applyAlignment="0" applyProtection="0"/>
    <xf numFmtId="0" fontId="60" fillId="50" borderId="37" applyNumberFormat="0" applyAlignment="0" applyProtection="0"/>
    <xf numFmtId="0" fontId="60" fillId="50" borderId="37" applyNumberFormat="0" applyAlignment="0" applyProtection="0"/>
    <xf numFmtId="0" fontId="60" fillId="50" borderId="37" applyNumberFormat="0" applyAlignment="0" applyProtection="0"/>
    <xf numFmtId="0" fontId="60" fillId="50" borderId="37" applyNumberFormat="0" applyAlignment="0" applyProtection="0"/>
    <xf numFmtId="0" fontId="58" fillId="50" borderId="37" applyNumberFormat="0" applyAlignment="0" applyProtection="0"/>
    <xf numFmtId="0" fontId="58" fillId="50" borderId="37" applyNumberFormat="0" applyAlignment="0" applyProtection="0"/>
    <xf numFmtId="0" fontId="60" fillId="50" borderId="37" applyNumberFormat="0" applyAlignment="0" applyProtection="0"/>
    <xf numFmtId="0" fontId="58" fillId="50" borderId="37" applyNumberFormat="0" applyAlignment="0" applyProtection="0"/>
    <xf numFmtId="0" fontId="58" fillId="50" borderId="37" applyNumberFormat="0" applyAlignment="0" applyProtection="0"/>
    <xf numFmtId="0" fontId="58" fillId="50" borderId="37" applyNumberFormat="0" applyAlignment="0" applyProtection="0"/>
    <xf numFmtId="0" fontId="60" fillId="50" borderId="37" applyNumberFormat="0" applyAlignment="0" applyProtection="0"/>
    <xf numFmtId="0" fontId="60" fillId="50" borderId="37" applyNumberFormat="0" applyAlignment="0" applyProtection="0"/>
    <xf numFmtId="0" fontId="60" fillId="50" borderId="37" applyNumberFormat="0" applyAlignment="0" applyProtection="0"/>
    <xf numFmtId="0" fontId="60" fillId="50" borderId="37" applyNumberFormat="0" applyAlignment="0" applyProtection="0"/>
    <xf numFmtId="0" fontId="60" fillId="50" borderId="37" applyNumberFormat="0" applyAlignment="0" applyProtection="0"/>
    <xf numFmtId="0" fontId="60" fillId="50" borderId="37" applyNumberFormat="0" applyAlignment="0" applyProtection="0"/>
    <xf numFmtId="0" fontId="58" fillId="50" borderId="37" applyNumberFormat="0" applyAlignment="0" applyProtection="0"/>
    <xf numFmtId="0" fontId="58" fillId="50" borderId="37" applyNumberFormat="0" applyAlignment="0" applyProtection="0"/>
    <xf numFmtId="0" fontId="60" fillId="50" borderId="37" applyNumberFormat="0" applyAlignment="0" applyProtection="0"/>
    <xf numFmtId="0" fontId="58" fillId="50" borderId="37" applyNumberFormat="0" applyAlignment="0" applyProtection="0"/>
    <xf numFmtId="0" fontId="58" fillId="50" borderId="37" applyNumberFormat="0" applyAlignment="0" applyProtection="0"/>
    <xf numFmtId="0" fontId="58" fillId="50" borderId="37" applyNumberFormat="0" applyAlignment="0" applyProtection="0"/>
    <xf numFmtId="0" fontId="60" fillId="50" borderId="37" applyNumberFormat="0" applyAlignment="0" applyProtection="0"/>
    <xf numFmtId="0" fontId="60" fillId="50" borderId="37" applyNumberFormat="0" applyAlignment="0" applyProtection="0"/>
    <xf numFmtId="0" fontId="60" fillId="50" borderId="37" applyNumberFormat="0" applyAlignment="0" applyProtection="0"/>
    <xf numFmtId="0" fontId="60" fillId="50" borderId="37" applyNumberFormat="0" applyAlignment="0" applyProtection="0"/>
    <xf numFmtId="0" fontId="60" fillId="50" borderId="37" applyNumberFormat="0" applyAlignment="0" applyProtection="0"/>
    <xf numFmtId="0" fontId="60" fillId="50" borderId="37" applyNumberFormat="0" applyAlignment="0" applyProtection="0"/>
    <xf numFmtId="0" fontId="58" fillId="50" borderId="37" applyNumberFormat="0" applyAlignment="0" applyProtection="0"/>
    <xf numFmtId="0" fontId="58" fillId="50" borderId="37" applyNumberFormat="0" applyAlignment="0" applyProtection="0"/>
    <xf numFmtId="0" fontId="59" fillId="50" borderId="37" applyNumberFormat="0" applyAlignment="0" applyProtection="0"/>
    <xf numFmtId="0" fontId="34" fillId="14" borderId="30" applyNumberFormat="0" applyAlignment="0" applyProtection="0"/>
    <xf numFmtId="0" fontId="34" fillId="14" borderId="30" applyNumberFormat="0" applyAlignment="0" applyProtection="0"/>
    <xf numFmtId="0" fontId="34" fillId="14" borderId="30" applyNumberFormat="0" applyAlignment="0" applyProtection="0"/>
    <xf numFmtId="0" fontId="34" fillId="14" borderId="30" applyNumberFormat="0" applyAlignment="0" applyProtection="0"/>
    <xf numFmtId="0" fontId="34" fillId="14" borderId="30" applyNumberFormat="0" applyAlignment="0" applyProtection="0"/>
    <xf numFmtId="0" fontId="61" fillId="54" borderId="37" applyNumberFormat="0" applyAlignment="0" applyProtection="0"/>
    <xf numFmtId="0" fontId="61" fillId="54" borderId="37" applyNumberFormat="0" applyAlignment="0" applyProtection="0"/>
    <xf numFmtId="0" fontId="62" fillId="54" borderId="37" applyNumberFormat="0" applyAlignment="0" applyProtection="0"/>
    <xf numFmtId="0" fontId="34" fillId="14" borderId="30" applyNumberFormat="0" applyAlignment="0" applyProtection="0"/>
    <xf numFmtId="0" fontId="34" fillId="14" borderId="30" applyNumberFormat="0" applyAlignment="0" applyProtection="0"/>
    <xf numFmtId="0" fontId="34" fillId="14" borderId="30" applyNumberFormat="0" applyAlignment="0" applyProtection="0"/>
    <xf numFmtId="0" fontId="34" fillId="14" borderId="30" applyNumberFormat="0" applyAlignment="0" applyProtection="0"/>
    <xf numFmtId="0" fontId="34" fillId="14" borderId="30" applyNumberFormat="0" applyAlignment="0" applyProtection="0"/>
    <xf numFmtId="0" fontId="34" fillId="14" borderId="30" applyNumberFormat="0" applyAlignment="0" applyProtection="0"/>
    <xf numFmtId="0" fontId="34" fillId="14" borderId="30" applyNumberFormat="0" applyAlignment="0" applyProtection="0"/>
    <xf numFmtId="0" fontId="63" fillId="0" borderId="0">
      <alignment vertical="center"/>
    </xf>
    <xf numFmtId="0" fontId="2" fillId="15" borderId="33" applyNumberFormat="0" applyAlignment="0" applyProtection="0"/>
    <xf numFmtId="0" fontId="2" fillId="15" borderId="33" applyNumberFormat="0" applyAlignment="0" applyProtection="0"/>
    <xf numFmtId="0" fontId="2" fillId="15" borderId="33" applyNumberFormat="0" applyAlignment="0" applyProtection="0"/>
    <xf numFmtId="0" fontId="2" fillId="15" borderId="33" applyNumberFormat="0" applyAlignment="0" applyProtection="0"/>
    <xf numFmtId="0" fontId="2" fillId="15" borderId="33" applyNumberFormat="0" applyAlignment="0" applyProtection="0"/>
    <xf numFmtId="0" fontId="64" fillId="68" borderId="38" applyNumberFormat="0" applyAlignment="0" applyProtection="0"/>
    <xf numFmtId="0" fontId="64" fillId="68" borderId="38" applyNumberFormat="0" applyAlignment="0" applyProtection="0"/>
    <xf numFmtId="0" fontId="65" fillId="68" borderId="38" applyNumberFormat="0" applyAlignment="0" applyProtection="0"/>
    <xf numFmtId="0" fontId="2" fillId="15" borderId="33" applyNumberFormat="0" applyAlignment="0" applyProtection="0"/>
    <xf numFmtId="0" fontId="2" fillId="15" borderId="33" applyNumberFormat="0" applyAlignment="0" applyProtection="0"/>
    <xf numFmtId="0" fontId="2" fillId="15" borderId="33" applyNumberFormat="0" applyAlignment="0" applyProtection="0"/>
    <xf numFmtId="0" fontId="2" fillId="15" borderId="33" applyNumberFormat="0" applyAlignment="0" applyProtection="0"/>
    <xf numFmtId="0" fontId="2" fillId="15" borderId="33" applyNumberFormat="0" applyAlignment="0" applyProtection="0"/>
    <xf numFmtId="0" fontId="2" fillId="15" borderId="33" applyNumberFormat="0" applyAlignment="0" applyProtection="0"/>
    <xf numFmtId="0" fontId="2" fillId="15" borderId="33" applyNumberFormat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66" fillId="0" borderId="39" applyNumberFormat="0" applyFill="0" applyAlignment="0" applyProtection="0"/>
    <xf numFmtId="0" fontId="66" fillId="0" borderId="39" applyNumberFormat="0" applyFill="0" applyAlignment="0" applyProtection="0"/>
    <xf numFmtId="0" fontId="67" fillId="0" borderId="39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68" fillId="68" borderId="40" applyNumberFormat="0" applyAlignment="0" applyProtection="0"/>
    <xf numFmtId="0" fontId="68" fillId="68" borderId="38" applyNumberFormat="0" applyAlignment="0" applyProtection="0"/>
    <xf numFmtId="0" fontId="69" fillId="68" borderId="38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38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38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38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38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8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9" fillId="68" borderId="40" applyNumberFormat="0" applyAlignment="0" applyProtection="0"/>
    <xf numFmtId="0" fontId="68" fillId="68" borderId="40" applyNumberFormat="0" applyAlignment="0" applyProtection="0"/>
    <xf numFmtId="0" fontId="68" fillId="68" borderId="40" applyNumberFormat="0" applyAlignment="0" applyProtection="0"/>
    <xf numFmtId="0" fontId="68" fillId="68" borderId="40" applyNumberFormat="0" applyAlignment="0" applyProtection="0"/>
    <xf numFmtId="1" fontId="70" fillId="69" borderId="5">
      <alignment horizontal="right" vertical="center"/>
    </xf>
    <xf numFmtId="0" fontId="70" fillId="70" borderId="5">
      <alignment horizontal="center" vertical="center"/>
    </xf>
    <xf numFmtId="1" fontId="70" fillId="69" borderId="5">
      <alignment horizontal="right" vertical="center"/>
    </xf>
    <xf numFmtId="0" fontId="16" fillId="69" borderId="0"/>
    <xf numFmtId="0" fontId="16" fillId="69" borderId="0"/>
    <xf numFmtId="0" fontId="16" fillId="69" borderId="0"/>
    <xf numFmtId="0" fontId="16" fillId="69" borderId="0"/>
    <xf numFmtId="0" fontId="16" fillId="69" borderId="0"/>
    <xf numFmtId="0" fontId="16" fillId="69" borderId="0"/>
    <xf numFmtId="0" fontId="16" fillId="69" borderId="0"/>
    <xf numFmtId="0" fontId="16" fillId="69" borderId="0"/>
    <xf numFmtId="0" fontId="16" fillId="69" borderId="0"/>
    <xf numFmtId="0" fontId="16" fillId="69" borderId="0"/>
    <xf numFmtId="0" fontId="16" fillId="69" borderId="0"/>
    <xf numFmtId="0" fontId="16" fillId="69" borderId="0"/>
    <xf numFmtId="0" fontId="16" fillId="69" borderId="0"/>
    <xf numFmtId="0" fontId="71" fillId="69" borderId="5"/>
    <xf numFmtId="0" fontId="72" fillId="71" borderId="5">
      <alignment horizontal="left" vertical="center"/>
    </xf>
    <xf numFmtId="0" fontId="72" fillId="71" borderId="5">
      <alignment horizontal="left" vertical="center"/>
    </xf>
    <xf numFmtId="0" fontId="73" fillId="69" borderId="5">
      <alignment horizontal="left" vertical="center"/>
    </xf>
    <xf numFmtId="0" fontId="74" fillId="69" borderId="41"/>
    <xf numFmtId="0" fontId="75" fillId="72" borderId="25"/>
    <xf numFmtId="170" fontId="76" fillId="0" borderId="0"/>
    <xf numFmtId="170" fontId="76" fillId="0" borderId="0"/>
    <xf numFmtId="170" fontId="76" fillId="0" borderId="0"/>
    <xf numFmtId="170" fontId="76" fillId="0" borderId="0"/>
    <xf numFmtId="170" fontId="76" fillId="0" borderId="0"/>
    <xf numFmtId="43" fontId="76" fillId="0" borderId="0" applyFont="0" applyFill="0" applyBorder="0" applyAlignment="0" applyProtection="0"/>
    <xf numFmtId="170" fontId="76" fillId="0" borderId="0"/>
    <xf numFmtId="170" fontId="7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6" fillId="0" borderId="0" applyFont="0" applyFill="0" applyBorder="0" applyAlignment="0" applyProtection="0"/>
    <xf numFmtId="43" fontId="77" fillId="0" borderId="0" applyFont="0" applyFill="0" applyBorder="0" applyAlignment="0" applyProtection="0"/>
    <xf numFmtId="171" fontId="78" fillId="0" borderId="0" applyFont="0" applyFill="0" applyBorder="0" applyAlignment="0" applyProtection="0"/>
    <xf numFmtId="171" fontId="78" fillId="0" borderId="0" applyFont="0" applyFill="0" applyBorder="0" applyAlignment="0" applyProtection="0"/>
    <xf numFmtId="171" fontId="78" fillId="0" borderId="0" applyFont="0" applyFill="0" applyBorder="0" applyAlignment="0" applyProtection="0"/>
    <xf numFmtId="171" fontId="78" fillId="0" borderId="0" applyFont="0" applyFill="0" applyBorder="0" applyAlignment="0" applyProtection="0"/>
    <xf numFmtId="171" fontId="78" fillId="0" borderId="0" applyFont="0" applyFill="0" applyBorder="0" applyAlignment="0" applyProtection="0"/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0" fontId="79" fillId="0" borderId="42"/>
    <xf numFmtId="0" fontId="79" fillId="73" borderId="42"/>
    <xf numFmtId="17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3" fontId="16" fillId="0" borderId="0" applyFont="0" applyFill="0" applyBorder="0" applyAlignment="0" applyProtection="0"/>
    <xf numFmtId="0" fontId="54" fillId="0" borderId="0">
      <protection locked="0"/>
    </xf>
    <xf numFmtId="174" fontId="54" fillId="0" borderId="0">
      <protection locked="0"/>
    </xf>
    <xf numFmtId="175" fontId="80" fillId="0" borderId="0"/>
    <xf numFmtId="176" fontId="80" fillId="0" borderId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43" fillId="61" borderId="0" applyNumberFormat="0" applyBorder="0" applyAlignment="0" applyProtection="0"/>
    <xf numFmtId="0" fontId="43" fillId="61" borderId="0" applyNumberFormat="0" applyBorder="0" applyAlignment="0" applyProtection="0"/>
    <xf numFmtId="0" fontId="44" fillId="61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43" fillId="63" borderId="0" applyNumberFormat="0" applyBorder="0" applyAlignment="0" applyProtection="0"/>
    <xf numFmtId="0" fontId="43" fillId="63" borderId="0" applyNumberFormat="0" applyBorder="0" applyAlignment="0" applyProtection="0"/>
    <xf numFmtId="0" fontId="44" fillId="63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4" fillId="6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43" fillId="58" borderId="0" applyNumberFormat="0" applyBorder="0" applyAlignment="0" applyProtection="0"/>
    <xf numFmtId="0" fontId="43" fillId="58" borderId="0" applyNumberFormat="0" applyBorder="0" applyAlignment="0" applyProtection="0"/>
    <xf numFmtId="0" fontId="44" fillId="5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4" fillId="59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4" fillId="57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32" fillId="13" borderId="30" applyNumberFormat="0" applyAlignment="0" applyProtection="0"/>
    <xf numFmtId="0" fontId="32" fillId="13" borderId="30" applyNumberFormat="0" applyAlignment="0" applyProtection="0"/>
    <xf numFmtId="0" fontId="32" fillId="13" borderId="30" applyNumberFormat="0" applyAlignment="0" applyProtection="0"/>
    <xf numFmtId="0" fontId="32" fillId="13" borderId="30" applyNumberFormat="0" applyAlignment="0" applyProtection="0"/>
    <xf numFmtId="0" fontId="32" fillId="13" borderId="30" applyNumberFormat="0" applyAlignment="0" applyProtection="0"/>
    <xf numFmtId="0" fontId="81" fillId="49" borderId="37" applyNumberFormat="0" applyAlignment="0" applyProtection="0"/>
    <xf numFmtId="0" fontId="81" fillId="49" borderId="37" applyNumberFormat="0" applyAlignment="0" applyProtection="0"/>
    <xf numFmtId="0" fontId="82" fillId="49" borderId="37" applyNumberFormat="0" applyAlignment="0" applyProtection="0"/>
    <xf numFmtId="0" fontId="82" fillId="49" borderId="37" applyNumberFormat="0" applyAlignment="0" applyProtection="0"/>
    <xf numFmtId="0" fontId="82" fillId="49" borderId="37" applyNumberFormat="0" applyAlignment="0" applyProtection="0"/>
    <xf numFmtId="0" fontId="32" fillId="13" borderId="30" applyNumberFormat="0" applyAlignment="0" applyProtection="0"/>
    <xf numFmtId="0" fontId="32" fillId="13" borderId="30" applyNumberFormat="0" applyAlignment="0" applyProtection="0"/>
    <xf numFmtId="0" fontId="32" fillId="13" borderId="30" applyNumberFormat="0" applyAlignment="0" applyProtection="0"/>
    <xf numFmtId="0" fontId="32" fillId="13" borderId="30" applyNumberFormat="0" applyAlignment="0" applyProtection="0"/>
    <xf numFmtId="0" fontId="32" fillId="13" borderId="30" applyNumberFormat="0" applyAlignment="0" applyProtection="0"/>
    <xf numFmtId="0" fontId="32" fillId="13" borderId="30" applyNumberFormat="0" applyAlignment="0" applyProtection="0"/>
    <xf numFmtId="0" fontId="32" fillId="13" borderId="30" applyNumberFormat="0" applyAlignment="0" applyProtection="0"/>
    <xf numFmtId="177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0" fontId="40" fillId="0" borderId="0"/>
    <xf numFmtId="0" fontId="40" fillId="0" borderId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179" fontId="54" fillId="0" borderId="0">
      <protection locked="0"/>
    </xf>
    <xf numFmtId="180" fontId="54" fillId="0" borderId="0">
      <protection locked="0"/>
    </xf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5" fillId="46" borderId="0" applyNumberFormat="0" applyBorder="0" applyAlignment="0" applyProtection="0"/>
    <xf numFmtId="0" fontId="86" fillId="51" borderId="0" applyNumberFormat="0" applyBorder="0" applyAlignment="0" applyProtection="0"/>
    <xf numFmtId="0" fontId="86" fillId="46" borderId="0" applyNumberFormat="0" applyBorder="0" applyAlignment="0" applyProtection="0"/>
    <xf numFmtId="0" fontId="86" fillId="46" borderId="0" applyNumberFormat="0" applyBorder="0" applyAlignment="0" applyProtection="0"/>
    <xf numFmtId="0" fontId="86" fillId="46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46" borderId="0" applyNumberFormat="0" applyBorder="0" applyAlignment="0" applyProtection="0"/>
    <xf numFmtId="0" fontId="86" fillId="46" borderId="0" applyNumberFormat="0" applyBorder="0" applyAlignment="0" applyProtection="0"/>
    <xf numFmtId="0" fontId="86" fillId="51" borderId="0" applyNumberFormat="0" applyBorder="0" applyAlignment="0" applyProtection="0"/>
    <xf numFmtId="0" fontId="86" fillId="46" borderId="0" applyNumberFormat="0" applyBorder="0" applyAlignment="0" applyProtection="0"/>
    <xf numFmtId="0" fontId="86" fillId="46" borderId="0" applyNumberFormat="0" applyBorder="0" applyAlignment="0" applyProtection="0"/>
    <xf numFmtId="0" fontId="86" fillId="46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46" borderId="0" applyNumberFormat="0" applyBorder="0" applyAlignment="0" applyProtection="0"/>
    <xf numFmtId="0" fontId="86" fillId="46" borderId="0" applyNumberFormat="0" applyBorder="0" applyAlignment="0" applyProtection="0"/>
    <xf numFmtId="0" fontId="86" fillId="51" borderId="0" applyNumberFormat="0" applyBorder="0" applyAlignment="0" applyProtection="0"/>
    <xf numFmtId="0" fontId="86" fillId="46" borderId="0" applyNumberFormat="0" applyBorder="0" applyAlignment="0" applyProtection="0"/>
    <xf numFmtId="0" fontId="86" fillId="46" borderId="0" applyNumberFormat="0" applyBorder="0" applyAlignment="0" applyProtection="0"/>
    <xf numFmtId="0" fontId="86" fillId="46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46" borderId="0" applyNumberFormat="0" applyBorder="0" applyAlignment="0" applyProtection="0"/>
    <xf numFmtId="0" fontId="86" fillId="46" borderId="0" applyNumberFormat="0" applyBorder="0" applyAlignment="0" applyProtection="0"/>
    <xf numFmtId="0" fontId="85" fillId="46" borderId="0" applyNumberFormat="0" applyBorder="0" applyAlignment="0" applyProtection="0"/>
    <xf numFmtId="0" fontId="87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8" fillId="0" borderId="43" applyNumberFormat="0" applyFill="0" applyAlignment="0" applyProtection="0"/>
    <xf numFmtId="0" fontId="89" fillId="0" borderId="44" applyNumberFormat="0" applyFill="0" applyAlignment="0" applyProtection="0"/>
    <xf numFmtId="0" fontId="90" fillId="0" borderId="45" applyNumberFormat="0" applyFill="0" applyAlignment="0" applyProtection="0"/>
    <xf numFmtId="0" fontId="90" fillId="0" borderId="45" applyNumberFormat="0" applyFill="0" applyAlignment="0" applyProtection="0"/>
    <xf numFmtId="0" fontId="90" fillId="0" borderId="45" applyNumberFormat="0" applyFill="0" applyAlignment="0" applyProtection="0"/>
    <xf numFmtId="0" fontId="89" fillId="0" borderId="44" applyNumberFormat="0" applyFill="0" applyAlignment="0" applyProtection="0"/>
    <xf numFmtId="0" fontId="89" fillId="0" borderId="44" applyNumberFormat="0" applyFill="0" applyAlignment="0" applyProtection="0"/>
    <xf numFmtId="0" fontId="89" fillId="0" borderId="44" applyNumberFormat="0" applyFill="0" applyAlignment="0" applyProtection="0"/>
    <xf numFmtId="0" fontId="89" fillId="0" borderId="44" applyNumberFormat="0" applyFill="0" applyAlignment="0" applyProtection="0"/>
    <xf numFmtId="0" fontId="89" fillId="0" borderId="44" applyNumberFormat="0" applyFill="0" applyAlignment="0" applyProtection="0"/>
    <xf numFmtId="0" fontId="89" fillId="0" borderId="44" applyNumberFormat="0" applyFill="0" applyAlignment="0" applyProtection="0"/>
    <xf numFmtId="0" fontId="90" fillId="0" borderId="45" applyNumberFormat="0" applyFill="0" applyAlignment="0" applyProtection="0"/>
    <xf numFmtId="0" fontId="90" fillId="0" borderId="45" applyNumberFormat="0" applyFill="0" applyAlignment="0" applyProtection="0"/>
    <xf numFmtId="0" fontId="89" fillId="0" borderId="44" applyNumberFormat="0" applyFill="0" applyAlignment="0" applyProtection="0"/>
    <xf numFmtId="0" fontId="90" fillId="0" borderId="45" applyNumberFormat="0" applyFill="0" applyAlignment="0" applyProtection="0"/>
    <xf numFmtId="0" fontId="90" fillId="0" borderId="45" applyNumberFormat="0" applyFill="0" applyAlignment="0" applyProtection="0"/>
    <xf numFmtId="0" fontId="90" fillId="0" borderId="45" applyNumberFormat="0" applyFill="0" applyAlignment="0" applyProtection="0"/>
    <xf numFmtId="0" fontId="89" fillId="0" borderId="44" applyNumberFormat="0" applyFill="0" applyAlignment="0" applyProtection="0"/>
    <xf numFmtId="0" fontId="89" fillId="0" borderId="44" applyNumberFormat="0" applyFill="0" applyAlignment="0" applyProtection="0"/>
    <xf numFmtId="0" fontId="89" fillId="0" borderId="44" applyNumberFormat="0" applyFill="0" applyAlignment="0" applyProtection="0"/>
    <xf numFmtId="0" fontId="89" fillId="0" borderId="44" applyNumberFormat="0" applyFill="0" applyAlignment="0" applyProtection="0"/>
    <xf numFmtId="0" fontId="89" fillId="0" borderId="44" applyNumberFormat="0" applyFill="0" applyAlignment="0" applyProtection="0"/>
    <xf numFmtId="0" fontId="89" fillId="0" borderId="44" applyNumberFormat="0" applyFill="0" applyAlignment="0" applyProtection="0"/>
    <xf numFmtId="0" fontId="90" fillId="0" borderId="45" applyNumberFormat="0" applyFill="0" applyAlignment="0" applyProtection="0"/>
    <xf numFmtId="0" fontId="90" fillId="0" borderId="45" applyNumberFormat="0" applyFill="0" applyAlignment="0" applyProtection="0"/>
    <xf numFmtId="0" fontId="89" fillId="0" borderId="44" applyNumberFormat="0" applyFill="0" applyAlignment="0" applyProtection="0"/>
    <xf numFmtId="0" fontId="90" fillId="0" borderId="45" applyNumberFormat="0" applyFill="0" applyAlignment="0" applyProtection="0"/>
    <xf numFmtId="0" fontId="90" fillId="0" borderId="45" applyNumberFormat="0" applyFill="0" applyAlignment="0" applyProtection="0"/>
    <xf numFmtId="0" fontId="90" fillId="0" borderId="45" applyNumberFormat="0" applyFill="0" applyAlignment="0" applyProtection="0"/>
    <xf numFmtId="0" fontId="89" fillId="0" borderId="44" applyNumberFormat="0" applyFill="0" applyAlignment="0" applyProtection="0"/>
    <xf numFmtId="0" fontId="89" fillId="0" borderId="44" applyNumberFormat="0" applyFill="0" applyAlignment="0" applyProtection="0"/>
    <xf numFmtId="0" fontId="89" fillId="0" borderId="44" applyNumberFormat="0" applyFill="0" applyAlignment="0" applyProtection="0"/>
    <xf numFmtId="0" fontId="89" fillId="0" borderId="44" applyNumberFormat="0" applyFill="0" applyAlignment="0" applyProtection="0"/>
    <xf numFmtId="0" fontId="89" fillId="0" borderId="44" applyNumberFormat="0" applyFill="0" applyAlignment="0" applyProtection="0"/>
    <xf numFmtId="0" fontId="89" fillId="0" borderId="44" applyNumberFormat="0" applyFill="0" applyAlignment="0" applyProtection="0"/>
    <xf numFmtId="0" fontId="90" fillId="0" borderId="45" applyNumberFormat="0" applyFill="0" applyAlignment="0" applyProtection="0"/>
    <xf numFmtId="0" fontId="90" fillId="0" borderId="45" applyNumberFormat="0" applyFill="0" applyAlignment="0" applyProtection="0"/>
    <xf numFmtId="0" fontId="91" fillId="0" borderId="45" applyNumberFormat="0" applyFill="0" applyAlignment="0" applyProtection="0"/>
    <xf numFmtId="0" fontId="92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3" fillId="0" borderId="46" applyNumberFormat="0" applyFill="0" applyAlignment="0" applyProtection="0"/>
    <xf numFmtId="0" fontId="94" fillId="0" borderId="47" applyNumberFormat="0" applyFill="0" applyAlignment="0" applyProtection="0"/>
    <xf numFmtId="0" fontId="95" fillId="0" borderId="48" applyNumberFormat="0" applyFill="0" applyAlignment="0" applyProtection="0"/>
    <xf numFmtId="0" fontId="95" fillId="0" borderId="48" applyNumberFormat="0" applyFill="0" applyAlignment="0" applyProtection="0"/>
    <xf numFmtId="0" fontId="95" fillId="0" borderId="48" applyNumberFormat="0" applyFill="0" applyAlignment="0" applyProtection="0"/>
    <xf numFmtId="0" fontId="94" fillId="0" borderId="47" applyNumberFormat="0" applyFill="0" applyAlignment="0" applyProtection="0"/>
    <xf numFmtId="0" fontId="94" fillId="0" borderId="47" applyNumberFormat="0" applyFill="0" applyAlignment="0" applyProtection="0"/>
    <xf numFmtId="0" fontId="94" fillId="0" borderId="47" applyNumberFormat="0" applyFill="0" applyAlignment="0" applyProtection="0"/>
    <xf numFmtId="0" fontId="94" fillId="0" borderId="47" applyNumberFormat="0" applyFill="0" applyAlignment="0" applyProtection="0"/>
    <xf numFmtId="0" fontId="94" fillId="0" borderId="47" applyNumberFormat="0" applyFill="0" applyAlignment="0" applyProtection="0"/>
    <xf numFmtId="0" fontId="94" fillId="0" borderId="47" applyNumberFormat="0" applyFill="0" applyAlignment="0" applyProtection="0"/>
    <xf numFmtId="0" fontId="95" fillId="0" borderId="48" applyNumberFormat="0" applyFill="0" applyAlignment="0" applyProtection="0"/>
    <xf numFmtId="0" fontId="95" fillId="0" borderId="48" applyNumberFormat="0" applyFill="0" applyAlignment="0" applyProtection="0"/>
    <xf numFmtId="0" fontId="94" fillId="0" borderId="47" applyNumberFormat="0" applyFill="0" applyAlignment="0" applyProtection="0"/>
    <xf numFmtId="0" fontId="95" fillId="0" borderId="48" applyNumberFormat="0" applyFill="0" applyAlignment="0" applyProtection="0"/>
    <xf numFmtId="0" fontId="95" fillId="0" borderId="48" applyNumberFormat="0" applyFill="0" applyAlignment="0" applyProtection="0"/>
    <xf numFmtId="0" fontId="95" fillId="0" borderId="48" applyNumberFormat="0" applyFill="0" applyAlignment="0" applyProtection="0"/>
    <xf numFmtId="0" fontId="94" fillId="0" borderId="47" applyNumberFormat="0" applyFill="0" applyAlignment="0" applyProtection="0"/>
    <xf numFmtId="0" fontId="94" fillId="0" borderId="47" applyNumberFormat="0" applyFill="0" applyAlignment="0" applyProtection="0"/>
    <xf numFmtId="0" fontId="94" fillId="0" borderId="47" applyNumberFormat="0" applyFill="0" applyAlignment="0" applyProtection="0"/>
    <xf numFmtId="0" fontId="94" fillId="0" borderId="47" applyNumberFormat="0" applyFill="0" applyAlignment="0" applyProtection="0"/>
    <xf numFmtId="0" fontId="94" fillId="0" borderId="47" applyNumberFormat="0" applyFill="0" applyAlignment="0" applyProtection="0"/>
    <xf numFmtId="0" fontId="94" fillId="0" borderId="47" applyNumberFormat="0" applyFill="0" applyAlignment="0" applyProtection="0"/>
    <xf numFmtId="0" fontId="95" fillId="0" borderId="48" applyNumberFormat="0" applyFill="0" applyAlignment="0" applyProtection="0"/>
    <xf numFmtId="0" fontId="95" fillId="0" borderId="48" applyNumberFormat="0" applyFill="0" applyAlignment="0" applyProtection="0"/>
    <xf numFmtId="0" fontId="94" fillId="0" borderId="47" applyNumberFormat="0" applyFill="0" applyAlignment="0" applyProtection="0"/>
    <xf numFmtId="0" fontId="95" fillId="0" borderId="48" applyNumberFormat="0" applyFill="0" applyAlignment="0" applyProtection="0"/>
    <xf numFmtId="0" fontId="95" fillId="0" borderId="48" applyNumberFormat="0" applyFill="0" applyAlignment="0" applyProtection="0"/>
    <xf numFmtId="0" fontId="95" fillId="0" borderId="48" applyNumberFormat="0" applyFill="0" applyAlignment="0" applyProtection="0"/>
    <xf numFmtId="0" fontId="94" fillId="0" borderId="47" applyNumberFormat="0" applyFill="0" applyAlignment="0" applyProtection="0"/>
    <xf numFmtId="0" fontId="94" fillId="0" borderId="47" applyNumberFormat="0" applyFill="0" applyAlignment="0" applyProtection="0"/>
    <xf numFmtId="0" fontId="94" fillId="0" borderId="47" applyNumberFormat="0" applyFill="0" applyAlignment="0" applyProtection="0"/>
    <xf numFmtId="0" fontId="94" fillId="0" borderId="47" applyNumberFormat="0" applyFill="0" applyAlignment="0" applyProtection="0"/>
    <xf numFmtId="0" fontId="94" fillId="0" borderId="47" applyNumberFormat="0" applyFill="0" applyAlignment="0" applyProtection="0"/>
    <xf numFmtId="0" fontId="94" fillId="0" borderId="47" applyNumberFormat="0" applyFill="0" applyAlignment="0" applyProtection="0"/>
    <xf numFmtId="0" fontId="95" fillId="0" borderId="48" applyNumberFormat="0" applyFill="0" applyAlignment="0" applyProtection="0"/>
    <xf numFmtId="0" fontId="95" fillId="0" borderId="48" applyNumberFormat="0" applyFill="0" applyAlignment="0" applyProtection="0"/>
    <xf numFmtId="0" fontId="96" fillId="0" borderId="48" applyNumberFormat="0" applyFill="0" applyAlignment="0" applyProtection="0"/>
    <xf numFmtId="0" fontId="97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8" fillId="0" borderId="49" applyNumberFormat="0" applyFill="0" applyAlignment="0" applyProtection="0"/>
    <xf numFmtId="0" fontId="99" fillId="0" borderId="50" applyNumberFormat="0" applyFill="0" applyAlignment="0" applyProtection="0"/>
    <xf numFmtId="0" fontId="100" fillId="0" borderId="50" applyNumberFormat="0" applyFill="0" applyAlignment="0" applyProtection="0"/>
    <xf numFmtId="0" fontId="100" fillId="0" borderId="50" applyNumberFormat="0" applyFill="0" applyAlignment="0" applyProtection="0"/>
    <xf numFmtId="0" fontId="100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100" fillId="0" borderId="50" applyNumberFormat="0" applyFill="0" applyAlignment="0" applyProtection="0"/>
    <xf numFmtId="0" fontId="100" fillId="0" borderId="50" applyNumberFormat="0" applyFill="0" applyAlignment="0" applyProtection="0"/>
    <xf numFmtId="0" fontId="99" fillId="0" borderId="50" applyNumberFormat="0" applyFill="0" applyAlignment="0" applyProtection="0"/>
    <xf numFmtId="0" fontId="100" fillId="0" borderId="50" applyNumberFormat="0" applyFill="0" applyAlignment="0" applyProtection="0"/>
    <xf numFmtId="0" fontId="100" fillId="0" borderId="50" applyNumberFormat="0" applyFill="0" applyAlignment="0" applyProtection="0"/>
    <xf numFmtId="0" fontId="100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100" fillId="0" borderId="50" applyNumberFormat="0" applyFill="0" applyAlignment="0" applyProtection="0"/>
    <xf numFmtId="0" fontId="100" fillId="0" borderId="50" applyNumberFormat="0" applyFill="0" applyAlignment="0" applyProtection="0"/>
    <xf numFmtId="0" fontId="99" fillId="0" borderId="50" applyNumberFormat="0" applyFill="0" applyAlignment="0" applyProtection="0"/>
    <xf numFmtId="0" fontId="100" fillId="0" borderId="50" applyNumberFormat="0" applyFill="0" applyAlignment="0" applyProtection="0"/>
    <xf numFmtId="0" fontId="100" fillId="0" borderId="50" applyNumberFormat="0" applyFill="0" applyAlignment="0" applyProtection="0"/>
    <xf numFmtId="0" fontId="100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100" fillId="0" borderId="50" applyNumberFormat="0" applyFill="0" applyAlignment="0" applyProtection="0"/>
    <xf numFmtId="0" fontId="100" fillId="0" borderId="50" applyNumberFormat="0" applyFill="0" applyAlignment="0" applyProtection="0"/>
    <xf numFmtId="0" fontId="101" fillId="0" borderId="50" applyNumberFormat="0" applyFill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81" fontId="102" fillId="0" borderId="0">
      <protection locked="0"/>
    </xf>
    <xf numFmtId="181" fontId="102" fillId="0" borderId="0"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106" fillId="43" borderId="0" applyNumberFormat="0" applyBorder="0" applyAlignment="0" applyProtection="0"/>
    <xf numFmtId="0" fontId="106" fillId="43" borderId="0" applyNumberFormat="0" applyBorder="0" applyAlignment="0" applyProtection="0"/>
    <xf numFmtId="0" fontId="107" fillId="43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45" fillId="0" borderId="0"/>
    <xf numFmtId="0" fontId="108" fillId="49" borderId="37" applyNumberFormat="0" applyAlignment="0" applyProtection="0"/>
    <xf numFmtId="0" fontId="109" fillId="49" borderId="37" applyNumberFormat="0" applyAlignment="0" applyProtection="0"/>
    <xf numFmtId="0" fontId="110" fillId="49" borderId="37" applyNumberFormat="0" applyAlignment="0" applyProtection="0"/>
    <xf numFmtId="0" fontId="110" fillId="49" borderId="37" applyNumberFormat="0" applyAlignment="0" applyProtection="0"/>
    <xf numFmtId="0" fontId="110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10" fillId="49" borderId="37" applyNumberFormat="0" applyAlignment="0" applyProtection="0"/>
    <xf numFmtId="0" fontId="110" fillId="49" borderId="37" applyNumberFormat="0" applyAlignment="0" applyProtection="0"/>
    <xf numFmtId="0" fontId="109" fillId="49" borderId="37" applyNumberFormat="0" applyAlignment="0" applyProtection="0"/>
    <xf numFmtId="0" fontId="110" fillId="49" borderId="37" applyNumberFormat="0" applyAlignment="0" applyProtection="0"/>
    <xf numFmtId="0" fontId="110" fillId="49" borderId="37" applyNumberFormat="0" applyAlignment="0" applyProtection="0"/>
    <xf numFmtId="0" fontId="110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10" fillId="49" borderId="37" applyNumberFormat="0" applyAlignment="0" applyProtection="0"/>
    <xf numFmtId="0" fontId="110" fillId="49" borderId="37" applyNumberFormat="0" applyAlignment="0" applyProtection="0"/>
    <xf numFmtId="0" fontId="109" fillId="49" borderId="37" applyNumberFormat="0" applyAlignment="0" applyProtection="0"/>
    <xf numFmtId="0" fontId="110" fillId="49" borderId="37" applyNumberFormat="0" applyAlignment="0" applyProtection="0"/>
    <xf numFmtId="0" fontId="110" fillId="49" borderId="37" applyNumberFormat="0" applyAlignment="0" applyProtection="0"/>
    <xf numFmtId="0" fontId="110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10" fillId="49" borderId="37" applyNumberFormat="0" applyAlignment="0" applyProtection="0"/>
    <xf numFmtId="0" fontId="110" fillId="49" borderId="37" applyNumberFormat="0" applyAlignment="0" applyProtection="0"/>
    <xf numFmtId="0" fontId="109" fillId="49" borderId="37" applyNumberFormat="0" applyAlignment="0" applyProtection="0"/>
    <xf numFmtId="0" fontId="110" fillId="49" borderId="37" applyNumberFormat="0" applyAlignment="0" applyProtection="0"/>
    <xf numFmtId="0" fontId="110" fillId="49" borderId="37" applyNumberFormat="0" applyAlignment="0" applyProtection="0"/>
    <xf numFmtId="0" fontId="110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09" fillId="49" borderId="37" applyNumberFormat="0" applyAlignment="0" applyProtection="0"/>
    <xf numFmtId="0" fontId="110" fillId="49" borderId="37" applyNumberFormat="0" applyAlignment="0" applyProtection="0"/>
    <xf numFmtId="0" fontId="110" fillId="49" borderId="37" applyNumberFormat="0" applyAlignment="0" applyProtection="0"/>
    <xf numFmtId="0" fontId="108" fillId="53" borderId="37" applyNumberFormat="0" applyAlignment="0" applyProtection="0"/>
    <xf numFmtId="0" fontId="111" fillId="49" borderId="37" applyNumberFormat="0" applyAlignment="0" applyProtection="0"/>
    <xf numFmtId="0" fontId="111" fillId="49" borderId="37" applyNumberFormat="0" applyAlignment="0" applyProtection="0"/>
    <xf numFmtId="0" fontId="111" fillId="49" borderId="37" applyNumberFormat="0" applyAlignment="0" applyProtection="0"/>
    <xf numFmtId="0" fontId="108" fillId="53" borderId="37" applyNumberFormat="0" applyAlignment="0" applyProtection="0"/>
    <xf numFmtId="0" fontId="108" fillId="53" borderId="37" applyNumberFormat="0" applyAlignment="0" applyProtection="0"/>
    <xf numFmtId="0" fontId="108" fillId="53" borderId="37" applyNumberFormat="0" applyAlignment="0" applyProtection="0"/>
    <xf numFmtId="0" fontId="108" fillId="53" borderId="37" applyNumberFormat="0" applyAlignment="0" applyProtection="0"/>
    <xf numFmtId="0" fontId="108" fillId="53" borderId="37" applyNumberFormat="0" applyAlignment="0" applyProtection="0"/>
    <xf numFmtId="0" fontId="108" fillId="53" borderId="37" applyNumberFormat="0" applyAlignment="0" applyProtection="0"/>
    <xf numFmtId="0" fontId="111" fillId="49" borderId="37" applyNumberFormat="0" applyAlignment="0" applyProtection="0"/>
    <xf numFmtId="0" fontId="111" fillId="49" borderId="37" applyNumberFormat="0" applyAlignment="0" applyProtection="0"/>
    <xf numFmtId="0" fontId="108" fillId="53" borderId="37" applyNumberFormat="0" applyAlignment="0" applyProtection="0"/>
    <xf numFmtId="0" fontId="111" fillId="49" borderId="37" applyNumberFormat="0" applyAlignment="0" applyProtection="0"/>
    <xf numFmtId="0" fontId="111" fillId="49" borderId="37" applyNumberFormat="0" applyAlignment="0" applyProtection="0"/>
    <xf numFmtId="0" fontId="111" fillId="49" borderId="37" applyNumberFormat="0" applyAlignment="0" applyProtection="0"/>
    <xf numFmtId="0" fontId="108" fillId="53" borderId="37" applyNumberFormat="0" applyAlignment="0" applyProtection="0"/>
    <xf numFmtId="0" fontId="108" fillId="53" borderId="37" applyNumberFormat="0" applyAlignment="0" applyProtection="0"/>
    <xf numFmtId="0" fontId="108" fillId="53" borderId="37" applyNumberFormat="0" applyAlignment="0" applyProtection="0"/>
    <xf numFmtId="0" fontId="108" fillId="53" borderId="37" applyNumberFormat="0" applyAlignment="0" applyProtection="0"/>
    <xf numFmtId="0" fontId="108" fillId="53" borderId="37" applyNumberFormat="0" applyAlignment="0" applyProtection="0"/>
    <xf numFmtId="0" fontId="108" fillId="53" borderId="37" applyNumberFormat="0" applyAlignment="0" applyProtection="0"/>
    <xf numFmtId="0" fontId="111" fillId="49" borderId="37" applyNumberFormat="0" applyAlignment="0" applyProtection="0"/>
    <xf numFmtId="0" fontId="111" fillId="49" borderId="37" applyNumberFormat="0" applyAlignment="0" applyProtection="0"/>
    <xf numFmtId="0" fontId="108" fillId="53" borderId="37" applyNumberFormat="0" applyAlignment="0" applyProtection="0"/>
    <xf numFmtId="0" fontId="111" fillId="49" borderId="37" applyNumberFormat="0" applyAlignment="0" applyProtection="0"/>
    <xf numFmtId="0" fontId="111" fillId="49" borderId="37" applyNumberFormat="0" applyAlignment="0" applyProtection="0"/>
    <xf numFmtId="0" fontId="111" fillId="49" borderId="37" applyNumberFormat="0" applyAlignment="0" applyProtection="0"/>
    <xf numFmtId="0" fontId="108" fillId="53" borderId="37" applyNumberFormat="0" applyAlignment="0" applyProtection="0"/>
    <xf numFmtId="0" fontId="108" fillId="53" borderId="37" applyNumberFormat="0" applyAlignment="0" applyProtection="0"/>
    <xf numFmtId="0" fontId="108" fillId="53" borderId="37" applyNumberFormat="0" applyAlignment="0" applyProtection="0"/>
    <xf numFmtId="0" fontId="108" fillId="53" borderId="37" applyNumberFormat="0" applyAlignment="0" applyProtection="0"/>
    <xf numFmtId="0" fontId="108" fillId="53" borderId="37" applyNumberFormat="0" applyAlignment="0" applyProtection="0"/>
    <xf numFmtId="0" fontId="108" fillId="53" borderId="37" applyNumberFormat="0" applyAlignment="0" applyProtection="0"/>
    <xf numFmtId="0" fontId="111" fillId="49" borderId="37" applyNumberFormat="0" applyAlignment="0" applyProtection="0"/>
    <xf numFmtId="0" fontId="111" fillId="49" borderId="37" applyNumberFormat="0" applyAlignment="0" applyProtection="0"/>
    <xf numFmtId="0" fontId="110" fillId="49" borderId="37" applyNumberFormat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2" fillId="0" borderId="39" applyNumberFormat="0" applyFill="0" applyAlignment="0" applyProtection="0"/>
    <xf numFmtId="0" fontId="113" fillId="0" borderId="51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3" fillId="0" borderId="51" applyNumberFormat="0" applyFill="0" applyAlignment="0" applyProtection="0"/>
    <xf numFmtId="0" fontId="113" fillId="0" borderId="51" applyNumberFormat="0" applyFill="0" applyAlignment="0" applyProtection="0"/>
    <xf numFmtId="0" fontId="113" fillId="0" borderId="51" applyNumberFormat="0" applyFill="0" applyAlignment="0" applyProtection="0"/>
    <xf numFmtId="0" fontId="113" fillId="0" borderId="51" applyNumberFormat="0" applyFill="0" applyAlignment="0" applyProtection="0"/>
    <xf numFmtId="0" fontId="113" fillId="0" borderId="51" applyNumberFormat="0" applyFill="0" applyAlignment="0" applyProtection="0"/>
    <xf numFmtId="0" fontId="113" fillId="0" borderId="51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3" fillId="0" borderId="51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3" fillId="0" borderId="51" applyNumberFormat="0" applyFill="0" applyAlignment="0" applyProtection="0"/>
    <xf numFmtId="0" fontId="113" fillId="0" borderId="51" applyNumberFormat="0" applyFill="0" applyAlignment="0" applyProtection="0"/>
    <xf numFmtId="0" fontId="113" fillId="0" borderId="51" applyNumberFormat="0" applyFill="0" applyAlignment="0" applyProtection="0"/>
    <xf numFmtId="0" fontId="113" fillId="0" borderId="51" applyNumberFormat="0" applyFill="0" applyAlignment="0" applyProtection="0"/>
    <xf numFmtId="0" fontId="113" fillId="0" borderId="51" applyNumberFormat="0" applyFill="0" applyAlignment="0" applyProtection="0"/>
    <xf numFmtId="0" fontId="113" fillId="0" borderId="51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3" fillId="0" borderId="51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3" fillId="0" borderId="51" applyNumberFormat="0" applyFill="0" applyAlignment="0" applyProtection="0"/>
    <xf numFmtId="0" fontId="113" fillId="0" borderId="51" applyNumberFormat="0" applyFill="0" applyAlignment="0" applyProtection="0"/>
    <xf numFmtId="0" fontId="113" fillId="0" borderId="51" applyNumberFormat="0" applyFill="0" applyAlignment="0" applyProtection="0"/>
    <xf numFmtId="0" fontId="113" fillId="0" borderId="51" applyNumberFormat="0" applyFill="0" applyAlignment="0" applyProtection="0"/>
    <xf numFmtId="0" fontId="113" fillId="0" borderId="51" applyNumberFormat="0" applyFill="0" applyAlignment="0" applyProtection="0"/>
    <xf numFmtId="0" fontId="113" fillId="0" borderId="51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2" fillId="0" borderId="39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2" fontId="16" fillId="0" borderId="0" applyFont="0" applyFill="0" applyBorder="0" applyAlignment="0" applyProtection="0"/>
    <xf numFmtId="4" fontId="115" fillId="0" borderId="0" applyFont="0" applyFill="0" applyBorder="0" applyAlignment="0" applyProtection="0"/>
    <xf numFmtId="183" fontId="16" fillId="0" borderId="0" applyFont="0" applyFill="0" applyBorder="0" applyAlignment="0" applyProtection="0"/>
    <xf numFmtId="37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44" fontId="6" fillId="0" borderId="0" applyFont="0" applyFill="0" applyBorder="0" applyAlignment="0" applyProtection="0">
      <alignment vertical="top"/>
    </xf>
    <xf numFmtId="18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5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85" fontId="16" fillId="0" borderId="0" applyFont="0" applyFill="0" applyBorder="0" applyAlignment="0" applyProtection="0"/>
    <xf numFmtId="44" fontId="116" fillId="0" borderId="0" applyFont="0" applyFill="0" applyBorder="0" applyAlignment="0" applyProtection="0"/>
    <xf numFmtId="186" fontId="16" fillId="0" borderId="0" applyFont="0" applyFill="0" applyBorder="0" applyAlignment="0" applyProtection="0"/>
    <xf numFmtId="187" fontId="16" fillId="0" borderId="0" applyFont="0" applyFill="0" applyBorder="0" applyAlignment="0" applyProtection="0"/>
    <xf numFmtId="188" fontId="117" fillId="0" borderId="0" applyFont="0" applyFill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118" fillId="53" borderId="0" applyNumberFormat="0" applyBorder="0" applyAlignment="0" applyProtection="0"/>
    <xf numFmtId="0" fontId="118" fillId="53" borderId="0" applyNumberFormat="0" applyBorder="0" applyAlignment="0" applyProtection="0"/>
    <xf numFmtId="0" fontId="119" fillId="53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120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1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2" fillId="53" borderId="0" applyNumberFormat="0" applyBorder="0" applyAlignment="0" applyProtection="0"/>
    <xf numFmtId="0" fontId="123" fillId="53" borderId="0" applyNumberFormat="0" applyBorder="0" applyAlignment="0" applyProtection="0"/>
    <xf numFmtId="189" fontId="124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25" fillId="0" borderId="0"/>
    <xf numFmtId="0" fontId="16" fillId="0" borderId="0"/>
    <xf numFmtId="0" fontId="16" fillId="0" borderId="0"/>
    <xf numFmtId="0" fontId="16" fillId="0" borderId="0"/>
    <xf numFmtId="0" fontId="6" fillId="0" borderId="0">
      <alignment vertical="top"/>
    </xf>
    <xf numFmtId="0" fontId="16" fillId="0" borderId="0"/>
    <xf numFmtId="0" fontId="3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>
      <alignment vertical="top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>
      <alignment vertical="top"/>
    </xf>
    <xf numFmtId="19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26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>
      <alignment vertical="top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6" fillId="0" borderId="0"/>
    <xf numFmtId="0" fontId="78" fillId="0" borderId="0"/>
    <xf numFmtId="0" fontId="130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" fillId="0" borderId="0">
      <alignment vertical="top"/>
    </xf>
    <xf numFmtId="0" fontId="1" fillId="0" borderId="0"/>
    <xf numFmtId="0" fontId="131" fillId="0" borderId="0"/>
    <xf numFmtId="0" fontId="39" fillId="0" borderId="0"/>
    <xf numFmtId="0" fontId="39" fillId="0" borderId="0"/>
    <xf numFmtId="0" fontId="126" fillId="0" borderId="0"/>
    <xf numFmtId="0" fontId="39" fillId="0" borderId="0"/>
    <xf numFmtId="0" fontId="3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>
      <alignment vertical="top"/>
    </xf>
    <xf numFmtId="0" fontId="6" fillId="0" borderId="0">
      <alignment vertical="top"/>
    </xf>
    <xf numFmtId="0" fontId="16" fillId="0" borderId="0"/>
    <xf numFmtId="0" fontId="16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16" fillId="0" borderId="0"/>
    <xf numFmtId="0" fontId="129" fillId="0" borderId="0"/>
    <xf numFmtId="0" fontId="39" fillId="0" borderId="0"/>
    <xf numFmtId="0" fontId="39" fillId="0" borderId="0"/>
    <xf numFmtId="0" fontId="39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" fillId="0" borderId="0"/>
    <xf numFmtId="0" fontId="129" fillId="0" borderId="0"/>
    <xf numFmtId="0" fontId="1" fillId="16" borderId="34" applyNumberFormat="0" applyFont="0" applyAlignment="0" applyProtection="0"/>
    <xf numFmtId="0" fontId="1" fillId="16" borderId="34" applyNumberFormat="0" applyFont="0" applyAlignment="0" applyProtection="0"/>
    <xf numFmtId="0" fontId="1" fillId="16" borderId="34" applyNumberFormat="0" applyFont="0" applyAlignment="0" applyProtection="0"/>
    <xf numFmtId="0" fontId="1" fillId="16" borderId="34" applyNumberFormat="0" applyFont="0" applyAlignment="0" applyProtection="0"/>
    <xf numFmtId="0" fontId="1" fillId="16" borderId="34" applyNumberFormat="0" applyFont="0" applyAlignment="0" applyProtection="0"/>
    <xf numFmtId="0" fontId="16" fillId="47" borderId="52" applyNumberFormat="0" applyFont="0" applyAlignment="0" applyProtection="0"/>
    <xf numFmtId="0" fontId="16" fillId="47" borderId="52" applyNumberFormat="0" applyFont="0" applyAlignment="0" applyProtection="0"/>
    <xf numFmtId="0" fontId="16" fillId="47" borderId="52" applyNumberFormat="0" applyFont="0" applyAlignment="0" applyProtection="0"/>
    <xf numFmtId="0" fontId="40" fillId="47" borderId="52" applyNumberFormat="0" applyFont="0" applyAlignment="0" applyProtection="0"/>
    <xf numFmtId="0" fontId="40" fillId="47" borderId="52" applyNumberFormat="0" applyFont="0" applyAlignment="0" applyProtection="0"/>
    <xf numFmtId="0" fontId="40" fillId="47" borderId="52" applyNumberFormat="0" applyFont="0" applyAlignment="0" applyProtection="0"/>
    <xf numFmtId="0" fontId="1" fillId="16" borderId="34" applyNumberFormat="0" applyFont="0" applyAlignment="0" applyProtection="0"/>
    <xf numFmtId="0" fontId="1" fillId="16" borderId="34" applyNumberFormat="0" applyFont="0" applyAlignment="0" applyProtection="0"/>
    <xf numFmtId="0" fontId="1" fillId="16" borderId="34" applyNumberFormat="0" applyFont="0" applyAlignment="0" applyProtection="0"/>
    <xf numFmtId="0" fontId="1" fillId="16" borderId="34" applyNumberFormat="0" applyFont="0" applyAlignment="0" applyProtection="0"/>
    <xf numFmtId="0" fontId="1" fillId="16" borderId="34" applyNumberFormat="0" applyFont="0" applyAlignment="0" applyProtection="0"/>
    <xf numFmtId="0" fontId="1" fillId="16" borderId="34" applyNumberFormat="0" applyFont="0" applyAlignment="0" applyProtection="0"/>
    <xf numFmtId="0" fontId="1" fillId="16" borderId="34" applyNumberFormat="0" applyFont="0" applyAlignment="0" applyProtection="0"/>
    <xf numFmtId="0" fontId="78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53" borderId="52" applyNumberFormat="0" applyFont="0" applyAlignment="0" applyProtection="0"/>
    <xf numFmtId="0" fontId="39" fillId="53" borderId="52" applyNumberFormat="0" applyFont="0" applyAlignment="0" applyProtection="0"/>
    <xf numFmtId="0" fontId="39" fillId="53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53" borderId="52" applyNumberFormat="0" applyFont="0" applyAlignment="0" applyProtection="0"/>
    <xf numFmtId="0" fontId="39" fillId="53" borderId="52" applyNumberFormat="0" applyFont="0" applyAlignment="0" applyProtection="0"/>
    <xf numFmtId="0" fontId="39" fillId="47" borderId="52" applyNumberFormat="0" applyFont="0" applyAlignment="0" applyProtection="0"/>
    <xf numFmtId="0" fontId="39" fillId="53" borderId="52" applyNumberFormat="0" applyFont="0" applyAlignment="0" applyProtection="0"/>
    <xf numFmtId="0" fontId="39" fillId="53" borderId="52" applyNumberFormat="0" applyFont="0" applyAlignment="0" applyProtection="0"/>
    <xf numFmtId="0" fontId="39" fillId="53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53" borderId="52" applyNumberFormat="0" applyFont="0" applyAlignment="0" applyProtection="0"/>
    <xf numFmtId="0" fontId="39" fillId="53" borderId="52" applyNumberFormat="0" applyFont="0" applyAlignment="0" applyProtection="0"/>
    <xf numFmtId="0" fontId="39" fillId="47" borderId="52" applyNumberFormat="0" applyFont="0" applyAlignment="0" applyProtection="0"/>
    <xf numFmtId="0" fontId="39" fillId="53" borderId="52" applyNumberFormat="0" applyFont="0" applyAlignment="0" applyProtection="0"/>
    <xf numFmtId="0" fontId="39" fillId="53" borderId="52" applyNumberFormat="0" applyFont="0" applyAlignment="0" applyProtection="0"/>
    <xf numFmtId="0" fontId="39" fillId="53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53" borderId="52" applyNumberFormat="0" applyFont="0" applyAlignment="0" applyProtection="0"/>
    <xf numFmtId="0" fontId="39" fillId="53" borderId="52" applyNumberFormat="0" applyFont="0" applyAlignment="0" applyProtection="0"/>
    <xf numFmtId="0" fontId="39" fillId="47" borderId="52" applyNumberFormat="0" applyFont="0" applyAlignment="0" applyProtection="0"/>
    <xf numFmtId="0" fontId="39" fillId="53" borderId="52" applyNumberFormat="0" applyFont="0" applyAlignment="0" applyProtection="0"/>
    <xf numFmtId="0" fontId="39" fillId="53" borderId="52" applyNumberFormat="0" applyFont="0" applyAlignment="0" applyProtection="0"/>
    <xf numFmtId="0" fontId="39" fillId="53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47" borderId="52" applyNumberFormat="0" applyFont="0" applyAlignment="0" applyProtection="0"/>
    <xf numFmtId="0" fontId="39" fillId="53" borderId="52" applyNumberFormat="0" applyFont="0" applyAlignment="0" applyProtection="0"/>
    <xf numFmtId="0" fontId="39" fillId="53" borderId="52" applyNumberFormat="0" applyFont="0" applyAlignment="0" applyProtection="0"/>
    <xf numFmtId="0" fontId="38" fillId="47" borderId="52" applyNumberFormat="0" applyFont="0" applyAlignment="0" applyProtection="0"/>
    <xf numFmtId="0" fontId="38" fillId="53" borderId="52" applyNumberFormat="0" applyFont="0" applyAlignment="0" applyProtection="0"/>
    <xf numFmtId="0" fontId="38" fillId="53" borderId="52" applyNumberFormat="0" applyFont="0" applyAlignment="0" applyProtection="0"/>
    <xf numFmtId="0" fontId="38" fillId="53" borderId="52" applyNumberFormat="0" applyFont="0" applyAlignment="0" applyProtection="0"/>
    <xf numFmtId="0" fontId="38" fillId="47" borderId="52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32" fillId="0" borderId="0" applyFont="0" applyFill="0" applyBorder="0" applyAlignment="0" applyProtection="0"/>
    <xf numFmtId="9" fontId="11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/>
    <xf numFmtId="0" fontId="16" fillId="0" borderId="0"/>
    <xf numFmtId="9" fontId="132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" fillId="0" borderId="0" applyFont="0" applyFill="0" applyBorder="0" applyAlignment="0" applyProtection="0">
      <alignment vertical="top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33" fillId="14" borderId="31" applyNumberFormat="0" applyAlignment="0" applyProtection="0"/>
    <xf numFmtId="0" fontId="33" fillId="14" borderId="31" applyNumberFormat="0" applyAlignment="0" applyProtection="0"/>
    <xf numFmtId="0" fontId="33" fillId="14" borderId="31" applyNumberFormat="0" applyAlignment="0" applyProtection="0"/>
    <xf numFmtId="0" fontId="33" fillId="14" borderId="31" applyNumberFormat="0" applyAlignment="0" applyProtection="0"/>
    <xf numFmtId="0" fontId="33" fillId="14" borderId="31" applyNumberFormat="0" applyAlignment="0" applyProtection="0"/>
    <xf numFmtId="0" fontId="16" fillId="0" borderId="0"/>
    <xf numFmtId="0" fontId="16" fillId="0" borderId="0"/>
    <xf numFmtId="0" fontId="134" fillId="54" borderId="53" applyNumberFormat="0" applyAlignment="0" applyProtection="0"/>
    <xf numFmtId="0" fontId="33" fillId="14" borderId="31" applyNumberFormat="0" applyAlignment="0" applyProtection="0"/>
    <xf numFmtId="0" fontId="33" fillId="14" borderId="31" applyNumberFormat="0" applyAlignment="0" applyProtection="0"/>
    <xf numFmtId="0" fontId="33" fillId="14" borderId="31" applyNumberFormat="0" applyAlignment="0" applyProtection="0"/>
    <xf numFmtId="0" fontId="33" fillId="14" borderId="31" applyNumberFormat="0" applyAlignment="0" applyProtection="0"/>
    <xf numFmtId="0" fontId="33" fillId="14" borderId="31" applyNumberFormat="0" applyAlignment="0" applyProtection="0"/>
    <xf numFmtId="0" fontId="33" fillId="14" borderId="31" applyNumberFormat="0" applyAlignment="0" applyProtection="0"/>
    <xf numFmtId="0" fontId="33" fillId="14" borderId="31" applyNumberFormat="0" applyAlignment="0" applyProtection="0"/>
    <xf numFmtId="0" fontId="16" fillId="0" borderId="0"/>
    <xf numFmtId="0" fontId="16" fillId="0" borderId="0"/>
    <xf numFmtId="0" fontId="16" fillId="0" borderId="0"/>
    <xf numFmtId="171" fontId="16" fillId="0" borderId="0" applyFont="0" applyFill="0" applyBorder="0" applyAlignment="0" applyProtection="0"/>
    <xf numFmtId="40" fontId="135" fillId="0" borderId="0" applyFont="0" applyFill="0" applyBorder="0" applyAlignment="0" applyProtection="0"/>
    <xf numFmtId="43" fontId="130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133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6" fillId="0" borderId="0" applyFont="0" applyFill="0" applyBorder="0" applyAlignment="0" applyProtection="0"/>
    <xf numFmtId="43" fontId="127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6" fillId="0" borderId="0" applyFont="0" applyFill="0" applyBorder="0" applyAlignment="0" applyProtection="0">
      <alignment vertical="top"/>
    </xf>
    <xf numFmtId="43" fontId="6" fillId="0" borderId="0" applyFont="0" applyFill="0" applyBorder="0" applyAlignment="0" applyProtection="0">
      <alignment vertical="top"/>
    </xf>
    <xf numFmtId="43" fontId="1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6" fillId="0" borderId="0"/>
    <xf numFmtId="0" fontId="13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/>
    <xf numFmtId="0" fontId="16" fillId="0" borderId="0"/>
    <xf numFmtId="0" fontId="13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9" fillId="0" borderId="27" applyNumberFormat="0" applyFill="0" applyAlignment="0" applyProtection="0"/>
    <xf numFmtId="0" fontId="139" fillId="0" borderId="27" applyNumberFormat="0" applyFill="0" applyAlignment="0" applyProtection="0"/>
    <xf numFmtId="0" fontId="139" fillId="0" borderId="27" applyNumberFormat="0" applyFill="0" applyAlignment="0" applyProtection="0"/>
    <xf numFmtId="0" fontId="139" fillId="0" borderId="27" applyNumberFormat="0" applyFill="0" applyAlignment="0" applyProtection="0"/>
    <xf numFmtId="0" fontId="139" fillId="0" borderId="27" applyNumberFormat="0" applyFill="0" applyAlignment="0" applyProtection="0"/>
    <xf numFmtId="0" fontId="16" fillId="0" borderId="0"/>
    <xf numFmtId="0" fontId="16" fillId="0" borderId="0"/>
    <xf numFmtId="0" fontId="140" fillId="0" borderId="43" applyNumberFormat="0" applyFill="0" applyAlignment="0" applyProtection="0"/>
    <xf numFmtId="0" fontId="139" fillId="0" borderId="27" applyNumberFormat="0" applyFill="0" applyAlignment="0" applyProtection="0"/>
    <xf numFmtId="0" fontId="139" fillId="0" borderId="27" applyNumberFormat="0" applyFill="0" applyAlignment="0" applyProtection="0"/>
    <xf numFmtId="0" fontId="139" fillId="0" borderId="27" applyNumberFormat="0" applyFill="0" applyAlignment="0" applyProtection="0"/>
    <xf numFmtId="0" fontId="139" fillId="0" borderId="27" applyNumberFormat="0" applyFill="0" applyAlignment="0" applyProtection="0"/>
    <xf numFmtId="0" fontId="139" fillId="0" borderId="27" applyNumberFormat="0" applyFill="0" applyAlignment="0" applyProtection="0"/>
    <xf numFmtId="0" fontId="139" fillId="0" borderId="27" applyNumberFormat="0" applyFill="0" applyAlignment="0" applyProtection="0"/>
    <xf numFmtId="0" fontId="139" fillId="0" borderId="27" applyNumberFormat="0" applyFill="0" applyAlignment="0" applyProtection="0"/>
    <xf numFmtId="0" fontId="141" fillId="0" borderId="28" applyNumberFormat="0" applyFill="0" applyAlignment="0" applyProtection="0"/>
    <xf numFmtId="0" fontId="141" fillId="0" borderId="28" applyNumberFormat="0" applyFill="0" applyAlignment="0" applyProtection="0"/>
    <xf numFmtId="0" fontId="141" fillId="0" borderId="28" applyNumberFormat="0" applyFill="0" applyAlignment="0" applyProtection="0"/>
    <xf numFmtId="0" fontId="141" fillId="0" borderId="28" applyNumberFormat="0" applyFill="0" applyAlignment="0" applyProtection="0"/>
    <xf numFmtId="0" fontId="141" fillId="0" borderId="28" applyNumberFormat="0" applyFill="0" applyAlignment="0" applyProtection="0"/>
    <xf numFmtId="0" fontId="16" fillId="0" borderId="0"/>
    <xf numFmtId="0" fontId="16" fillId="0" borderId="0"/>
    <xf numFmtId="0" fontId="142" fillId="0" borderId="46" applyNumberFormat="0" applyFill="0" applyAlignment="0" applyProtection="0"/>
    <xf numFmtId="0" fontId="141" fillId="0" borderId="28" applyNumberFormat="0" applyFill="0" applyAlignment="0" applyProtection="0"/>
    <xf numFmtId="0" fontId="141" fillId="0" borderId="28" applyNumberFormat="0" applyFill="0" applyAlignment="0" applyProtection="0"/>
    <xf numFmtId="0" fontId="141" fillId="0" borderId="28" applyNumberFormat="0" applyFill="0" applyAlignment="0" applyProtection="0"/>
    <xf numFmtId="0" fontId="141" fillId="0" borderId="28" applyNumberFormat="0" applyFill="0" applyAlignment="0" applyProtection="0"/>
    <xf numFmtId="0" fontId="141" fillId="0" borderId="28" applyNumberFormat="0" applyFill="0" applyAlignment="0" applyProtection="0"/>
    <xf numFmtId="0" fontId="141" fillId="0" borderId="28" applyNumberFormat="0" applyFill="0" applyAlignment="0" applyProtection="0"/>
    <xf numFmtId="0" fontId="141" fillId="0" borderId="28" applyNumberFormat="0" applyFill="0" applyAlignment="0" applyProtection="0"/>
    <xf numFmtId="0" fontId="143" fillId="0" borderId="29" applyNumberFormat="0" applyFill="0" applyAlignment="0" applyProtection="0"/>
    <xf numFmtId="0" fontId="143" fillId="0" borderId="29" applyNumberFormat="0" applyFill="0" applyAlignment="0" applyProtection="0"/>
    <xf numFmtId="0" fontId="143" fillId="0" borderId="29" applyNumberFormat="0" applyFill="0" applyAlignment="0" applyProtection="0"/>
    <xf numFmtId="0" fontId="143" fillId="0" borderId="29" applyNumberFormat="0" applyFill="0" applyAlignment="0" applyProtection="0"/>
    <xf numFmtId="0" fontId="143" fillId="0" borderId="29" applyNumberFormat="0" applyFill="0" applyAlignment="0" applyProtection="0"/>
    <xf numFmtId="0" fontId="16" fillId="0" borderId="0"/>
    <xf numFmtId="0" fontId="16" fillId="0" borderId="0"/>
    <xf numFmtId="0" fontId="144" fillId="0" borderId="49" applyNumberFormat="0" applyFill="0" applyAlignment="0" applyProtection="0"/>
    <xf numFmtId="0" fontId="143" fillId="0" borderId="29" applyNumberFormat="0" applyFill="0" applyAlignment="0" applyProtection="0"/>
    <xf numFmtId="0" fontId="143" fillId="0" borderId="29" applyNumberFormat="0" applyFill="0" applyAlignment="0" applyProtection="0"/>
    <xf numFmtId="0" fontId="143" fillId="0" borderId="29" applyNumberFormat="0" applyFill="0" applyAlignment="0" applyProtection="0"/>
    <xf numFmtId="0" fontId="143" fillId="0" borderId="29" applyNumberFormat="0" applyFill="0" applyAlignment="0" applyProtection="0"/>
    <xf numFmtId="0" fontId="143" fillId="0" borderId="29" applyNumberFormat="0" applyFill="0" applyAlignment="0" applyProtection="0"/>
    <xf numFmtId="0" fontId="143" fillId="0" borderId="29" applyNumberFormat="0" applyFill="0" applyAlignment="0" applyProtection="0"/>
    <xf numFmtId="0" fontId="143" fillId="0" borderId="29" applyNumberFormat="0" applyFill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6" fillId="0" borderId="0"/>
    <xf numFmtId="0" fontId="16" fillId="0" borderId="0"/>
    <xf numFmtId="0" fontId="144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146" fillId="0" borderId="54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46" fillId="0" borderId="54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1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1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1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1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1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1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1" applyNumberFormat="0" applyFill="0" applyAlignment="0" applyProtection="0"/>
    <xf numFmtId="0" fontId="16" fillId="0" borderId="0"/>
    <xf numFmtId="0" fontId="16" fillId="0" borderId="0"/>
    <xf numFmtId="0" fontId="16" fillId="0" borderId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top"/>
    </xf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top"/>
    </xf>
    <xf numFmtId="171" fontId="16" fillId="0" borderId="0" applyFont="0" applyFill="0" applyBorder="0" applyAlignment="0" applyProtection="0"/>
    <xf numFmtId="171" fontId="1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/>
    <xf numFmtId="43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7" fillId="0" borderId="0" applyFont="0" applyFill="0" applyBorder="0" applyAlignment="0" applyProtection="0">
      <alignment horizontal="center"/>
    </xf>
    <xf numFmtId="0" fontId="148" fillId="0" borderId="0"/>
    <xf numFmtId="43" fontId="148" fillId="0" borderId="0" applyFont="0" applyFill="0" applyBorder="0" applyAlignment="0" applyProtection="0"/>
    <xf numFmtId="0" fontId="152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152" fillId="0" borderId="0">
      <alignment vertical="top"/>
    </xf>
    <xf numFmtId="0" fontId="154" fillId="0" borderId="0">
      <alignment vertical="top"/>
    </xf>
    <xf numFmtId="0" fontId="155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16" fillId="0" borderId="0"/>
    <xf numFmtId="0" fontId="16" fillId="0" borderId="0"/>
    <xf numFmtId="0" fontId="16" fillId="0" borderId="0"/>
    <xf numFmtId="0" fontId="6" fillId="0" borderId="0">
      <alignment vertical="top"/>
    </xf>
    <xf numFmtId="0" fontId="10" fillId="0" borderId="0" applyNumberFormat="0" applyProtection="0">
      <alignment vertical="center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16" fillId="0" borderId="0"/>
    <xf numFmtId="0" fontId="16" fillId="0" borderId="0"/>
    <xf numFmtId="0" fontId="16" fillId="0" borderId="0"/>
    <xf numFmtId="0" fontId="6" fillId="0" borderId="0">
      <alignment vertical="top"/>
    </xf>
    <xf numFmtId="0" fontId="157" fillId="0" borderId="0"/>
    <xf numFmtId="0" fontId="157" fillId="0" borderId="0"/>
    <xf numFmtId="0" fontId="157" fillId="0" borderId="0"/>
    <xf numFmtId="0" fontId="157" fillId="0" borderId="0"/>
    <xf numFmtId="0" fontId="158" fillId="0" borderId="0">
      <alignment vertical="top"/>
    </xf>
    <xf numFmtId="0" fontId="6" fillId="0" borderId="0">
      <alignment vertical="top"/>
    </xf>
    <xf numFmtId="0" fontId="159" fillId="0" borderId="0">
      <alignment vertical="top"/>
    </xf>
    <xf numFmtId="0" fontId="161" fillId="0" borderId="0">
      <alignment vertical="top"/>
    </xf>
    <xf numFmtId="43" fontId="161" fillId="0" borderId="0" applyFont="0" applyFill="0" applyBorder="0" applyAlignment="0" applyProtection="0">
      <alignment vertical="top"/>
    </xf>
    <xf numFmtId="0" fontId="162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1" fillId="0" borderId="0">
      <alignment vertical="top"/>
    </xf>
    <xf numFmtId="0" fontId="162" fillId="0" borderId="0"/>
    <xf numFmtId="0" fontId="165" fillId="0" borderId="0"/>
    <xf numFmtId="0" fontId="165" fillId="0" borderId="0"/>
    <xf numFmtId="0" fontId="165" fillId="0" borderId="0"/>
    <xf numFmtId="0" fontId="167" fillId="0" borderId="0">
      <alignment vertical="top"/>
    </xf>
    <xf numFmtId="0" fontId="165" fillId="0" borderId="0"/>
    <xf numFmtId="0" fontId="167" fillId="0" borderId="0">
      <alignment vertical="top"/>
    </xf>
    <xf numFmtId="44" fontId="1" fillId="0" borderId="0" applyFont="0" applyFill="0" applyBorder="0" applyAlignment="0" applyProtection="0"/>
    <xf numFmtId="0" fontId="168" fillId="0" borderId="0"/>
    <xf numFmtId="0" fontId="168" fillId="0" borderId="0"/>
    <xf numFmtId="0" fontId="168" fillId="0" borderId="0"/>
    <xf numFmtId="0" fontId="168" fillId="0" borderId="0"/>
    <xf numFmtId="0" fontId="6" fillId="0" borderId="0">
      <alignment vertical="top"/>
    </xf>
    <xf numFmtId="0" fontId="170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168" fillId="0" borderId="0"/>
    <xf numFmtId="0" fontId="168" fillId="0" borderId="0"/>
    <xf numFmtId="0" fontId="170" fillId="0" borderId="0">
      <alignment vertical="top"/>
    </xf>
  </cellStyleXfs>
  <cellXfs count="567">
    <xf numFmtId="0" fontId="0" fillId="0" borderId="0" xfId="0"/>
    <xf numFmtId="0" fontId="3" fillId="2" borderId="5" xfId="2" applyFill="1" applyBorder="1" applyAlignment="1">
      <alignment horizontal="center" vertical="center" wrapText="1"/>
    </xf>
    <xf numFmtId="49" fontId="3" fillId="2" borderId="5" xfId="2" applyNumberFormat="1" applyFill="1" applyBorder="1" applyAlignment="1">
      <alignment horizontal="center" vertical="center" wrapText="1"/>
    </xf>
    <xf numFmtId="14" fontId="3" fillId="2" borderId="5" xfId="2" applyNumberFormat="1" applyFill="1" applyBorder="1" applyAlignment="1">
      <alignment horizontal="center" vertical="center" wrapText="1"/>
    </xf>
    <xf numFmtId="43" fontId="3" fillId="2" borderId="5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43" fontId="0" fillId="0" borderId="0" xfId="1" applyFont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9" xfId="0" applyBorder="1" applyAlignment="1">
      <alignment vertical="center"/>
    </xf>
    <xf numFmtId="49" fontId="0" fillId="0" borderId="9" xfId="0" applyNumberFormat="1" applyBorder="1" applyAlignment="1">
      <alignment vertical="center"/>
    </xf>
    <xf numFmtId="14" fontId="0" fillId="0" borderId="9" xfId="0" applyNumberFormat="1" applyBorder="1" applyAlignment="1">
      <alignment vertical="center"/>
    </xf>
    <xf numFmtId="43" fontId="0" fillId="0" borderId="9" xfId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0" fillId="0" borderId="10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43" fontId="0" fillId="0" borderId="10" xfId="1" applyFont="1" applyBorder="1" applyAlignment="1">
      <alignment vertical="center"/>
    </xf>
    <xf numFmtId="0" fontId="0" fillId="0" borderId="11" xfId="0" applyBorder="1" applyAlignment="1">
      <alignment vertical="center"/>
    </xf>
    <xf numFmtId="49" fontId="0" fillId="0" borderId="11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43" fontId="0" fillId="0" borderId="11" xfId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Fill="1" applyBorder="1" applyAlignment="1">
      <alignment vertical="center"/>
    </xf>
    <xf numFmtId="49" fontId="0" fillId="0" borderId="10" xfId="0" applyNumberFormat="1" applyFill="1" applyBorder="1" applyAlignment="1">
      <alignment horizontal="center" vertical="center"/>
    </xf>
    <xf numFmtId="14" fontId="0" fillId="0" borderId="10" xfId="0" applyNumberFormat="1" applyFill="1" applyBorder="1" applyAlignment="1">
      <alignment vertical="center"/>
    </xf>
    <xf numFmtId="43" fontId="0" fillId="0" borderId="10" xfId="1" applyFont="1" applyFill="1" applyBorder="1" applyAlignment="1">
      <alignment vertical="center"/>
    </xf>
    <xf numFmtId="0" fontId="0" fillId="0" borderId="10" xfId="0" applyNumberForma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NumberFormat="1" applyFont="1" applyAlignment="1">
      <alignment vertical="top"/>
    </xf>
    <xf numFmtId="49" fontId="0" fillId="0" borderId="10" xfId="0" applyNumberFormat="1" applyFill="1" applyBorder="1" applyAlignment="1">
      <alignment vertical="center"/>
    </xf>
    <xf numFmtId="14" fontId="0" fillId="0" borderId="10" xfId="1" applyNumberFormat="1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49" fontId="0" fillId="0" borderId="12" xfId="0" applyNumberFormat="1" applyBorder="1" applyAlignment="1">
      <alignment vertical="center"/>
    </xf>
    <xf numFmtId="43" fontId="0" fillId="0" borderId="12" xfId="1" applyFont="1" applyBorder="1" applyAlignment="1">
      <alignment vertical="center"/>
    </xf>
    <xf numFmtId="43" fontId="0" fillId="0" borderId="13" xfId="1" applyFont="1" applyBorder="1" applyAlignment="1">
      <alignment vertical="center"/>
    </xf>
    <xf numFmtId="0" fontId="0" fillId="0" borderId="12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3" fillId="2" borderId="5" xfId="1" applyNumberFormat="1" applyFont="1" applyFill="1" applyBorder="1" applyAlignment="1">
      <alignment horizontal="center" vertical="center" wrapText="1"/>
    </xf>
    <xf numFmtId="43" fontId="0" fillId="0" borderId="0" xfId="0" applyNumberFormat="1" applyAlignment="1">
      <alignment vertical="center"/>
    </xf>
    <xf numFmtId="0" fontId="0" fillId="0" borderId="5" xfId="0" applyBorder="1" applyAlignment="1">
      <alignment horizontal="center" vertical="center"/>
    </xf>
    <xf numFmtId="165" fontId="0" fillId="0" borderId="12" xfId="1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43" fontId="0" fillId="0" borderId="5" xfId="1" applyFont="1" applyBorder="1" applyAlignment="1">
      <alignment horizontal="center" vertical="center" wrapText="1"/>
    </xf>
    <xf numFmtId="43" fontId="3" fillId="0" borderId="5" xfId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0" fillId="0" borderId="0" xfId="3" applyFont="1" applyAlignment="1">
      <alignment vertical="center"/>
    </xf>
    <xf numFmtId="10" fontId="0" fillId="0" borderId="0" xfId="3" applyNumberFormat="1" applyFont="1" applyAlignment="1">
      <alignment horizontal="center" vertical="center"/>
    </xf>
    <xf numFmtId="43" fontId="0" fillId="0" borderId="0" xfId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0" fillId="0" borderId="9" xfId="1" applyNumberFormat="1" applyFont="1" applyBorder="1" applyAlignment="1">
      <alignment vertical="center"/>
    </xf>
    <xf numFmtId="43" fontId="0" fillId="0" borderId="0" xfId="1" applyFont="1" applyBorder="1" applyAlignment="1">
      <alignment horizontal="center" vertical="center"/>
    </xf>
    <xf numFmtId="43" fontId="0" fillId="0" borderId="12" xfId="1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1" fontId="5" fillId="0" borderId="5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166" fontId="9" fillId="0" borderId="0" xfId="1" applyNumberFormat="1" applyFont="1" applyFill="1" applyBorder="1" applyAlignment="1">
      <alignment horizontal="left" vertical="center"/>
    </xf>
    <xf numFmtId="43" fontId="10" fillId="0" borderId="10" xfId="1" applyFont="1" applyFill="1" applyBorder="1" applyAlignment="1">
      <alignment vertical="center"/>
    </xf>
    <xf numFmtId="10" fontId="0" fillId="0" borderId="5" xfId="3" applyNumberFormat="1" applyFont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49" fontId="10" fillId="0" borderId="10" xfId="0" applyNumberFormat="1" applyFont="1" applyFill="1" applyBorder="1" applyAlignment="1">
      <alignment horizontal="center" vertical="center"/>
    </xf>
    <xf numFmtId="0" fontId="10" fillId="0" borderId="10" xfId="0" applyNumberFormat="1" applyFont="1" applyFill="1" applyBorder="1" applyAlignment="1">
      <alignment horizontal="center" vertical="center"/>
    </xf>
    <xf numFmtId="14" fontId="10" fillId="0" borderId="10" xfId="0" applyNumberFormat="1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3" fillId="0" borderId="14" xfId="0" applyFont="1" applyBorder="1" applyAlignment="1">
      <alignment horizontal="center" vertical="center" wrapText="1"/>
    </xf>
    <xf numFmtId="10" fontId="13" fillId="0" borderId="14" xfId="0" applyNumberFormat="1" applyFont="1" applyBorder="1" applyAlignment="1">
      <alignment horizontal="center" vertical="center" wrapText="1"/>
    </xf>
    <xf numFmtId="43" fontId="13" fillId="0" borderId="14" xfId="1" applyFont="1" applyBorder="1" applyAlignment="1">
      <alignment horizontal="center" vertical="center" wrapText="1"/>
    </xf>
    <xf numFmtId="14" fontId="0" fillId="0" borderId="10" xfId="1" applyNumberFormat="1" applyFont="1" applyFill="1" applyBorder="1" applyAlignment="1">
      <alignment vertical="center"/>
    </xf>
    <xf numFmtId="0" fontId="0" fillId="0" borderId="15" xfId="0" applyBorder="1" applyAlignment="1">
      <alignment vertical="center"/>
    </xf>
    <xf numFmtId="49" fontId="0" fillId="0" borderId="15" xfId="0" applyNumberFormat="1" applyBorder="1" applyAlignment="1">
      <alignment vertical="center"/>
    </xf>
    <xf numFmtId="14" fontId="0" fillId="0" borderId="15" xfId="0" applyNumberFormat="1" applyBorder="1" applyAlignment="1">
      <alignment vertical="center"/>
    </xf>
    <xf numFmtId="43" fontId="0" fillId="0" borderId="15" xfId="1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15" xfId="0" applyFill="1" applyBorder="1" applyAlignment="1">
      <alignment vertical="center"/>
    </xf>
    <xf numFmtId="49" fontId="0" fillId="0" borderId="15" xfId="0" applyNumberFormat="1" applyFill="1" applyBorder="1" applyAlignment="1">
      <alignment horizontal="center" vertical="center"/>
    </xf>
    <xf numFmtId="0" fontId="0" fillId="0" borderId="15" xfId="0" applyNumberFormat="1" applyFill="1" applyBorder="1" applyAlignment="1">
      <alignment horizontal="center" vertical="center"/>
    </xf>
    <xf numFmtId="14" fontId="0" fillId="0" borderId="15" xfId="0" applyNumberFormat="1" applyFill="1" applyBorder="1" applyAlignment="1">
      <alignment vertical="center"/>
    </xf>
    <xf numFmtId="14" fontId="0" fillId="0" borderId="15" xfId="1" applyNumberFormat="1" applyFont="1" applyFill="1" applyBorder="1" applyAlignment="1">
      <alignment horizontal="center" vertical="center"/>
    </xf>
    <xf numFmtId="43" fontId="0" fillId="0" borderId="15" xfId="1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49" fontId="0" fillId="4" borderId="12" xfId="0" applyNumberFormat="1" applyFill="1" applyBorder="1" applyAlignment="1">
      <alignment vertical="center"/>
    </xf>
    <xf numFmtId="0" fontId="0" fillId="4" borderId="12" xfId="0" applyNumberFormat="1" applyFill="1" applyBorder="1" applyAlignment="1">
      <alignment horizontal="center" vertical="center"/>
    </xf>
    <xf numFmtId="43" fontId="0" fillId="4" borderId="12" xfId="1" applyFont="1" applyFill="1" applyBorder="1" applyAlignment="1">
      <alignment vertical="center"/>
    </xf>
    <xf numFmtId="0" fontId="0" fillId="0" borderId="5" xfId="0" applyFont="1" applyBorder="1" applyAlignment="1">
      <alignment horizontal="center"/>
    </xf>
    <xf numFmtId="49" fontId="0" fillId="0" borderId="5" xfId="0" applyNumberFormat="1" applyFont="1" applyBorder="1" applyAlignment="1">
      <alignment horizontal="left"/>
    </xf>
    <xf numFmtId="0" fontId="0" fillId="0" borderId="5" xfId="0" applyFont="1" applyBorder="1" applyAlignment="1">
      <alignment horizontal="left"/>
    </xf>
    <xf numFmtId="43" fontId="0" fillId="0" borderId="5" xfId="1" applyFont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0" fontId="2" fillId="0" borderId="0" xfId="0" applyFont="1" applyAlignment="1">
      <alignment vertical="center" wrapText="1"/>
    </xf>
    <xf numFmtId="49" fontId="2" fillId="5" borderId="5" xfId="4" applyNumberFormat="1" applyFont="1" applyBorder="1" applyAlignment="1">
      <alignment horizontal="center" vertical="center" wrapText="1"/>
    </xf>
    <xf numFmtId="14" fontId="2" fillId="5" borderId="5" xfId="4" applyNumberFormat="1" applyFont="1" applyBorder="1" applyAlignment="1">
      <alignment horizontal="center" vertical="center" wrapText="1"/>
    </xf>
    <xf numFmtId="14" fontId="0" fillId="0" borderId="5" xfId="1" applyNumberFormat="1" applyFont="1" applyBorder="1" applyAlignment="1">
      <alignment horizontal="center"/>
    </xf>
    <xf numFmtId="43" fontId="2" fillId="5" borderId="5" xfId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3" fontId="0" fillId="0" borderId="0" xfId="1" applyFont="1" applyAlignment="1">
      <alignment horizontal="right" vertical="center"/>
    </xf>
    <xf numFmtId="43" fontId="0" fillId="0" borderId="5" xfId="1" applyFont="1" applyBorder="1" applyAlignment="1">
      <alignment horizontal="right"/>
    </xf>
    <xf numFmtId="43" fontId="0" fillId="0" borderId="0" xfId="1" applyFont="1" applyBorder="1" applyAlignment="1">
      <alignment horizontal="right" vertical="center"/>
    </xf>
    <xf numFmtId="14" fontId="0" fillId="0" borderId="5" xfId="0" applyNumberFormat="1" applyFont="1" applyBorder="1" applyAlignment="1">
      <alignment horizontal="left"/>
    </xf>
    <xf numFmtId="43" fontId="0" fillId="0" borderId="5" xfId="1" applyFont="1" applyBorder="1" applyAlignment="1">
      <alignment horizontal="right" vertical="center"/>
    </xf>
    <xf numFmtId="0" fontId="0" fillId="0" borderId="12" xfId="0" applyFill="1" applyBorder="1" applyAlignment="1">
      <alignment vertical="center"/>
    </xf>
    <xf numFmtId="49" fontId="0" fillId="0" borderId="12" xfId="0" applyNumberFormat="1" applyFill="1" applyBorder="1" applyAlignment="1">
      <alignment vertical="center"/>
    </xf>
    <xf numFmtId="0" fontId="0" fillId="0" borderId="12" xfId="0" applyNumberFormat="1" applyFill="1" applyBorder="1" applyAlignment="1">
      <alignment horizontal="center" vertical="center"/>
    </xf>
    <xf numFmtId="43" fontId="0" fillId="0" borderId="12" xfId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49" fontId="0" fillId="0" borderId="5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43" fontId="3" fillId="2" borderId="13" xfId="1" applyFont="1" applyFill="1" applyBorder="1" applyAlignment="1">
      <alignment horizontal="center" vertical="center" wrapText="1"/>
    </xf>
    <xf numFmtId="49" fontId="0" fillId="6" borderId="5" xfId="0" applyNumberFormat="1" applyFont="1" applyFill="1" applyBorder="1" applyAlignment="1">
      <alignment horizontal="left"/>
    </xf>
    <xf numFmtId="0" fontId="0" fillId="6" borderId="5" xfId="0" applyFont="1" applyFill="1" applyBorder="1" applyAlignment="1">
      <alignment horizontal="center"/>
    </xf>
    <xf numFmtId="43" fontId="0" fillId="6" borderId="5" xfId="1" applyFont="1" applyFill="1" applyBorder="1" applyAlignment="1">
      <alignment horizontal="right"/>
    </xf>
    <xf numFmtId="0" fontId="0" fillId="6" borderId="5" xfId="0" applyFont="1" applyFill="1" applyBorder="1" applyAlignment="1">
      <alignment horizontal="left"/>
    </xf>
    <xf numFmtId="14" fontId="0" fillId="6" borderId="5" xfId="0" applyNumberFormat="1" applyFont="1" applyFill="1" applyBorder="1" applyAlignment="1">
      <alignment horizontal="left"/>
    </xf>
    <xf numFmtId="14" fontId="0" fillId="6" borderId="5" xfId="1" applyNumberFormat="1" applyFont="1" applyFill="1" applyBorder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0" fillId="0" borderId="5" xfId="0" applyNumberFormat="1" applyFont="1" applyFill="1" applyBorder="1" applyAlignment="1">
      <alignment horizontal="left"/>
    </xf>
    <xf numFmtId="49" fontId="10" fillId="0" borderId="5" xfId="0" applyNumberFormat="1" applyFont="1" applyBorder="1" applyAlignment="1">
      <alignment horizontal="left"/>
    </xf>
    <xf numFmtId="49" fontId="0" fillId="7" borderId="20" xfId="0" applyNumberFormat="1" applyFont="1" applyFill="1" applyBorder="1" applyAlignment="1">
      <alignment horizontal="center"/>
    </xf>
    <xf numFmtId="0" fontId="0" fillId="7" borderId="20" xfId="0" applyFont="1" applyFill="1" applyBorder="1" applyAlignment="1">
      <alignment horizontal="center"/>
    </xf>
    <xf numFmtId="14" fontId="0" fillId="7" borderId="20" xfId="0" applyNumberFormat="1" applyFont="1" applyFill="1" applyBorder="1" applyAlignment="1">
      <alignment horizontal="center"/>
    </xf>
    <xf numFmtId="49" fontId="0" fillId="7" borderId="20" xfId="0" applyNumberFormat="1" applyFont="1" applyFill="1" applyBorder="1" applyAlignment="1">
      <alignment horizontal="left"/>
    </xf>
    <xf numFmtId="43" fontId="0" fillId="7" borderId="20" xfId="1" applyFont="1" applyFill="1" applyBorder="1" applyAlignment="1">
      <alignment horizontal="center"/>
    </xf>
    <xf numFmtId="0" fontId="0" fillId="7" borderId="21" xfId="0" applyFont="1" applyFill="1" applyBorder="1" applyAlignment="1"/>
    <xf numFmtId="0" fontId="0" fillId="7" borderId="0" xfId="0" applyFont="1" applyFill="1" applyBorder="1" applyAlignment="1"/>
    <xf numFmtId="0" fontId="0" fillId="7" borderId="22" xfId="0" applyFont="1" applyFill="1" applyBorder="1" applyAlignment="1"/>
    <xf numFmtId="0" fontId="0" fillId="0" borderId="0" xfId="0" applyFont="1" applyAlignment="1"/>
    <xf numFmtId="49" fontId="0" fillId="7" borderId="23" xfId="0" applyNumberFormat="1" applyFont="1" applyFill="1" applyBorder="1" applyAlignment="1">
      <alignment horizontal="left"/>
    </xf>
    <xf numFmtId="0" fontId="0" fillId="7" borderId="23" xfId="0" applyFont="1" applyFill="1" applyBorder="1" applyAlignment="1">
      <alignment horizontal="center"/>
    </xf>
    <xf numFmtId="49" fontId="0" fillId="7" borderId="23" xfId="0" applyNumberFormat="1" applyFont="1" applyFill="1" applyBorder="1" applyAlignment="1">
      <alignment horizontal="center"/>
    </xf>
    <xf numFmtId="14" fontId="0" fillId="7" borderId="23" xfId="0" applyNumberFormat="1" applyFont="1" applyFill="1" applyBorder="1" applyAlignment="1">
      <alignment horizontal="center"/>
    </xf>
    <xf numFmtId="43" fontId="0" fillId="7" borderId="23" xfId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49" fontId="0" fillId="7" borderId="5" xfId="0" applyNumberFormat="1" applyFont="1" applyFill="1" applyBorder="1" applyAlignment="1">
      <alignment horizontal="left"/>
    </xf>
    <xf numFmtId="0" fontId="0" fillId="7" borderId="5" xfId="0" applyFont="1" applyFill="1" applyBorder="1" applyAlignment="1">
      <alignment horizontal="center"/>
    </xf>
    <xf numFmtId="49" fontId="0" fillId="7" borderId="5" xfId="0" applyNumberFormat="1" applyFont="1" applyFill="1" applyBorder="1" applyAlignment="1">
      <alignment horizontal="center"/>
    </xf>
    <xf numFmtId="14" fontId="0" fillId="7" borderId="5" xfId="0" applyNumberFormat="1" applyFont="1" applyFill="1" applyBorder="1" applyAlignment="1">
      <alignment horizontal="center"/>
    </xf>
    <xf numFmtId="43" fontId="0" fillId="7" borderId="5" xfId="1" applyFont="1" applyFill="1" applyBorder="1" applyAlignment="1">
      <alignment horizontal="center"/>
    </xf>
    <xf numFmtId="49" fontId="0" fillId="7" borderId="20" xfId="0" applyNumberFormat="1" applyFont="1" applyFill="1" applyBorder="1" applyAlignment="1">
      <alignment horizontal="left" wrapText="1"/>
    </xf>
    <xf numFmtId="166" fontId="0" fillId="0" borderId="10" xfId="1" applyNumberFormat="1" applyFont="1" applyFill="1" applyBorder="1" applyAlignment="1">
      <alignment horizontal="center" vertical="center"/>
    </xf>
    <xf numFmtId="43" fontId="0" fillId="0" borderId="1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8" borderId="24" xfId="2" applyFill="1" applyBorder="1" applyAlignment="1">
      <alignment horizontal="center" vertical="center" wrapText="1"/>
    </xf>
    <xf numFmtId="49" fontId="3" fillId="8" borderId="24" xfId="2" applyNumberFormat="1" applyFill="1" applyBorder="1" applyAlignment="1">
      <alignment horizontal="center" vertical="center" wrapText="1"/>
    </xf>
    <xf numFmtId="14" fontId="3" fillId="8" borderId="24" xfId="2" applyNumberFormat="1" applyFill="1" applyBorder="1" applyAlignment="1">
      <alignment horizontal="center" vertical="center" wrapText="1"/>
    </xf>
    <xf numFmtId="43" fontId="3" fillId="8" borderId="24" xfId="1" applyFont="1" applyFill="1" applyBorder="1" applyAlignment="1">
      <alignment horizontal="center" vertical="center" wrapText="1"/>
    </xf>
    <xf numFmtId="10" fontId="3" fillId="8" borderId="2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3" fontId="0" fillId="0" borderId="0" xfId="1" applyFont="1"/>
    <xf numFmtId="0" fontId="0" fillId="0" borderId="0" xfId="0" applyNumberFormat="1"/>
    <xf numFmtId="14" fontId="0" fillId="0" borderId="0" xfId="1" applyNumberFormat="1" applyFont="1"/>
    <xf numFmtId="0" fontId="10" fillId="0" borderId="12" xfId="0" applyNumberFormat="1" applyFont="1" applyFill="1" applyBorder="1" applyAlignment="1">
      <alignment horizontal="center" vertical="center"/>
    </xf>
    <xf numFmtId="43" fontId="5" fillId="0" borderId="0" xfId="1" applyFont="1" applyAlignment="1">
      <alignment vertical="center"/>
    </xf>
    <xf numFmtId="4" fontId="0" fillId="0" borderId="0" xfId="0" applyNumberFormat="1"/>
    <xf numFmtId="0" fontId="8" fillId="0" borderId="0" xfId="0" applyFont="1"/>
    <xf numFmtId="10" fontId="0" fillId="0" borderId="10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7" fillId="2" borderId="5" xfId="2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43" fontId="1" fillId="0" borderId="5" xfId="1" applyFont="1" applyBorder="1" applyAlignment="1">
      <alignment vertical="center"/>
    </xf>
    <xf numFmtId="43" fontId="3" fillId="2" borderId="5" xfId="1" applyFont="1" applyFill="1" applyBorder="1" applyAlignment="1">
      <alignment vertical="center"/>
    </xf>
    <xf numFmtId="165" fontId="1" fillId="0" borderId="6" xfId="1" applyNumberFormat="1" applyFont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6" fontId="0" fillId="0" borderId="15" xfId="1" applyNumberFormat="1" applyFont="1" applyFill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4" borderId="12" xfId="1" applyFont="1" applyFill="1" applyBorder="1" applyAlignment="1">
      <alignment horizontal="center" vertical="center"/>
    </xf>
    <xf numFmtId="43" fontId="0" fillId="0" borderId="12" xfId="1" applyFont="1" applyFill="1" applyBorder="1" applyAlignment="1">
      <alignment horizontal="center" vertical="center"/>
    </xf>
    <xf numFmtId="43" fontId="10" fillId="0" borderId="12" xfId="1" applyFont="1" applyFill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43" fontId="0" fillId="0" borderId="15" xfId="1" applyFont="1" applyFill="1" applyBorder="1" applyAlignment="1">
      <alignment horizontal="center" vertical="center"/>
    </xf>
    <xf numFmtId="43" fontId="18" fillId="0" borderId="12" xfId="1" applyFont="1" applyBorder="1" applyAlignment="1">
      <alignment vertical="center"/>
    </xf>
    <xf numFmtId="43" fontId="10" fillId="0" borderId="12" xfId="1" applyFont="1" applyFill="1" applyBorder="1" applyAlignment="1">
      <alignment vertical="center"/>
    </xf>
    <xf numFmtId="43" fontId="10" fillId="4" borderId="12" xfId="1" applyFont="1" applyFill="1" applyBorder="1" applyAlignment="1">
      <alignment vertical="center"/>
    </xf>
    <xf numFmtId="43" fontId="10" fillId="0" borderId="12" xfId="1" applyFont="1" applyBorder="1" applyAlignment="1">
      <alignment vertical="center"/>
    </xf>
    <xf numFmtId="43" fontId="9" fillId="0" borderId="12" xfId="1" applyFont="1" applyBorder="1" applyAlignment="1">
      <alignment vertical="center"/>
    </xf>
    <xf numFmtId="43" fontId="10" fillId="0" borderId="10" xfId="1" applyFont="1" applyBorder="1" applyAlignment="1">
      <alignment vertical="center"/>
    </xf>
    <xf numFmtId="43" fontId="5" fillId="0" borderId="0" xfId="1" applyFont="1" applyFill="1" applyAlignment="1">
      <alignment vertical="center"/>
    </xf>
    <xf numFmtId="43" fontId="21" fillId="2" borderId="5" xfId="1" applyFont="1" applyFill="1" applyBorder="1" applyAlignment="1">
      <alignment horizontal="center" vertical="center" wrapText="1"/>
    </xf>
    <xf numFmtId="0" fontId="0" fillId="0" borderId="5" xfId="0" applyBorder="1"/>
    <xf numFmtId="9" fontId="0" fillId="0" borderId="5" xfId="3" applyFont="1" applyBorder="1" applyAlignment="1">
      <alignment horizontal="center"/>
    </xf>
    <xf numFmtId="43" fontId="10" fillId="0" borderId="12" xfId="1" applyFont="1" applyBorder="1" applyAlignment="1">
      <alignment horizontal="center" vertical="center"/>
    </xf>
    <xf numFmtId="10" fontId="0" fillId="0" borderId="0" xfId="0" applyNumberFormat="1"/>
    <xf numFmtId="49" fontId="0" fillId="0" borderId="0" xfId="1" applyNumberFormat="1" applyFont="1" applyAlignment="1">
      <alignment horizontal="center" vertical="center"/>
    </xf>
    <xf numFmtId="49" fontId="3" fillId="2" borderId="5" xfId="1" applyNumberFormat="1" applyFont="1" applyFill="1" applyBorder="1" applyAlignment="1">
      <alignment horizontal="center" vertical="center" wrapText="1"/>
    </xf>
    <xf numFmtId="49" fontId="0" fillId="0" borderId="12" xfId="1" applyNumberFormat="1" applyFont="1" applyBorder="1" applyAlignment="1">
      <alignment horizontal="center" vertical="center"/>
    </xf>
    <xf numFmtId="49" fontId="0" fillId="0" borderId="12" xfId="1" applyNumberFormat="1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14" fontId="0" fillId="0" borderId="12" xfId="0" applyNumberFormat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2" xfId="1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43" fontId="1" fillId="0" borderId="5" xfId="1" applyFont="1" applyBorder="1" applyAlignment="1">
      <alignment horizontal="center" vertical="center"/>
    </xf>
    <xf numFmtId="43" fontId="3" fillId="2" borderId="5" xfId="1" applyFont="1" applyFill="1" applyBorder="1" applyAlignment="1">
      <alignment horizontal="center" vertical="center"/>
    </xf>
    <xf numFmtId="43" fontId="18" fillId="0" borderId="0" xfId="1" applyFont="1" applyAlignment="1">
      <alignment vertical="center"/>
    </xf>
    <xf numFmtId="4" fontId="0" fillId="0" borderId="0" xfId="0" applyNumberFormat="1" applyFill="1"/>
    <xf numFmtId="14" fontId="0" fillId="0" borderId="0" xfId="1" applyNumberFormat="1" applyFont="1" applyAlignment="1">
      <alignment vertical="center"/>
    </xf>
    <xf numFmtId="14" fontId="3" fillId="2" borderId="13" xfId="1" applyNumberFormat="1" applyFont="1" applyFill="1" applyBorder="1" applyAlignment="1">
      <alignment horizontal="center" vertical="center" wrapText="1"/>
    </xf>
    <xf numFmtId="14" fontId="0" fillId="0" borderId="10" xfId="1" applyNumberFormat="1" applyFont="1" applyBorder="1" applyAlignment="1">
      <alignment vertical="center"/>
    </xf>
    <xf numFmtId="14" fontId="0" fillId="0" borderId="15" xfId="1" applyNumberFormat="1" applyFont="1" applyBorder="1" applyAlignment="1">
      <alignment vertical="center"/>
    </xf>
    <xf numFmtId="14" fontId="0" fillId="0" borderId="15" xfId="1" applyNumberFormat="1" applyFont="1" applyFill="1" applyBorder="1" applyAlignment="1">
      <alignment vertical="center"/>
    </xf>
    <xf numFmtId="14" fontId="0" fillId="0" borderId="11" xfId="1" applyNumberFormat="1" applyFont="1" applyBorder="1" applyAlignment="1">
      <alignment vertical="center"/>
    </xf>
    <xf numFmtId="43" fontId="24" fillId="0" borderId="5" xfId="1" applyFont="1" applyBorder="1" applyAlignment="1">
      <alignment vertical="center"/>
    </xf>
    <xf numFmtId="14" fontId="10" fillId="9" borderId="10" xfId="0" applyNumberFormat="1" applyFont="1" applyFill="1" applyBorder="1" applyAlignment="1">
      <alignment vertical="center"/>
    </xf>
    <xf numFmtId="43" fontId="10" fillId="9" borderId="10" xfId="1" applyFont="1" applyFill="1" applyBorder="1" applyAlignment="1">
      <alignment vertical="center"/>
    </xf>
    <xf numFmtId="43" fontId="0" fillId="9" borderId="10" xfId="1" applyFont="1" applyFill="1" applyBorder="1" applyAlignment="1">
      <alignment vertical="center"/>
    </xf>
    <xf numFmtId="49" fontId="10" fillId="9" borderId="10" xfId="0" applyNumberFormat="1" applyFont="1" applyFill="1" applyBorder="1" applyAlignment="1">
      <alignment horizontal="center" vertical="center"/>
    </xf>
    <xf numFmtId="0" fontId="10" fillId="9" borderId="10" xfId="0" applyNumberFormat="1" applyFont="1" applyFill="1" applyBorder="1" applyAlignment="1">
      <alignment horizontal="center" vertical="center"/>
    </xf>
    <xf numFmtId="9" fontId="10" fillId="9" borderId="10" xfId="3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vertical="center"/>
    </xf>
    <xf numFmtId="14" fontId="0" fillId="0" borderId="0" xfId="1" applyNumberFormat="1" applyFont="1" applyFill="1" applyBorder="1" applyAlignment="1">
      <alignment horizontal="center" vertical="center"/>
    </xf>
    <xf numFmtId="43" fontId="20" fillId="0" borderId="0" xfId="1" applyFont="1" applyAlignment="1">
      <alignment vertical="center"/>
    </xf>
    <xf numFmtId="43" fontId="25" fillId="2" borderId="5" xfId="1" applyFont="1" applyFill="1" applyBorder="1" applyAlignment="1">
      <alignment horizontal="center" vertical="center" wrapText="1"/>
    </xf>
    <xf numFmtId="43" fontId="20" fillId="0" borderId="0" xfId="1" applyFont="1" applyFill="1" applyAlignment="1">
      <alignment vertical="center"/>
    </xf>
    <xf numFmtId="0" fontId="20" fillId="0" borderId="0" xfId="0" applyFont="1" applyAlignment="1">
      <alignment vertical="center"/>
    </xf>
    <xf numFmtId="9" fontId="10" fillId="9" borderId="10" xfId="3" applyFont="1" applyFill="1" applyBorder="1" applyAlignment="1">
      <alignment vertical="center"/>
    </xf>
    <xf numFmtId="10" fontId="0" fillId="0" borderId="5" xfId="3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43" fontId="0" fillId="0" borderId="0" xfId="1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1" applyNumberFormat="1" applyFont="1" applyBorder="1" applyAlignment="1">
      <alignment horizontal="center" vertical="center"/>
    </xf>
    <xf numFmtId="0" fontId="3" fillId="2" borderId="5" xfId="1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43" fontId="0" fillId="0" borderId="5" xfId="1" applyFont="1" applyBorder="1" applyAlignment="1">
      <alignment vertical="center"/>
    </xf>
    <xf numFmtId="43" fontId="10" fillId="0" borderId="15" xfId="1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3" fontId="0" fillId="0" borderId="7" xfId="1" applyFont="1" applyBorder="1" applyAlignment="1">
      <alignment vertical="center"/>
    </xf>
    <xf numFmtId="0" fontId="0" fillId="0" borderId="0" xfId="1" applyNumberFormat="1" applyFont="1"/>
    <xf numFmtId="43" fontId="0" fillId="0" borderId="0" xfId="1" applyFont="1" applyAlignment="1">
      <alignment horizontal="center"/>
    </xf>
    <xf numFmtId="43" fontId="24" fillId="0" borderId="0" xfId="1" applyFont="1" applyAlignment="1">
      <alignment horizontal="center"/>
    </xf>
    <xf numFmtId="10" fontId="0" fillId="0" borderId="0" xfId="3" applyNumberFormat="1" applyFont="1"/>
    <xf numFmtId="17" fontId="3" fillId="2" borderId="5" xfId="2" applyNumberFormat="1" applyFill="1" applyBorder="1" applyAlignment="1">
      <alignment horizontal="center" vertical="center" wrapText="1"/>
    </xf>
    <xf numFmtId="14" fontId="7" fillId="0" borderId="12" xfId="0" applyNumberFormat="1" applyFont="1" applyBorder="1" applyAlignment="1">
      <alignment horizontal="right" vertical="center"/>
    </xf>
    <xf numFmtId="10" fontId="0" fillId="0" borderId="8" xfId="3" applyNumberFormat="1" applyFont="1" applyBorder="1" applyAlignment="1">
      <alignment vertical="center"/>
    </xf>
    <xf numFmtId="10" fontId="4" fillId="2" borderId="8" xfId="3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10" fillId="0" borderId="12" xfId="0" applyFont="1" applyFill="1" applyBorder="1" applyAlignment="1">
      <alignment vertical="center"/>
    </xf>
    <xf numFmtId="49" fontId="0" fillId="0" borderId="12" xfId="0" applyNumberFormat="1" applyFill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43" fontId="0" fillId="0" borderId="15" xfId="1" applyFont="1" applyBorder="1" applyAlignment="1">
      <alignment horizontal="center" vertical="center"/>
    </xf>
    <xf numFmtId="14" fontId="0" fillId="0" borderId="12" xfId="0" applyNumberFormat="1" applyFill="1" applyBorder="1" applyAlignment="1">
      <alignment vertical="center"/>
    </xf>
    <xf numFmtId="14" fontId="0" fillId="0" borderId="12" xfId="1" applyNumberFormat="1" applyFont="1" applyFill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3" fillId="2" borderId="5" xfId="2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2" fillId="74" borderId="14" xfId="0" applyFont="1" applyFill="1" applyBorder="1" applyAlignment="1">
      <alignment horizontal="center" vertical="center" wrapText="1"/>
    </xf>
    <xf numFmtId="10" fontId="12" fillId="74" borderId="14" xfId="0" applyNumberFormat="1" applyFont="1" applyFill="1" applyBorder="1" applyAlignment="1">
      <alignment horizontal="center" vertical="center" wrapText="1"/>
    </xf>
    <xf numFmtId="43" fontId="12" fillId="74" borderId="14" xfId="1" applyFont="1" applyFill="1" applyBorder="1" applyAlignment="1">
      <alignment horizontal="center" vertical="center" wrapText="1"/>
    </xf>
    <xf numFmtId="0" fontId="12" fillId="75" borderId="14" xfId="0" applyFont="1" applyFill="1" applyBorder="1" applyAlignment="1">
      <alignment horizontal="center" vertical="center" wrapText="1"/>
    </xf>
    <xf numFmtId="10" fontId="12" fillId="75" borderId="14" xfId="0" applyNumberFormat="1" applyFont="1" applyFill="1" applyBorder="1" applyAlignment="1">
      <alignment horizontal="center" vertical="center" wrapText="1"/>
    </xf>
    <xf numFmtId="43" fontId="12" fillId="75" borderId="14" xfId="1" applyFont="1" applyFill="1" applyBorder="1" applyAlignment="1">
      <alignment horizontal="center" vertical="center" wrapText="1"/>
    </xf>
    <xf numFmtId="3" fontId="12" fillId="74" borderId="14" xfId="0" applyNumberFormat="1" applyFont="1" applyFill="1" applyBorder="1" applyAlignment="1">
      <alignment horizontal="center" vertical="center" wrapText="1"/>
    </xf>
    <xf numFmtId="43" fontId="10" fillId="9" borderId="0" xfId="1" applyFont="1" applyFill="1" applyBorder="1" applyAlignment="1">
      <alignment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/>
    <xf numFmtId="0" fontId="13" fillId="0" borderId="14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9" fontId="0" fillId="0" borderId="0" xfId="3" applyFont="1"/>
    <xf numFmtId="0" fontId="0" fillId="0" borderId="0" xfId="0" pivotButton="1"/>
    <xf numFmtId="43" fontId="0" fillId="0" borderId="0" xfId="0" applyNumberFormat="1"/>
    <xf numFmtId="9" fontId="153" fillId="0" borderId="56" xfId="0" applyNumberFormat="1" applyFont="1" applyBorder="1" applyAlignment="1">
      <alignment horizontal="center" vertical="center" wrapText="1" readingOrder="1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43" fontId="21" fillId="2" borderId="0" xfId="1" applyFont="1" applyFill="1" applyBorder="1" applyAlignment="1">
      <alignment horizontal="center" vertical="center" wrapText="1"/>
    </xf>
    <xf numFmtId="14" fontId="0" fillId="9" borderId="10" xfId="0" applyNumberFormat="1" applyFill="1" applyBorder="1" applyAlignment="1">
      <alignment vertical="center"/>
    </xf>
    <xf numFmtId="0" fontId="10" fillId="9" borderId="0" xfId="0" applyFont="1" applyFill="1" applyAlignment="1">
      <alignment vertical="center"/>
    </xf>
    <xf numFmtId="2" fontId="10" fillId="9" borderId="10" xfId="1" applyNumberFormat="1" applyFont="1" applyFill="1" applyBorder="1" applyAlignment="1">
      <alignment vertical="center"/>
    </xf>
    <xf numFmtId="165" fontId="10" fillId="9" borderId="10" xfId="1" applyNumberFormat="1" applyFont="1" applyFill="1" applyBorder="1" applyAlignment="1">
      <alignment horizontal="center" vertical="center"/>
    </xf>
    <xf numFmtId="2" fontId="10" fillId="9" borderId="11" xfId="1" applyNumberFormat="1" applyFont="1" applyFill="1" applyBorder="1" applyAlignment="1">
      <alignment vertical="center"/>
    </xf>
    <xf numFmtId="165" fontId="10" fillId="9" borderId="11" xfId="1" applyNumberFormat="1" applyFont="1" applyFill="1" applyBorder="1" applyAlignment="1">
      <alignment horizontal="center" vertical="center"/>
    </xf>
    <xf numFmtId="9" fontId="10" fillId="9" borderId="11" xfId="3" applyFont="1" applyFill="1" applyBorder="1" applyAlignment="1">
      <alignment vertical="center"/>
    </xf>
    <xf numFmtId="9" fontId="10" fillId="9" borderId="0" xfId="3" applyFont="1" applyFill="1" applyAlignment="1">
      <alignment vertical="center"/>
    </xf>
    <xf numFmtId="0" fontId="10" fillId="9" borderId="5" xfId="0" applyFont="1" applyFill="1" applyBorder="1" applyAlignment="1">
      <alignment horizontal="center" vertical="center"/>
    </xf>
    <xf numFmtId="43" fontId="10" fillId="9" borderId="0" xfId="0" applyNumberFormat="1" applyFont="1" applyFill="1" applyAlignment="1">
      <alignment vertical="center"/>
    </xf>
    <xf numFmtId="43" fontId="10" fillId="9" borderId="0" xfId="1" applyFont="1" applyFill="1" applyBorder="1" applyAlignment="1">
      <alignment horizontal="center" vertical="center"/>
    </xf>
    <xf numFmtId="43" fontId="10" fillId="9" borderId="5" xfId="0" applyNumberFormat="1" applyFont="1" applyFill="1" applyBorder="1" applyAlignment="1">
      <alignment vertical="center"/>
    </xf>
    <xf numFmtId="10" fontId="10" fillId="9" borderId="0" xfId="3" applyNumberFormat="1" applyFont="1" applyFill="1" applyBorder="1" applyAlignment="1">
      <alignment horizontal="center" vertical="center"/>
    </xf>
    <xf numFmtId="10" fontId="10" fillId="9" borderId="0" xfId="3" applyNumberFormat="1" applyFont="1" applyFill="1" applyBorder="1" applyAlignment="1">
      <alignment horizontal="right" vertical="center"/>
    </xf>
    <xf numFmtId="43" fontId="10" fillId="9" borderId="0" xfId="0" applyNumberFormat="1" applyFont="1" applyFill="1" applyAlignment="1">
      <alignment horizontal="right" vertical="center"/>
    </xf>
    <xf numFmtId="0" fontId="10" fillId="9" borderId="0" xfId="0" applyFont="1" applyFill="1" applyAlignment="1">
      <alignment horizontal="right" vertical="center"/>
    </xf>
    <xf numFmtId="0" fontId="10" fillId="9" borderId="6" xfId="0" applyFont="1" applyFill="1" applyBorder="1" applyAlignment="1">
      <alignment vertical="center"/>
    </xf>
    <xf numFmtId="0" fontId="10" fillId="9" borderId="7" xfId="0" applyFont="1" applyFill="1" applyBorder="1" applyAlignment="1">
      <alignment vertical="center"/>
    </xf>
    <xf numFmtId="10" fontId="10" fillId="9" borderId="5" xfId="3" applyNumberFormat="1" applyFont="1" applyFill="1" applyBorder="1" applyAlignment="1">
      <alignment vertical="center"/>
    </xf>
    <xf numFmtId="10" fontId="10" fillId="9" borderId="0" xfId="3" applyNumberFormat="1" applyFont="1" applyFill="1" applyAlignment="1">
      <alignment vertical="center"/>
    </xf>
    <xf numFmtId="10" fontId="10" fillId="9" borderId="0" xfId="0" applyNumberFormat="1" applyFont="1" applyFill="1" applyAlignment="1">
      <alignment vertical="center"/>
    </xf>
    <xf numFmtId="14" fontId="17" fillId="9" borderId="5" xfId="2" applyNumberFormat="1" applyFont="1" applyFill="1" applyBorder="1" applyAlignment="1">
      <alignment horizontal="center" vertical="center" wrapText="1"/>
    </xf>
    <xf numFmtId="2" fontId="10" fillId="9" borderId="0" xfId="1" applyNumberFormat="1" applyFont="1" applyFill="1" applyBorder="1" applyAlignment="1">
      <alignment vertical="center"/>
    </xf>
    <xf numFmtId="165" fontId="0" fillId="0" borderId="12" xfId="1" applyNumberFormat="1" applyFont="1" applyBorder="1" applyAlignment="1">
      <alignment vertical="center"/>
    </xf>
    <xf numFmtId="43" fontId="10" fillId="0" borderId="10" xfId="1" applyFont="1" applyBorder="1" applyAlignment="1">
      <alignment horizontal="center" vertical="center"/>
    </xf>
    <xf numFmtId="43" fontId="10" fillId="9" borderId="12" xfId="1" applyFont="1" applyFill="1" applyBorder="1" applyAlignment="1">
      <alignment vertical="center"/>
    </xf>
    <xf numFmtId="165" fontId="10" fillId="9" borderId="0" xfId="1" applyNumberFormat="1" applyFont="1" applyFill="1" applyBorder="1" applyAlignment="1">
      <alignment horizontal="center" vertical="center"/>
    </xf>
    <xf numFmtId="10" fontId="10" fillId="9" borderId="0" xfId="3" applyNumberFormat="1" applyFont="1" applyFill="1" applyBorder="1" applyAlignment="1">
      <alignment vertical="center"/>
    </xf>
    <xf numFmtId="9" fontId="10" fillId="9" borderId="0" xfId="3" applyFont="1" applyFill="1" applyBorder="1" applyAlignment="1">
      <alignment vertical="center"/>
    </xf>
    <xf numFmtId="167" fontId="10" fillId="9" borderId="10" xfId="1" applyNumberFormat="1" applyFont="1" applyFill="1" applyBorder="1" applyAlignment="1">
      <alignment horizontal="center" vertical="center"/>
    </xf>
    <xf numFmtId="167" fontId="10" fillId="9" borderId="0" xfId="0" applyNumberFormat="1" applyFont="1" applyFill="1" applyAlignment="1">
      <alignment vertical="center"/>
    </xf>
    <xf numFmtId="0" fontId="10" fillId="9" borderId="5" xfId="0" applyNumberFormat="1" applyFont="1" applyFill="1" applyBorder="1" applyAlignment="1">
      <alignment vertical="center"/>
    </xf>
    <xf numFmtId="167" fontId="10" fillId="9" borderId="5" xfId="0" applyNumberFormat="1" applyFont="1" applyFill="1" applyBorder="1" applyAlignment="1">
      <alignment horizontal="center" vertical="center"/>
    </xf>
    <xf numFmtId="43" fontId="10" fillId="9" borderId="15" xfId="1" applyFont="1" applyFill="1" applyBorder="1" applyAlignment="1">
      <alignment vertical="center"/>
    </xf>
    <xf numFmtId="9" fontId="0" fillId="0" borderId="10" xfId="3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vertical="center"/>
    </xf>
    <xf numFmtId="49" fontId="0" fillId="0" borderId="12" xfId="0" applyNumberFormat="1" applyFill="1" applyBorder="1" applyAlignment="1">
      <alignment horizontal="left" vertical="center"/>
    </xf>
    <xf numFmtId="2" fontId="0" fillId="0" borderId="10" xfId="0" applyNumberFormat="1" applyFill="1" applyBorder="1" applyAlignment="1">
      <alignment horizontal="center" vertical="center"/>
    </xf>
    <xf numFmtId="0" fontId="0" fillId="9" borderId="12" xfId="0" applyFill="1" applyBorder="1" applyAlignment="1">
      <alignment vertical="center"/>
    </xf>
    <xf numFmtId="49" fontId="0" fillId="9" borderId="12" xfId="0" applyNumberFormat="1" applyFill="1" applyBorder="1" applyAlignment="1">
      <alignment vertical="center"/>
    </xf>
    <xf numFmtId="0" fontId="0" fillId="9" borderId="12" xfId="0" applyNumberFormat="1" applyFill="1" applyBorder="1" applyAlignment="1">
      <alignment horizontal="center" vertical="center"/>
    </xf>
    <xf numFmtId="43" fontId="0" fillId="9" borderId="12" xfId="1" applyFont="1" applyFill="1" applyBorder="1" applyAlignment="1">
      <alignment horizontal="center" vertical="center"/>
    </xf>
    <xf numFmtId="14" fontId="0" fillId="9" borderId="12" xfId="0" applyNumberFormat="1" applyFill="1" applyBorder="1" applyAlignment="1">
      <alignment horizontal="center" vertical="center"/>
    </xf>
    <xf numFmtId="43" fontId="0" fillId="9" borderId="12" xfId="1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9" borderId="12" xfId="1" applyNumberFormat="1" applyFont="1" applyFill="1" applyBorder="1" applyAlignment="1">
      <alignment horizontal="center" vertical="center"/>
    </xf>
    <xf numFmtId="49" fontId="10" fillId="0" borderId="12" xfId="0" applyNumberFormat="1" applyFont="1" applyFill="1" applyBorder="1" applyAlignment="1">
      <alignment horizontal="center" vertical="center"/>
    </xf>
    <xf numFmtId="14" fontId="10" fillId="0" borderId="12" xfId="0" applyNumberFormat="1" applyFont="1" applyFill="1" applyBorder="1" applyAlignment="1">
      <alignment vertical="center"/>
    </xf>
    <xf numFmtId="8" fontId="0" fillId="0" borderId="5" xfId="1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7" fillId="0" borderId="0" xfId="9" applyFont="1" applyFill="1" applyBorder="1" applyAlignment="1">
      <alignment vertical="top" readingOrder="1"/>
    </xf>
    <xf numFmtId="43" fontId="151" fillId="0" borderId="0" xfId="1" applyNumberFormat="1" applyFont="1" applyFill="1" applyBorder="1" applyAlignment="1">
      <alignment horizontal="center" vertical="center" wrapText="1" readingOrder="1"/>
    </xf>
    <xf numFmtId="43" fontId="151" fillId="0" borderId="0" xfId="0" applyNumberFormat="1" applyFont="1" applyFill="1" applyBorder="1" applyAlignment="1">
      <alignment horizontal="center" vertical="center" wrapText="1" readingOrder="1"/>
    </xf>
    <xf numFmtId="0" fontId="23" fillId="0" borderId="0" xfId="0" applyFont="1" applyFill="1" applyBorder="1"/>
    <xf numFmtId="43" fontId="23" fillId="0" borderId="0" xfId="1" applyNumberFormat="1" applyFont="1" applyFill="1" applyBorder="1" applyAlignment="1">
      <alignment vertical="top"/>
    </xf>
    <xf numFmtId="43" fontId="28" fillId="0" borderId="0" xfId="0" applyNumberFormat="1" applyFont="1" applyFill="1" applyBorder="1" applyAlignment="1">
      <alignment vertical="top"/>
    </xf>
    <xf numFmtId="0" fontId="23" fillId="0" borderId="0" xfId="0" applyFont="1" applyFill="1" applyBorder="1" applyAlignment="1"/>
    <xf numFmtId="0" fontId="0" fillId="9" borderId="10" xfId="0" applyFill="1" applyBorder="1" applyAlignment="1">
      <alignment vertical="center"/>
    </xf>
    <xf numFmtId="4" fontId="18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24" fillId="2" borderId="5" xfId="2" applyFont="1" applyFill="1" applyBorder="1" applyAlignment="1">
      <alignment horizontal="center" vertical="center" wrapText="1"/>
    </xf>
    <xf numFmtId="14" fontId="3" fillId="2" borderId="59" xfId="2" applyNumberFormat="1" applyFill="1" applyBorder="1" applyAlignment="1">
      <alignment horizontal="center" vertical="center" wrapText="1"/>
    </xf>
    <xf numFmtId="43" fontId="3" fillId="2" borderId="60" xfId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4" fontId="10" fillId="9" borderId="10" xfId="0" applyNumberFormat="1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61" xfId="0" applyBorder="1" applyAlignment="1">
      <alignment vertical="center"/>
    </xf>
    <xf numFmtId="0" fontId="0" fillId="0" borderId="61" xfId="0" applyBorder="1" applyAlignment="1">
      <alignment vertical="center" wrapText="1"/>
    </xf>
    <xf numFmtId="0" fontId="0" fillId="0" borderId="61" xfId="0" applyFont="1" applyBorder="1" applyAlignment="1">
      <alignment vertical="center"/>
    </xf>
    <xf numFmtId="0" fontId="0" fillId="0" borderId="61" xfId="0" applyBorder="1"/>
    <xf numFmtId="0" fontId="0" fillId="0" borderId="61" xfId="0" applyBorder="1" applyAlignment="1">
      <alignment horizontal="center" vertical="center" wrapText="1"/>
    </xf>
    <xf numFmtId="9" fontId="0" fillId="0" borderId="61" xfId="3" applyFont="1" applyBorder="1"/>
    <xf numFmtId="43" fontId="0" fillId="0" borderId="61" xfId="0" applyNumberFormat="1" applyBorder="1"/>
    <xf numFmtId="165" fontId="1" fillId="0" borderId="61" xfId="1" applyNumberFormat="1" applyFont="1" applyBorder="1" applyAlignment="1">
      <alignment horizontal="center" vertical="center"/>
    </xf>
    <xf numFmtId="10" fontId="0" fillId="0" borderId="61" xfId="0" applyNumberFormat="1" applyBorder="1"/>
    <xf numFmtId="0" fontId="0" fillId="0" borderId="61" xfId="0" applyBorder="1" applyAlignment="1">
      <alignment horizontal="center" wrapText="1"/>
    </xf>
    <xf numFmtId="165" fontId="0" fillId="0" borderId="61" xfId="0" applyNumberFormat="1" applyBorder="1"/>
    <xf numFmtId="0" fontId="0" fillId="0" borderId="61" xfId="0" applyBorder="1" applyAlignment="1">
      <alignment wrapText="1"/>
    </xf>
    <xf numFmtId="43" fontId="0" fillId="0" borderId="61" xfId="1" applyFont="1" applyBorder="1"/>
    <xf numFmtId="4" fontId="0" fillId="0" borderId="61" xfId="0" applyNumberFormat="1" applyBorder="1"/>
    <xf numFmtId="0" fontId="0" fillId="0" borderId="5" xfId="0" applyFont="1" applyBorder="1" applyAlignment="1">
      <alignment vertical="center"/>
    </xf>
    <xf numFmtId="0" fontId="10" fillId="9" borderId="61" xfId="0" applyFont="1" applyFill="1" applyBorder="1" applyAlignment="1">
      <alignment vertical="center"/>
    </xf>
    <xf numFmtId="43" fontId="10" fillId="9" borderId="61" xfId="0" applyNumberFormat="1" applyFont="1" applyFill="1" applyBorder="1" applyAlignment="1">
      <alignment vertical="center"/>
    </xf>
    <xf numFmtId="43" fontId="10" fillId="9" borderId="61" xfId="1" applyFont="1" applyFill="1" applyBorder="1" applyAlignment="1">
      <alignment vertical="center"/>
    </xf>
    <xf numFmtId="14" fontId="17" fillId="9" borderId="61" xfId="2" applyNumberFormat="1" applyFont="1" applyFill="1" applyBorder="1" applyAlignment="1">
      <alignment horizontal="center" vertical="center" wrapText="1"/>
    </xf>
    <xf numFmtId="2" fontId="10" fillId="9" borderId="61" xfId="1" applyNumberFormat="1" applyFont="1" applyFill="1" applyBorder="1" applyAlignment="1">
      <alignment vertical="center"/>
    </xf>
    <xf numFmtId="14" fontId="0" fillId="9" borderId="10" xfId="0" applyNumberFormat="1" applyFont="1" applyFill="1" applyBorder="1" applyAlignment="1">
      <alignment vertical="center"/>
    </xf>
    <xf numFmtId="0" fontId="0" fillId="0" borderId="12" xfId="1" applyNumberFormat="1" applyFont="1" applyFill="1" applyBorder="1" applyAlignment="1">
      <alignment horizontal="center" vertical="center"/>
    </xf>
    <xf numFmtId="44" fontId="0" fillId="0" borderId="0" xfId="0" applyNumberFormat="1"/>
    <xf numFmtId="44" fontId="0" fillId="0" borderId="0" xfId="5426" applyFont="1"/>
    <xf numFmtId="44" fontId="3" fillId="0" borderId="0" xfId="0" applyNumberFormat="1" applyFont="1"/>
    <xf numFmtId="44" fontId="0" fillId="0" borderId="0" xfId="5426" applyFont="1" applyAlignment="1">
      <alignment vertical="center"/>
    </xf>
    <xf numFmtId="49" fontId="0" fillId="9" borderId="12" xfId="1" applyNumberFormat="1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156" fillId="9" borderId="0" xfId="5432" applyFont="1" applyFill="1" applyAlignment="1">
      <alignment horizontal="center" vertical="top"/>
    </xf>
    <xf numFmtId="168" fontId="156" fillId="9" borderId="0" xfId="5432" applyNumberFormat="1" applyFont="1" applyFill="1" applyAlignment="1">
      <alignment horizontal="left" vertical="top"/>
    </xf>
    <xf numFmtId="168" fontId="156" fillId="9" borderId="0" xfId="5432" applyNumberFormat="1" applyFont="1" applyFill="1" applyAlignment="1">
      <alignment vertical="top"/>
    </xf>
    <xf numFmtId="4" fontId="156" fillId="9" borderId="0" xfId="5432" applyNumberFormat="1" applyFont="1" applyFill="1" applyAlignment="1">
      <alignment horizontal="right" vertical="top"/>
    </xf>
    <xf numFmtId="4" fontId="156" fillId="9" borderId="0" xfId="5432" applyNumberFormat="1" applyFont="1" applyFill="1" applyAlignment="1">
      <alignment vertical="top"/>
    </xf>
    <xf numFmtId="0" fontId="156" fillId="9" borderId="0" xfId="5432" applyFont="1" applyFill="1" applyAlignment="1">
      <alignment vertical="top" readingOrder="1"/>
    </xf>
    <xf numFmtId="0" fontId="171" fillId="0" borderId="0" xfId="0" applyNumberFormat="1" applyFont="1" applyFill="1" applyBorder="1" applyAlignment="1" applyProtection="1">
      <alignment vertical="top" readingOrder="1"/>
    </xf>
    <xf numFmtId="14" fontId="18" fillId="9" borderId="10" xfId="0" applyNumberFormat="1" applyFont="1" applyFill="1" applyBorder="1" applyAlignment="1">
      <alignment vertical="center"/>
    </xf>
    <xf numFmtId="43" fontId="18" fillId="0" borderId="10" xfId="1" applyFont="1" applyFill="1" applyBorder="1" applyAlignment="1">
      <alignment horizontal="left" vertical="center"/>
    </xf>
    <xf numFmtId="44" fontId="5" fillId="0" borderId="0" xfId="0" applyNumberFormat="1" applyFont="1"/>
    <xf numFmtId="43" fontId="1" fillId="9" borderId="5" xfId="1" applyFont="1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3" fillId="9" borderId="0" xfId="2" applyFill="1" applyBorder="1" applyAlignment="1">
      <alignment horizontal="center" vertical="center" wrapText="1"/>
    </xf>
    <xf numFmtId="0" fontId="3" fillId="9" borderId="0" xfId="2" applyNumberFormat="1" applyFill="1" applyBorder="1" applyAlignment="1">
      <alignment horizontal="center" vertical="center" wrapText="1"/>
    </xf>
    <xf numFmtId="17" fontId="3" fillId="9" borderId="0" xfId="2" applyNumberFormat="1" applyFill="1" applyBorder="1" applyAlignment="1">
      <alignment horizontal="center" vertical="center" wrapText="1"/>
    </xf>
    <xf numFmtId="49" fontId="0" fillId="9" borderId="0" xfId="0" applyNumberFormat="1" applyFill="1" applyBorder="1" applyAlignment="1">
      <alignment vertical="center"/>
    </xf>
    <xf numFmtId="0" fontId="0" fillId="9" borderId="0" xfId="1" applyNumberFormat="1" applyFont="1" applyFill="1" applyBorder="1" applyAlignment="1">
      <alignment horizontal="center" vertical="center"/>
    </xf>
    <xf numFmtId="0" fontId="3" fillId="9" borderId="0" xfId="1" applyNumberFormat="1" applyFont="1" applyFill="1" applyBorder="1" applyAlignment="1">
      <alignment horizontal="center" vertical="center" wrapText="1"/>
    </xf>
    <xf numFmtId="14" fontId="17" fillId="9" borderId="59" xfId="2" applyNumberFormat="1" applyFont="1" applyFill="1" applyBorder="1" applyAlignment="1">
      <alignment horizontal="center" vertical="center" wrapText="1"/>
    </xf>
    <xf numFmtId="2" fontId="10" fillId="9" borderId="57" xfId="1" applyNumberFormat="1" applyFont="1" applyFill="1" applyBorder="1" applyAlignment="1">
      <alignment vertical="center"/>
    </xf>
    <xf numFmtId="2" fontId="10" fillId="9" borderId="62" xfId="1" applyNumberFormat="1" applyFont="1" applyFill="1" applyBorder="1" applyAlignment="1">
      <alignment vertical="center"/>
    </xf>
    <xf numFmtId="14" fontId="17" fillId="9" borderId="60" xfId="2" applyNumberFormat="1" applyFont="1" applyFill="1" applyBorder="1" applyAlignment="1">
      <alignment horizontal="center" vertical="center" wrapText="1"/>
    </xf>
    <xf numFmtId="167" fontId="10" fillId="9" borderId="61" xfId="0" applyNumberFormat="1" applyFont="1" applyFill="1" applyBorder="1" applyAlignment="1">
      <alignment vertical="center"/>
    </xf>
    <xf numFmtId="0" fontId="17" fillId="9" borderId="61" xfId="0" applyFont="1" applyFill="1" applyBorder="1" applyAlignment="1">
      <alignment vertical="center"/>
    </xf>
    <xf numFmtId="49" fontId="3" fillId="9" borderId="0" xfId="2" applyNumberFormat="1" applyFill="1" applyBorder="1" applyAlignment="1">
      <alignment horizontal="center" vertical="center" wrapText="1"/>
    </xf>
    <xf numFmtId="43" fontId="0" fillId="9" borderId="0" xfId="1" applyFont="1" applyFill="1" applyBorder="1" applyAlignment="1">
      <alignment horizontal="center" vertical="center"/>
    </xf>
    <xf numFmtId="4" fontId="0" fillId="0" borderId="12" xfId="1" applyNumberFormat="1" applyFont="1" applyBorder="1" applyAlignment="1">
      <alignment horizontal="center" vertical="center"/>
    </xf>
    <xf numFmtId="2" fontId="0" fillId="0" borderId="12" xfId="1" applyNumberFormat="1" applyFont="1" applyBorder="1" applyAlignment="1">
      <alignment horizontal="center" vertical="center"/>
    </xf>
    <xf numFmtId="43" fontId="0" fillId="0" borderId="12" xfId="1" applyNumberFormat="1" applyFont="1" applyBorder="1" applyAlignment="1">
      <alignment horizontal="center" vertical="center"/>
    </xf>
    <xf numFmtId="43" fontId="3" fillId="9" borderId="0" xfId="1" applyFont="1" applyFill="1" applyBorder="1" applyAlignment="1">
      <alignment horizontal="center" vertical="center" wrapText="1"/>
    </xf>
    <xf numFmtId="0" fontId="156" fillId="9" borderId="0" xfId="5439" applyFont="1" applyFill="1" applyAlignment="1">
      <alignment vertical="top" readingOrder="1"/>
    </xf>
    <xf numFmtId="0" fontId="156" fillId="9" borderId="0" xfId="5439" applyFont="1" applyFill="1" applyAlignment="1">
      <alignment horizontal="center" vertical="top"/>
    </xf>
    <xf numFmtId="168" fontId="156" fillId="9" borderId="0" xfId="5439" applyNumberFormat="1" applyFont="1" applyFill="1" applyAlignment="1">
      <alignment horizontal="left" vertical="top"/>
    </xf>
    <xf numFmtId="4" fontId="156" fillId="9" borderId="0" xfId="5439" applyNumberFormat="1" applyFont="1" applyFill="1" applyAlignment="1">
      <alignment horizontal="right" vertical="top"/>
    </xf>
    <xf numFmtId="0" fontId="156" fillId="9" borderId="0" xfId="5439" applyFont="1" applyFill="1" applyAlignment="1">
      <alignment horizontal="left" vertical="top" readingOrder="1"/>
    </xf>
    <xf numFmtId="43" fontId="23" fillId="0" borderId="0" xfId="0" applyNumberFormat="1" applyFont="1" applyFill="1" applyBorder="1" applyAlignment="1">
      <alignment vertical="top"/>
    </xf>
    <xf numFmtId="0" fontId="0" fillId="9" borderId="0" xfId="0" applyFill="1" applyBorder="1" applyAlignment="1">
      <alignment horizontal="center" vertical="center"/>
    </xf>
    <xf numFmtId="49" fontId="10" fillId="9" borderId="10" xfId="0" applyNumberFormat="1" applyFont="1" applyFill="1" applyBorder="1" applyAlignment="1">
      <alignment horizontal="left" vertical="center"/>
    </xf>
    <xf numFmtId="0" fontId="172" fillId="0" borderId="0" xfId="0" applyFont="1" applyAlignment="1">
      <alignment vertical="center"/>
    </xf>
    <xf numFmtId="43" fontId="7" fillId="4" borderId="12" xfId="1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vertical="center"/>
    </xf>
    <xf numFmtId="43" fontId="0" fillId="9" borderId="0" xfId="1" applyNumberFormat="1" applyFont="1" applyFill="1" applyBorder="1" applyAlignment="1">
      <alignment horizontal="center" vertical="center"/>
    </xf>
    <xf numFmtId="0" fontId="169" fillId="0" borderId="5" xfId="5437" applyNumberFormat="1" applyFont="1" applyFill="1" applyBorder="1" applyAlignment="1" applyProtection="1">
      <alignment horizontal="left" vertical="top" wrapText="1"/>
    </xf>
    <xf numFmtId="0" fontId="169" fillId="0" borderId="5" xfId="5438" applyNumberFormat="1" applyFont="1" applyFill="1" applyBorder="1" applyAlignment="1" applyProtection="1">
      <alignment horizontal="left" vertical="top" wrapText="1"/>
    </xf>
    <xf numFmtId="0" fontId="166" fillId="0" borderId="5" xfId="5438" applyNumberFormat="1" applyFont="1" applyFill="1" applyBorder="1" applyAlignment="1" applyProtection="1">
      <alignment horizontal="left" vertical="top" wrapText="1"/>
    </xf>
    <xf numFmtId="0" fontId="166" fillId="0" borderId="5" xfId="5437" applyNumberFormat="1" applyFont="1" applyFill="1" applyBorder="1" applyAlignment="1" applyProtection="1">
      <alignment horizontal="left" vertical="top" wrapText="1"/>
    </xf>
    <xf numFmtId="43" fontId="20" fillId="0" borderId="5" xfId="1" applyFont="1" applyFill="1" applyBorder="1" applyAlignment="1">
      <alignment vertical="center"/>
    </xf>
    <xf numFmtId="43" fontId="20" fillId="0" borderId="5" xfId="1" applyFont="1" applyBorder="1" applyAlignment="1">
      <alignment vertical="center"/>
    </xf>
    <xf numFmtId="43" fontId="0" fillId="76" borderId="0" xfId="1" applyFont="1" applyFill="1" applyAlignment="1">
      <alignment vertical="center"/>
    </xf>
    <xf numFmtId="43" fontId="10" fillId="76" borderId="0" xfId="1" applyFont="1" applyFill="1" applyAlignment="1">
      <alignment vertical="center"/>
    </xf>
    <xf numFmtId="43" fontId="17" fillId="2" borderId="5" xfId="1" applyFont="1" applyFill="1" applyBorder="1" applyAlignment="1">
      <alignment horizontal="center" vertical="center" wrapText="1"/>
    </xf>
    <xf numFmtId="44" fontId="5" fillId="0" borderId="0" xfId="0" pivotButton="1" applyNumberFormat="1" applyFont="1"/>
    <xf numFmtId="0" fontId="0" fillId="4" borderId="12" xfId="1" applyNumberFormat="1" applyFont="1" applyFill="1" applyBorder="1" applyAlignment="1">
      <alignment horizontal="center" vertical="center"/>
    </xf>
    <xf numFmtId="4" fontId="1" fillId="0" borderId="12" xfId="1" applyNumberFormat="1" applyFont="1" applyBorder="1" applyAlignment="1">
      <alignment horizontal="center" vertical="center"/>
    </xf>
    <xf numFmtId="2" fontId="1" fillId="0" borderId="12" xfId="1" applyNumberFormat="1" applyFont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14" fontId="0" fillId="0" borderId="12" xfId="0" applyNumberFormat="1" applyFont="1" applyFill="1" applyBorder="1" applyAlignment="1">
      <alignment vertical="center"/>
    </xf>
    <xf numFmtId="168" fontId="156" fillId="9" borderId="0" xfId="5439" applyNumberFormat="1" applyFont="1" applyFill="1">
      <alignment vertical="top"/>
    </xf>
    <xf numFmtId="4" fontId="156" fillId="9" borderId="0" xfId="5439" applyNumberFormat="1" applyFont="1" applyFill="1">
      <alignment vertical="top"/>
    </xf>
    <xf numFmtId="0" fontId="23" fillId="0" borderId="0" xfId="0" applyFont="1" applyFill="1" applyBorder="1" applyAlignment="1">
      <alignment horizontal="center" vertical="top"/>
    </xf>
    <xf numFmtId="191" fontId="23" fillId="0" borderId="0" xfId="0" applyNumberFormat="1" applyFont="1" applyFill="1" applyBorder="1" applyAlignment="1">
      <alignment horizontal="center" vertical="top"/>
    </xf>
    <xf numFmtId="43" fontId="23" fillId="0" borderId="0" xfId="0" applyNumberFormat="1" applyFont="1" applyFill="1" applyBorder="1" applyAlignment="1">
      <alignment horizontal="right" vertical="top"/>
    </xf>
    <xf numFmtId="0" fontId="0" fillId="0" borderId="0" xfId="0" applyBorder="1" applyAlignment="1">
      <alignment horizontal="center" vertical="center"/>
    </xf>
    <xf numFmtId="43" fontId="0" fillId="0" borderId="24" xfId="1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vertical="center"/>
    </xf>
    <xf numFmtId="0" fontId="172" fillId="0" borderId="0" xfId="0" applyFont="1" applyBorder="1" applyAlignment="1">
      <alignment vertical="center"/>
    </xf>
    <xf numFmtId="49" fontId="0" fillId="0" borderId="24" xfId="0" applyNumberFormat="1" applyBorder="1" applyAlignment="1">
      <alignment vertical="center"/>
    </xf>
    <xf numFmtId="165" fontId="0" fillId="0" borderId="24" xfId="1" applyNumberFormat="1" applyFont="1" applyBorder="1" applyAlignment="1">
      <alignment vertical="center"/>
    </xf>
    <xf numFmtId="43" fontId="0" fillId="0" borderId="24" xfId="1" applyFont="1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10" fillId="9" borderId="0" xfId="0" applyFont="1" applyFill="1" applyAlignment="1">
      <alignment horizontal="center" vertical="center"/>
    </xf>
    <xf numFmtId="44" fontId="3" fillId="77" borderId="0" xfId="0" applyNumberFormat="1" applyFont="1" applyFill="1"/>
    <xf numFmtId="43" fontId="0" fillId="9" borderId="0" xfId="0" applyNumberFormat="1" applyFill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43" fontId="3" fillId="78" borderId="5" xfId="1" applyFont="1" applyFill="1" applyBorder="1" applyAlignment="1">
      <alignment horizontal="center" vertical="center" wrapText="1"/>
    </xf>
    <xf numFmtId="9" fontId="0" fillId="0" borderId="5" xfId="3" applyNumberFormat="1" applyFont="1" applyBorder="1" applyAlignment="1">
      <alignment horizontal="center"/>
    </xf>
    <xf numFmtId="0" fontId="0" fillId="9" borderId="10" xfId="0" applyFont="1" applyFill="1" applyBorder="1" applyAlignment="1">
      <alignment vertical="center"/>
    </xf>
    <xf numFmtId="0" fontId="10" fillId="9" borderId="10" xfId="0" applyNumberFormat="1" applyFont="1" applyFill="1" applyBorder="1" applyAlignment="1">
      <alignment vertical="center"/>
    </xf>
    <xf numFmtId="43" fontId="10" fillId="9" borderId="58" xfId="1" applyFont="1" applyFill="1" applyBorder="1" applyAlignment="1">
      <alignment vertical="center"/>
    </xf>
    <xf numFmtId="0" fontId="0" fillId="9" borderId="0" xfId="0" applyFont="1" applyFill="1" applyBorder="1" applyAlignment="1">
      <alignment vertical="center"/>
    </xf>
    <xf numFmtId="0" fontId="0" fillId="9" borderId="12" xfId="0" applyFont="1" applyFill="1" applyBorder="1" applyAlignment="1">
      <alignment vertical="center"/>
    </xf>
    <xf numFmtId="0" fontId="10" fillId="9" borderId="12" xfId="0" applyFont="1" applyFill="1" applyBorder="1" applyAlignment="1">
      <alignment vertical="center"/>
    </xf>
    <xf numFmtId="0" fontId="10" fillId="9" borderId="10" xfId="0" applyNumberFormat="1" applyFont="1" applyFill="1" applyBorder="1" applyAlignment="1">
      <alignment horizontal="right" vertical="center"/>
    </xf>
    <xf numFmtId="0" fontId="1" fillId="9" borderId="5" xfId="1" applyNumberFormat="1" applyFont="1" applyFill="1" applyBorder="1" applyAlignment="1">
      <alignment vertical="center"/>
    </xf>
    <xf numFmtId="0" fontId="3" fillId="2" borderId="5" xfId="1" applyNumberFormat="1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8" fontId="173" fillId="9" borderId="8" xfId="1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43" fontId="0" fillId="0" borderId="61" xfId="1" applyFont="1" applyBorder="1" applyAlignment="1">
      <alignment vertical="center"/>
    </xf>
    <xf numFmtId="49" fontId="0" fillId="4" borderId="12" xfId="1" applyNumberFormat="1" applyFont="1" applyFill="1" applyBorder="1" applyAlignment="1">
      <alignment horizontal="center" vertical="center"/>
    </xf>
    <xf numFmtId="49" fontId="7" fillId="4" borderId="12" xfId="1" applyNumberFormat="1" applyFont="1" applyFill="1" applyBorder="1" applyAlignment="1">
      <alignment horizontal="center" vertical="center"/>
    </xf>
    <xf numFmtId="0" fontId="0" fillId="0" borderId="59" xfId="0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9" fillId="9" borderId="0" xfId="0" applyFont="1" applyFill="1" applyBorder="1" applyAlignment="1">
      <alignment vertical="center"/>
    </xf>
    <xf numFmtId="43" fontId="19" fillId="0" borderId="0" xfId="1" applyFont="1" applyBorder="1" applyAlignment="1">
      <alignment horizontal="center" vertical="center"/>
    </xf>
    <xf numFmtId="49" fontId="19" fillId="0" borderId="0" xfId="1" applyNumberFormat="1" applyFont="1" applyFill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43" fontId="22" fillId="0" borderId="0" xfId="1" applyFont="1" applyBorder="1" applyAlignment="1">
      <alignment horizontal="center" vertical="center"/>
    </xf>
    <xf numFmtId="49" fontId="22" fillId="0" borderId="0" xfId="1" applyNumberFormat="1" applyFont="1" applyFill="1" applyBorder="1" applyAlignment="1">
      <alignment horizontal="center" vertical="center"/>
    </xf>
    <xf numFmtId="43" fontId="3" fillId="2" borderId="59" xfId="1" applyFont="1" applyFill="1" applyBorder="1" applyAlignment="1">
      <alignment horizontal="center" vertical="center" wrapText="1"/>
    </xf>
    <xf numFmtId="0" fontId="0" fillId="9" borderId="0" xfId="0" applyNumberFormat="1" applyFill="1" applyBorder="1" applyAlignment="1">
      <alignment horizontal="center" vertical="center"/>
    </xf>
    <xf numFmtId="0" fontId="3" fillId="2" borderId="61" xfId="2" applyFill="1" applyBorder="1" applyAlignment="1">
      <alignment horizontal="center" vertical="center" wrapText="1"/>
    </xf>
    <xf numFmtId="165" fontId="0" fillId="0" borderId="61" xfId="1" applyNumberFormat="1" applyFont="1" applyBorder="1" applyAlignment="1">
      <alignment vertical="center"/>
    </xf>
    <xf numFmtId="0" fontId="0" fillId="9" borderId="66" xfId="0" applyFill="1" applyBorder="1" applyAlignment="1">
      <alignment vertical="center"/>
    </xf>
    <xf numFmtId="49" fontId="0" fillId="9" borderId="67" xfId="0" applyNumberFormat="1" applyFill="1" applyBorder="1" applyAlignment="1">
      <alignment vertical="center"/>
    </xf>
    <xf numFmtId="49" fontId="0" fillId="9" borderId="68" xfId="0" applyNumberFormat="1" applyFill="1" applyBorder="1" applyAlignment="1">
      <alignment horizontal="center" vertical="center"/>
    </xf>
    <xf numFmtId="0" fontId="3" fillId="9" borderId="61" xfId="2" applyFill="1" applyBorder="1" applyAlignment="1">
      <alignment horizontal="center" vertical="center" wrapText="1"/>
    </xf>
    <xf numFmtId="49" fontId="3" fillId="9" borderId="61" xfId="2" applyNumberFormat="1" applyFill="1" applyBorder="1" applyAlignment="1">
      <alignment horizontal="center" vertical="center" wrapText="1"/>
    </xf>
    <xf numFmtId="165" fontId="3" fillId="2" borderId="61" xfId="1" applyNumberFormat="1" applyFont="1" applyFill="1" applyBorder="1" applyAlignment="1">
      <alignment horizontal="center" vertical="center" wrapText="1"/>
    </xf>
    <xf numFmtId="43" fontId="3" fillId="2" borderId="61" xfId="1" applyFont="1" applyFill="1" applyBorder="1" applyAlignment="1">
      <alignment horizontal="center" vertical="center" wrapText="1"/>
    </xf>
    <xf numFmtId="43" fontId="0" fillId="9" borderId="9" xfId="1" applyFont="1" applyFill="1" applyBorder="1" applyAlignment="1">
      <alignment vertical="center"/>
    </xf>
    <xf numFmtId="43" fontId="169" fillId="0" borderId="5" xfId="1" applyFont="1" applyFill="1" applyBorder="1" applyAlignment="1" applyProtection="1">
      <alignment horizontal="right" vertical="top" wrapText="1"/>
    </xf>
    <xf numFmtId="43" fontId="160" fillId="0" borderId="5" xfId="1" applyFont="1" applyBorder="1" applyAlignment="1">
      <alignment horizontal="right" vertical="top" wrapText="1"/>
    </xf>
    <xf numFmtId="43" fontId="160" fillId="0" borderId="5" xfId="1" applyFont="1" applyFill="1" applyBorder="1" applyAlignment="1">
      <alignment horizontal="right" vertical="top" wrapText="1"/>
    </xf>
    <xf numFmtId="43" fontId="6" fillId="0" borderId="0" xfId="0" applyNumberFormat="1" applyFont="1" applyAlignment="1">
      <alignment vertical="top"/>
    </xf>
    <xf numFmtId="0" fontId="0" fillId="0" borderId="0" xfId="0" applyBorder="1" applyAlignment="1">
      <alignment horizontal="center" vertical="center"/>
    </xf>
    <xf numFmtId="49" fontId="10" fillId="0" borderId="10" xfId="0" applyNumberFormat="1" applyFont="1" applyFill="1" applyBorder="1" applyAlignment="1">
      <alignment horizontal="left" vertical="center"/>
    </xf>
    <xf numFmtId="0" fontId="10" fillId="0" borderId="10" xfId="0" applyNumberFormat="1" applyFont="1" applyFill="1" applyBorder="1" applyAlignment="1">
      <alignment horizontal="right" vertical="center"/>
    </xf>
    <xf numFmtId="1" fontId="10" fillId="0" borderId="57" xfId="1" applyNumberFormat="1" applyFont="1" applyFill="1" applyBorder="1" applyAlignment="1">
      <alignment horizontal="center" vertical="center"/>
    </xf>
    <xf numFmtId="2" fontId="10" fillId="0" borderId="57" xfId="1" applyNumberFormat="1" applyFont="1" applyFill="1" applyBorder="1" applyAlignment="1">
      <alignment horizontal="center" vertical="center"/>
    </xf>
    <xf numFmtId="9" fontId="10" fillId="0" borderId="10" xfId="3" applyFont="1" applyFill="1" applyBorder="1" applyAlignment="1">
      <alignment horizontal="center" vertical="center"/>
    </xf>
    <xf numFmtId="43" fontId="0" fillId="9" borderId="0" xfId="0" applyNumberFormat="1" applyFill="1" applyBorder="1" applyAlignment="1">
      <alignment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43" fontId="10" fillId="0" borderId="0" xfId="1" applyFont="1" applyBorder="1" applyAlignment="1">
      <alignment horizontal="center" vertical="center"/>
    </xf>
    <xf numFmtId="14" fontId="10" fillId="0" borderId="0" xfId="0" applyNumberFormat="1" applyFont="1" applyFill="1" applyBorder="1" applyAlignment="1">
      <alignment vertical="center"/>
    </xf>
    <xf numFmtId="9" fontId="0" fillId="0" borderId="0" xfId="3" applyNumberFormat="1" applyFont="1" applyFill="1" applyBorder="1" applyAlignment="1">
      <alignment horizontal="center" vertical="center"/>
    </xf>
    <xf numFmtId="43" fontId="10" fillId="0" borderId="10" xfId="1" applyFont="1" applyFill="1" applyBorder="1" applyAlignment="1">
      <alignment horizontal="center" vertical="center"/>
    </xf>
    <xf numFmtId="17" fontId="5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 indent="1"/>
    </xf>
    <xf numFmtId="0" fontId="4" fillId="2" borderId="7" xfId="0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3" fontId="3" fillId="2" borderId="6" xfId="1" applyFont="1" applyFill="1" applyBorder="1" applyAlignment="1">
      <alignment horizontal="center" vertical="center" wrapText="1"/>
    </xf>
    <xf numFmtId="43" fontId="3" fillId="2" borderId="7" xfId="1" applyFont="1" applyFill="1" applyBorder="1" applyAlignment="1">
      <alignment horizontal="center" vertical="center" wrapText="1"/>
    </xf>
    <xf numFmtId="43" fontId="3" fillId="2" borderId="8" xfId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0" fontId="3" fillId="77" borderId="63" xfId="0" applyFont="1" applyFill="1" applyBorder="1" applyAlignment="1">
      <alignment horizontal="center" vertical="center"/>
    </xf>
    <xf numFmtId="0" fontId="3" fillId="9" borderId="0" xfId="2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64" xfId="0" applyFont="1" applyFill="1" applyBorder="1" applyAlignment="1">
      <alignment horizontal="center" vertical="center"/>
    </xf>
    <xf numFmtId="0" fontId="2" fillId="3" borderId="65" xfId="0" applyFont="1" applyFill="1" applyBorder="1" applyAlignment="1">
      <alignment horizontal="center" vertical="center"/>
    </xf>
    <xf numFmtId="0" fontId="3" fillId="2" borderId="6" xfId="2" applyFill="1" applyBorder="1" applyAlignment="1">
      <alignment horizontal="center" vertical="center" wrapText="1"/>
    </xf>
    <xf numFmtId="0" fontId="3" fillId="2" borderId="7" xfId="2" applyFill="1" applyBorder="1" applyAlignment="1">
      <alignment horizontal="center" vertical="center" wrapText="1"/>
    </xf>
    <xf numFmtId="0" fontId="3" fillId="2" borderId="8" xfId="2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2" fillId="74" borderId="16" xfId="0" applyFont="1" applyFill="1" applyBorder="1" applyAlignment="1">
      <alignment horizontal="center" vertical="center" wrapText="1"/>
    </xf>
    <xf numFmtId="0" fontId="12" fillId="74" borderId="17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7" fontId="0" fillId="0" borderId="61" xfId="0" applyNumberFormat="1" applyBorder="1" applyAlignment="1">
      <alignment horizontal="center"/>
    </xf>
    <xf numFmtId="0" fontId="0" fillId="0" borderId="61" xfId="0" applyBorder="1" applyAlignment="1">
      <alignment horizontal="center"/>
    </xf>
    <xf numFmtId="43" fontId="2" fillId="3" borderId="18" xfId="1" applyFont="1" applyFill="1" applyBorder="1" applyAlignment="1">
      <alignment horizontal="center" vertical="center"/>
    </xf>
    <xf numFmtId="43" fontId="2" fillId="3" borderId="19" xfId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8" fontId="173" fillId="0" borderId="6" xfId="1" applyNumberFormat="1" applyFont="1" applyFill="1" applyBorder="1" applyAlignment="1">
      <alignment horizontal="center" vertical="center" wrapText="1"/>
    </xf>
    <xf numFmtId="8" fontId="173" fillId="0" borderId="5" xfId="1" applyNumberFormat="1" applyFont="1" applyFill="1" applyBorder="1" applyAlignment="1">
      <alignment horizontal="center" vertical="center" wrapText="1"/>
    </xf>
  </cellXfs>
  <cellStyles count="5448">
    <cellStyle name="20% - Accent1 10" xfId="10" xr:uid="{00000000-0005-0000-0000-000000000000}"/>
    <cellStyle name="20% - Accent1 2" xfId="11" xr:uid="{00000000-0005-0000-0000-000001000000}"/>
    <cellStyle name="20% - Accent1 2 10" xfId="12" xr:uid="{00000000-0005-0000-0000-000002000000}"/>
    <cellStyle name="20% - Accent1 2 11" xfId="13" xr:uid="{00000000-0005-0000-0000-000003000000}"/>
    <cellStyle name="20% - Accent1 2 12" xfId="14" xr:uid="{00000000-0005-0000-0000-000004000000}"/>
    <cellStyle name="20% - Accent1 2 2" xfId="15" xr:uid="{00000000-0005-0000-0000-000005000000}"/>
    <cellStyle name="20% - Accent1 2 3" xfId="16" xr:uid="{00000000-0005-0000-0000-000006000000}"/>
    <cellStyle name="20% - Accent1 2 4" xfId="17" xr:uid="{00000000-0005-0000-0000-000007000000}"/>
    <cellStyle name="20% - Accent1 2 5" xfId="18" xr:uid="{00000000-0005-0000-0000-000008000000}"/>
    <cellStyle name="20% - Accent1 2 6" xfId="19" xr:uid="{00000000-0005-0000-0000-000009000000}"/>
    <cellStyle name="20% - Accent1 2 7" xfId="20" xr:uid="{00000000-0005-0000-0000-00000A000000}"/>
    <cellStyle name="20% - Accent1 2 8" xfId="21" xr:uid="{00000000-0005-0000-0000-00000B000000}"/>
    <cellStyle name="20% - Accent1 2 9" xfId="22" xr:uid="{00000000-0005-0000-0000-00000C000000}"/>
    <cellStyle name="20% - Accent1 2_ContasExternas" xfId="23" xr:uid="{00000000-0005-0000-0000-00000D000000}"/>
    <cellStyle name="20% - Accent1 3" xfId="24" xr:uid="{00000000-0005-0000-0000-00000E000000}"/>
    <cellStyle name="20% - Accent1 3 10" xfId="25" xr:uid="{00000000-0005-0000-0000-00000F000000}"/>
    <cellStyle name="20% - Accent1 3 11" xfId="26" xr:uid="{00000000-0005-0000-0000-000010000000}"/>
    <cellStyle name="20% - Accent1 3 12" xfId="27" xr:uid="{00000000-0005-0000-0000-000011000000}"/>
    <cellStyle name="20% - Accent1 3 2" xfId="28" xr:uid="{00000000-0005-0000-0000-000012000000}"/>
    <cellStyle name="20% - Accent1 3 3" xfId="29" xr:uid="{00000000-0005-0000-0000-000013000000}"/>
    <cellStyle name="20% - Accent1 3 4" xfId="30" xr:uid="{00000000-0005-0000-0000-000014000000}"/>
    <cellStyle name="20% - Accent1 3 5" xfId="31" xr:uid="{00000000-0005-0000-0000-000015000000}"/>
    <cellStyle name="20% - Accent1 3 6" xfId="32" xr:uid="{00000000-0005-0000-0000-000016000000}"/>
    <cellStyle name="20% - Accent1 3 7" xfId="33" xr:uid="{00000000-0005-0000-0000-000017000000}"/>
    <cellStyle name="20% - Accent1 3 8" xfId="34" xr:uid="{00000000-0005-0000-0000-000018000000}"/>
    <cellStyle name="20% - Accent1 3 9" xfId="35" xr:uid="{00000000-0005-0000-0000-000019000000}"/>
    <cellStyle name="20% - Accent1 3_ContasExternas" xfId="36" xr:uid="{00000000-0005-0000-0000-00001A000000}"/>
    <cellStyle name="20% - Accent1 4" xfId="37" xr:uid="{00000000-0005-0000-0000-00001B000000}"/>
    <cellStyle name="20% - Accent1 4 10" xfId="38" xr:uid="{00000000-0005-0000-0000-00001C000000}"/>
    <cellStyle name="20% - Accent1 4 11" xfId="39" xr:uid="{00000000-0005-0000-0000-00001D000000}"/>
    <cellStyle name="20% - Accent1 4 12" xfId="40" xr:uid="{00000000-0005-0000-0000-00001E000000}"/>
    <cellStyle name="20% - Accent1 4 2" xfId="41" xr:uid="{00000000-0005-0000-0000-00001F000000}"/>
    <cellStyle name="20% - Accent1 4 3" xfId="42" xr:uid="{00000000-0005-0000-0000-000020000000}"/>
    <cellStyle name="20% - Accent1 4 4" xfId="43" xr:uid="{00000000-0005-0000-0000-000021000000}"/>
    <cellStyle name="20% - Accent1 4 5" xfId="44" xr:uid="{00000000-0005-0000-0000-000022000000}"/>
    <cellStyle name="20% - Accent1 4 6" xfId="45" xr:uid="{00000000-0005-0000-0000-000023000000}"/>
    <cellStyle name="20% - Accent1 4 7" xfId="46" xr:uid="{00000000-0005-0000-0000-000024000000}"/>
    <cellStyle name="20% - Accent1 4 8" xfId="47" xr:uid="{00000000-0005-0000-0000-000025000000}"/>
    <cellStyle name="20% - Accent1 4 9" xfId="48" xr:uid="{00000000-0005-0000-0000-000026000000}"/>
    <cellStyle name="20% - Accent1 4_ContasExternas" xfId="49" xr:uid="{00000000-0005-0000-0000-000027000000}"/>
    <cellStyle name="20% - Accent1 5" xfId="50" xr:uid="{00000000-0005-0000-0000-000028000000}"/>
    <cellStyle name="20% - Accent1 5 10" xfId="51" xr:uid="{00000000-0005-0000-0000-000029000000}"/>
    <cellStyle name="20% - Accent1 5 11" xfId="52" xr:uid="{00000000-0005-0000-0000-00002A000000}"/>
    <cellStyle name="20% - Accent1 5 12" xfId="53" xr:uid="{00000000-0005-0000-0000-00002B000000}"/>
    <cellStyle name="20% - Accent1 5 2" xfId="54" xr:uid="{00000000-0005-0000-0000-00002C000000}"/>
    <cellStyle name="20% - Accent1 5 3" xfId="55" xr:uid="{00000000-0005-0000-0000-00002D000000}"/>
    <cellStyle name="20% - Accent1 5 4" xfId="56" xr:uid="{00000000-0005-0000-0000-00002E000000}"/>
    <cellStyle name="20% - Accent1 5 5" xfId="57" xr:uid="{00000000-0005-0000-0000-00002F000000}"/>
    <cellStyle name="20% - Accent1 5 6" xfId="58" xr:uid="{00000000-0005-0000-0000-000030000000}"/>
    <cellStyle name="20% - Accent1 5 7" xfId="59" xr:uid="{00000000-0005-0000-0000-000031000000}"/>
    <cellStyle name="20% - Accent1 5 8" xfId="60" xr:uid="{00000000-0005-0000-0000-000032000000}"/>
    <cellStyle name="20% - Accent1 5 9" xfId="61" xr:uid="{00000000-0005-0000-0000-000033000000}"/>
    <cellStyle name="20% - Accent1 5_ContasExternas" xfId="62" xr:uid="{00000000-0005-0000-0000-000034000000}"/>
    <cellStyle name="20% - Accent1 6" xfId="63" xr:uid="{00000000-0005-0000-0000-000035000000}"/>
    <cellStyle name="20% - Accent1 6 10" xfId="64" xr:uid="{00000000-0005-0000-0000-000036000000}"/>
    <cellStyle name="20% - Accent1 6 11" xfId="65" xr:uid="{00000000-0005-0000-0000-000037000000}"/>
    <cellStyle name="20% - Accent1 6 12" xfId="66" xr:uid="{00000000-0005-0000-0000-000038000000}"/>
    <cellStyle name="20% - Accent1 6 2" xfId="67" xr:uid="{00000000-0005-0000-0000-000039000000}"/>
    <cellStyle name="20% - Accent1 6 3" xfId="68" xr:uid="{00000000-0005-0000-0000-00003A000000}"/>
    <cellStyle name="20% - Accent1 6 4" xfId="69" xr:uid="{00000000-0005-0000-0000-00003B000000}"/>
    <cellStyle name="20% - Accent1 6 5" xfId="70" xr:uid="{00000000-0005-0000-0000-00003C000000}"/>
    <cellStyle name="20% - Accent1 6 6" xfId="71" xr:uid="{00000000-0005-0000-0000-00003D000000}"/>
    <cellStyle name="20% - Accent1 6 7" xfId="72" xr:uid="{00000000-0005-0000-0000-00003E000000}"/>
    <cellStyle name="20% - Accent1 6 8" xfId="73" xr:uid="{00000000-0005-0000-0000-00003F000000}"/>
    <cellStyle name="20% - Accent1 6 9" xfId="74" xr:uid="{00000000-0005-0000-0000-000040000000}"/>
    <cellStyle name="20% - Accent1 6_ContasExternas" xfId="75" xr:uid="{00000000-0005-0000-0000-000041000000}"/>
    <cellStyle name="20% - Accent1 7" xfId="76" xr:uid="{00000000-0005-0000-0000-000042000000}"/>
    <cellStyle name="20% - Accent1 7 10" xfId="77" xr:uid="{00000000-0005-0000-0000-000043000000}"/>
    <cellStyle name="20% - Accent1 7 11" xfId="78" xr:uid="{00000000-0005-0000-0000-000044000000}"/>
    <cellStyle name="20% - Accent1 7 12" xfId="79" xr:uid="{00000000-0005-0000-0000-000045000000}"/>
    <cellStyle name="20% - Accent1 7 2" xfId="80" xr:uid="{00000000-0005-0000-0000-000046000000}"/>
    <cellStyle name="20% - Accent1 7 3" xfId="81" xr:uid="{00000000-0005-0000-0000-000047000000}"/>
    <cellStyle name="20% - Accent1 7 4" xfId="82" xr:uid="{00000000-0005-0000-0000-000048000000}"/>
    <cellStyle name="20% - Accent1 7 5" xfId="83" xr:uid="{00000000-0005-0000-0000-000049000000}"/>
    <cellStyle name="20% - Accent1 7 6" xfId="84" xr:uid="{00000000-0005-0000-0000-00004A000000}"/>
    <cellStyle name="20% - Accent1 7 7" xfId="85" xr:uid="{00000000-0005-0000-0000-00004B000000}"/>
    <cellStyle name="20% - Accent1 7 8" xfId="86" xr:uid="{00000000-0005-0000-0000-00004C000000}"/>
    <cellStyle name="20% - Accent1 7 9" xfId="87" xr:uid="{00000000-0005-0000-0000-00004D000000}"/>
    <cellStyle name="20% - Accent1 7_ContasExternas" xfId="88" xr:uid="{00000000-0005-0000-0000-00004E000000}"/>
    <cellStyle name="20% - Accent1 8" xfId="89" xr:uid="{00000000-0005-0000-0000-00004F000000}"/>
    <cellStyle name="20% - Accent1 8 10" xfId="90" xr:uid="{00000000-0005-0000-0000-000050000000}"/>
    <cellStyle name="20% - Accent1 8 11" xfId="91" xr:uid="{00000000-0005-0000-0000-000051000000}"/>
    <cellStyle name="20% - Accent1 8 12" xfId="92" xr:uid="{00000000-0005-0000-0000-000052000000}"/>
    <cellStyle name="20% - Accent1 8 2" xfId="93" xr:uid="{00000000-0005-0000-0000-000053000000}"/>
    <cellStyle name="20% - Accent1 8 3" xfId="94" xr:uid="{00000000-0005-0000-0000-000054000000}"/>
    <cellStyle name="20% - Accent1 8 4" xfId="95" xr:uid="{00000000-0005-0000-0000-000055000000}"/>
    <cellStyle name="20% - Accent1 8 5" xfId="96" xr:uid="{00000000-0005-0000-0000-000056000000}"/>
    <cellStyle name="20% - Accent1 8 6" xfId="97" xr:uid="{00000000-0005-0000-0000-000057000000}"/>
    <cellStyle name="20% - Accent1 8 7" xfId="98" xr:uid="{00000000-0005-0000-0000-000058000000}"/>
    <cellStyle name="20% - Accent1 8 8" xfId="99" xr:uid="{00000000-0005-0000-0000-000059000000}"/>
    <cellStyle name="20% - Accent1 8 9" xfId="100" xr:uid="{00000000-0005-0000-0000-00005A000000}"/>
    <cellStyle name="20% - Accent1 8_ContasExternas" xfId="101" xr:uid="{00000000-0005-0000-0000-00005B000000}"/>
    <cellStyle name="20% - Accent1 9" xfId="102" xr:uid="{00000000-0005-0000-0000-00005C000000}"/>
    <cellStyle name="20% - Accent2 10" xfId="103" xr:uid="{00000000-0005-0000-0000-00005D000000}"/>
    <cellStyle name="20% - Accent2 2" xfId="104" xr:uid="{00000000-0005-0000-0000-00005E000000}"/>
    <cellStyle name="20% - Accent2 2 10" xfId="105" xr:uid="{00000000-0005-0000-0000-00005F000000}"/>
    <cellStyle name="20% - Accent2 2 11" xfId="106" xr:uid="{00000000-0005-0000-0000-000060000000}"/>
    <cellStyle name="20% - Accent2 2 12" xfId="107" xr:uid="{00000000-0005-0000-0000-000061000000}"/>
    <cellStyle name="20% - Accent2 2 2" xfId="108" xr:uid="{00000000-0005-0000-0000-000062000000}"/>
    <cellStyle name="20% - Accent2 2 3" xfId="109" xr:uid="{00000000-0005-0000-0000-000063000000}"/>
    <cellStyle name="20% - Accent2 2 4" xfId="110" xr:uid="{00000000-0005-0000-0000-000064000000}"/>
    <cellStyle name="20% - Accent2 2 5" xfId="111" xr:uid="{00000000-0005-0000-0000-000065000000}"/>
    <cellStyle name="20% - Accent2 2 6" xfId="112" xr:uid="{00000000-0005-0000-0000-000066000000}"/>
    <cellStyle name="20% - Accent2 2 7" xfId="113" xr:uid="{00000000-0005-0000-0000-000067000000}"/>
    <cellStyle name="20% - Accent2 2 8" xfId="114" xr:uid="{00000000-0005-0000-0000-000068000000}"/>
    <cellStyle name="20% - Accent2 2 9" xfId="115" xr:uid="{00000000-0005-0000-0000-000069000000}"/>
    <cellStyle name="20% - Accent2 2_ContasExternas" xfId="116" xr:uid="{00000000-0005-0000-0000-00006A000000}"/>
    <cellStyle name="20% - Accent2 3" xfId="117" xr:uid="{00000000-0005-0000-0000-00006B000000}"/>
    <cellStyle name="20% - Accent2 3 10" xfId="118" xr:uid="{00000000-0005-0000-0000-00006C000000}"/>
    <cellStyle name="20% - Accent2 3 11" xfId="119" xr:uid="{00000000-0005-0000-0000-00006D000000}"/>
    <cellStyle name="20% - Accent2 3 12" xfId="120" xr:uid="{00000000-0005-0000-0000-00006E000000}"/>
    <cellStyle name="20% - Accent2 3 2" xfId="121" xr:uid="{00000000-0005-0000-0000-00006F000000}"/>
    <cellStyle name="20% - Accent2 3 3" xfId="122" xr:uid="{00000000-0005-0000-0000-000070000000}"/>
    <cellStyle name="20% - Accent2 3 4" xfId="123" xr:uid="{00000000-0005-0000-0000-000071000000}"/>
    <cellStyle name="20% - Accent2 3 5" xfId="124" xr:uid="{00000000-0005-0000-0000-000072000000}"/>
    <cellStyle name="20% - Accent2 3 6" xfId="125" xr:uid="{00000000-0005-0000-0000-000073000000}"/>
    <cellStyle name="20% - Accent2 3 7" xfId="126" xr:uid="{00000000-0005-0000-0000-000074000000}"/>
    <cellStyle name="20% - Accent2 3 8" xfId="127" xr:uid="{00000000-0005-0000-0000-000075000000}"/>
    <cellStyle name="20% - Accent2 3 9" xfId="128" xr:uid="{00000000-0005-0000-0000-000076000000}"/>
    <cellStyle name="20% - Accent2 3_ContasExternas" xfId="129" xr:uid="{00000000-0005-0000-0000-000077000000}"/>
    <cellStyle name="20% - Accent2 4" xfId="130" xr:uid="{00000000-0005-0000-0000-000078000000}"/>
    <cellStyle name="20% - Accent2 4 10" xfId="131" xr:uid="{00000000-0005-0000-0000-000079000000}"/>
    <cellStyle name="20% - Accent2 4 11" xfId="132" xr:uid="{00000000-0005-0000-0000-00007A000000}"/>
    <cellStyle name="20% - Accent2 4 12" xfId="133" xr:uid="{00000000-0005-0000-0000-00007B000000}"/>
    <cellStyle name="20% - Accent2 4 2" xfId="134" xr:uid="{00000000-0005-0000-0000-00007C000000}"/>
    <cellStyle name="20% - Accent2 4 3" xfId="135" xr:uid="{00000000-0005-0000-0000-00007D000000}"/>
    <cellStyle name="20% - Accent2 4 4" xfId="136" xr:uid="{00000000-0005-0000-0000-00007E000000}"/>
    <cellStyle name="20% - Accent2 4 5" xfId="137" xr:uid="{00000000-0005-0000-0000-00007F000000}"/>
    <cellStyle name="20% - Accent2 4 6" xfId="138" xr:uid="{00000000-0005-0000-0000-000080000000}"/>
    <cellStyle name="20% - Accent2 4 7" xfId="139" xr:uid="{00000000-0005-0000-0000-000081000000}"/>
    <cellStyle name="20% - Accent2 4 8" xfId="140" xr:uid="{00000000-0005-0000-0000-000082000000}"/>
    <cellStyle name="20% - Accent2 4 9" xfId="141" xr:uid="{00000000-0005-0000-0000-000083000000}"/>
    <cellStyle name="20% - Accent2 4_ContasExternas" xfId="142" xr:uid="{00000000-0005-0000-0000-000084000000}"/>
    <cellStyle name="20% - Accent2 5" xfId="143" xr:uid="{00000000-0005-0000-0000-000085000000}"/>
    <cellStyle name="20% - Accent2 5 10" xfId="144" xr:uid="{00000000-0005-0000-0000-000086000000}"/>
    <cellStyle name="20% - Accent2 5 11" xfId="145" xr:uid="{00000000-0005-0000-0000-000087000000}"/>
    <cellStyle name="20% - Accent2 5 12" xfId="146" xr:uid="{00000000-0005-0000-0000-000088000000}"/>
    <cellStyle name="20% - Accent2 5 2" xfId="147" xr:uid="{00000000-0005-0000-0000-000089000000}"/>
    <cellStyle name="20% - Accent2 5 3" xfId="148" xr:uid="{00000000-0005-0000-0000-00008A000000}"/>
    <cellStyle name="20% - Accent2 5 4" xfId="149" xr:uid="{00000000-0005-0000-0000-00008B000000}"/>
    <cellStyle name="20% - Accent2 5 5" xfId="150" xr:uid="{00000000-0005-0000-0000-00008C000000}"/>
    <cellStyle name="20% - Accent2 5 6" xfId="151" xr:uid="{00000000-0005-0000-0000-00008D000000}"/>
    <cellStyle name="20% - Accent2 5 7" xfId="152" xr:uid="{00000000-0005-0000-0000-00008E000000}"/>
    <cellStyle name="20% - Accent2 5 8" xfId="153" xr:uid="{00000000-0005-0000-0000-00008F000000}"/>
    <cellStyle name="20% - Accent2 5 9" xfId="154" xr:uid="{00000000-0005-0000-0000-000090000000}"/>
    <cellStyle name="20% - Accent2 5_ContasExternas" xfId="155" xr:uid="{00000000-0005-0000-0000-000091000000}"/>
    <cellStyle name="20% - Accent2 6" xfId="156" xr:uid="{00000000-0005-0000-0000-000092000000}"/>
    <cellStyle name="20% - Accent2 6 10" xfId="157" xr:uid="{00000000-0005-0000-0000-000093000000}"/>
    <cellStyle name="20% - Accent2 6 11" xfId="158" xr:uid="{00000000-0005-0000-0000-000094000000}"/>
    <cellStyle name="20% - Accent2 6 12" xfId="159" xr:uid="{00000000-0005-0000-0000-000095000000}"/>
    <cellStyle name="20% - Accent2 6 2" xfId="160" xr:uid="{00000000-0005-0000-0000-000096000000}"/>
    <cellStyle name="20% - Accent2 6 3" xfId="161" xr:uid="{00000000-0005-0000-0000-000097000000}"/>
    <cellStyle name="20% - Accent2 6 4" xfId="162" xr:uid="{00000000-0005-0000-0000-000098000000}"/>
    <cellStyle name="20% - Accent2 6 5" xfId="163" xr:uid="{00000000-0005-0000-0000-000099000000}"/>
    <cellStyle name="20% - Accent2 6 6" xfId="164" xr:uid="{00000000-0005-0000-0000-00009A000000}"/>
    <cellStyle name="20% - Accent2 6 7" xfId="165" xr:uid="{00000000-0005-0000-0000-00009B000000}"/>
    <cellStyle name="20% - Accent2 6 8" xfId="166" xr:uid="{00000000-0005-0000-0000-00009C000000}"/>
    <cellStyle name="20% - Accent2 6 9" xfId="167" xr:uid="{00000000-0005-0000-0000-00009D000000}"/>
    <cellStyle name="20% - Accent2 6_ContasExternas" xfId="168" xr:uid="{00000000-0005-0000-0000-00009E000000}"/>
    <cellStyle name="20% - Accent2 7" xfId="169" xr:uid="{00000000-0005-0000-0000-00009F000000}"/>
    <cellStyle name="20% - Accent2 7 10" xfId="170" xr:uid="{00000000-0005-0000-0000-0000A0000000}"/>
    <cellStyle name="20% - Accent2 7 11" xfId="171" xr:uid="{00000000-0005-0000-0000-0000A1000000}"/>
    <cellStyle name="20% - Accent2 7 12" xfId="172" xr:uid="{00000000-0005-0000-0000-0000A2000000}"/>
    <cellStyle name="20% - Accent2 7 2" xfId="173" xr:uid="{00000000-0005-0000-0000-0000A3000000}"/>
    <cellStyle name="20% - Accent2 7 3" xfId="174" xr:uid="{00000000-0005-0000-0000-0000A4000000}"/>
    <cellStyle name="20% - Accent2 7 4" xfId="175" xr:uid="{00000000-0005-0000-0000-0000A5000000}"/>
    <cellStyle name="20% - Accent2 7 5" xfId="176" xr:uid="{00000000-0005-0000-0000-0000A6000000}"/>
    <cellStyle name="20% - Accent2 7 6" xfId="177" xr:uid="{00000000-0005-0000-0000-0000A7000000}"/>
    <cellStyle name="20% - Accent2 7 7" xfId="178" xr:uid="{00000000-0005-0000-0000-0000A8000000}"/>
    <cellStyle name="20% - Accent2 7 8" xfId="179" xr:uid="{00000000-0005-0000-0000-0000A9000000}"/>
    <cellStyle name="20% - Accent2 7 9" xfId="180" xr:uid="{00000000-0005-0000-0000-0000AA000000}"/>
    <cellStyle name="20% - Accent2 7_ContasExternas" xfId="181" xr:uid="{00000000-0005-0000-0000-0000AB000000}"/>
    <cellStyle name="20% - Accent2 8" xfId="182" xr:uid="{00000000-0005-0000-0000-0000AC000000}"/>
    <cellStyle name="20% - Accent2 8 10" xfId="183" xr:uid="{00000000-0005-0000-0000-0000AD000000}"/>
    <cellStyle name="20% - Accent2 8 11" xfId="184" xr:uid="{00000000-0005-0000-0000-0000AE000000}"/>
    <cellStyle name="20% - Accent2 8 12" xfId="185" xr:uid="{00000000-0005-0000-0000-0000AF000000}"/>
    <cellStyle name="20% - Accent2 8 2" xfId="186" xr:uid="{00000000-0005-0000-0000-0000B0000000}"/>
    <cellStyle name="20% - Accent2 8 3" xfId="187" xr:uid="{00000000-0005-0000-0000-0000B1000000}"/>
    <cellStyle name="20% - Accent2 8 4" xfId="188" xr:uid="{00000000-0005-0000-0000-0000B2000000}"/>
    <cellStyle name="20% - Accent2 8 5" xfId="189" xr:uid="{00000000-0005-0000-0000-0000B3000000}"/>
    <cellStyle name="20% - Accent2 8 6" xfId="190" xr:uid="{00000000-0005-0000-0000-0000B4000000}"/>
    <cellStyle name="20% - Accent2 8 7" xfId="191" xr:uid="{00000000-0005-0000-0000-0000B5000000}"/>
    <cellStyle name="20% - Accent2 8 8" xfId="192" xr:uid="{00000000-0005-0000-0000-0000B6000000}"/>
    <cellStyle name="20% - Accent2 8 9" xfId="193" xr:uid="{00000000-0005-0000-0000-0000B7000000}"/>
    <cellStyle name="20% - Accent2 8_ContasExternas" xfId="194" xr:uid="{00000000-0005-0000-0000-0000B8000000}"/>
    <cellStyle name="20% - Accent2 9" xfId="195" xr:uid="{00000000-0005-0000-0000-0000B9000000}"/>
    <cellStyle name="20% - Accent3 10" xfId="196" xr:uid="{00000000-0005-0000-0000-0000BA000000}"/>
    <cellStyle name="20% - Accent3 2" xfId="197" xr:uid="{00000000-0005-0000-0000-0000BB000000}"/>
    <cellStyle name="20% - Accent3 2 10" xfId="198" xr:uid="{00000000-0005-0000-0000-0000BC000000}"/>
    <cellStyle name="20% - Accent3 2 11" xfId="199" xr:uid="{00000000-0005-0000-0000-0000BD000000}"/>
    <cellStyle name="20% - Accent3 2 12" xfId="200" xr:uid="{00000000-0005-0000-0000-0000BE000000}"/>
    <cellStyle name="20% - Accent3 2 2" xfId="201" xr:uid="{00000000-0005-0000-0000-0000BF000000}"/>
    <cellStyle name="20% - Accent3 2 3" xfId="202" xr:uid="{00000000-0005-0000-0000-0000C0000000}"/>
    <cellStyle name="20% - Accent3 2 4" xfId="203" xr:uid="{00000000-0005-0000-0000-0000C1000000}"/>
    <cellStyle name="20% - Accent3 2 5" xfId="204" xr:uid="{00000000-0005-0000-0000-0000C2000000}"/>
    <cellStyle name="20% - Accent3 2 6" xfId="205" xr:uid="{00000000-0005-0000-0000-0000C3000000}"/>
    <cellStyle name="20% - Accent3 2 7" xfId="206" xr:uid="{00000000-0005-0000-0000-0000C4000000}"/>
    <cellStyle name="20% - Accent3 2 8" xfId="207" xr:uid="{00000000-0005-0000-0000-0000C5000000}"/>
    <cellStyle name="20% - Accent3 2 9" xfId="208" xr:uid="{00000000-0005-0000-0000-0000C6000000}"/>
    <cellStyle name="20% - Accent3 2_ContasExternas" xfId="209" xr:uid="{00000000-0005-0000-0000-0000C7000000}"/>
    <cellStyle name="20% - Accent3 3" xfId="210" xr:uid="{00000000-0005-0000-0000-0000C8000000}"/>
    <cellStyle name="20% - Accent3 3 10" xfId="211" xr:uid="{00000000-0005-0000-0000-0000C9000000}"/>
    <cellStyle name="20% - Accent3 3 11" xfId="212" xr:uid="{00000000-0005-0000-0000-0000CA000000}"/>
    <cellStyle name="20% - Accent3 3 12" xfId="213" xr:uid="{00000000-0005-0000-0000-0000CB000000}"/>
    <cellStyle name="20% - Accent3 3 2" xfId="214" xr:uid="{00000000-0005-0000-0000-0000CC000000}"/>
    <cellStyle name="20% - Accent3 3 3" xfId="215" xr:uid="{00000000-0005-0000-0000-0000CD000000}"/>
    <cellStyle name="20% - Accent3 3 4" xfId="216" xr:uid="{00000000-0005-0000-0000-0000CE000000}"/>
    <cellStyle name="20% - Accent3 3 5" xfId="217" xr:uid="{00000000-0005-0000-0000-0000CF000000}"/>
    <cellStyle name="20% - Accent3 3 6" xfId="218" xr:uid="{00000000-0005-0000-0000-0000D0000000}"/>
    <cellStyle name="20% - Accent3 3 7" xfId="219" xr:uid="{00000000-0005-0000-0000-0000D1000000}"/>
    <cellStyle name="20% - Accent3 3 8" xfId="220" xr:uid="{00000000-0005-0000-0000-0000D2000000}"/>
    <cellStyle name="20% - Accent3 3 9" xfId="221" xr:uid="{00000000-0005-0000-0000-0000D3000000}"/>
    <cellStyle name="20% - Accent3 3_ContasExternas" xfId="222" xr:uid="{00000000-0005-0000-0000-0000D4000000}"/>
    <cellStyle name="20% - Accent3 4" xfId="223" xr:uid="{00000000-0005-0000-0000-0000D5000000}"/>
    <cellStyle name="20% - Accent3 4 10" xfId="224" xr:uid="{00000000-0005-0000-0000-0000D6000000}"/>
    <cellStyle name="20% - Accent3 4 11" xfId="225" xr:uid="{00000000-0005-0000-0000-0000D7000000}"/>
    <cellStyle name="20% - Accent3 4 12" xfId="226" xr:uid="{00000000-0005-0000-0000-0000D8000000}"/>
    <cellStyle name="20% - Accent3 4 2" xfId="227" xr:uid="{00000000-0005-0000-0000-0000D9000000}"/>
    <cellStyle name="20% - Accent3 4 3" xfId="228" xr:uid="{00000000-0005-0000-0000-0000DA000000}"/>
    <cellStyle name="20% - Accent3 4 4" xfId="229" xr:uid="{00000000-0005-0000-0000-0000DB000000}"/>
    <cellStyle name="20% - Accent3 4 5" xfId="230" xr:uid="{00000000-0005-0000-0000-0000DC000000}"/>
    <cellStyle name="20% - Accent3 4 6" xfId="231" xr:uid="{00000000-0005-0000-0000-0000DD000000}"/>
    <cellStyle name="20% - Accent3 4 7" xfId="232" xr:uid="{00000000-0005-0000-0000-0000DE000000}"/>
    <cellStyle name="20% - Accent3 4 8" xfId="233" xr:uid="{00000000-0005-0000-0000-0000DF000000}"/>
    <cellStyle name="20% - Accent3 4 9" xfId="234" xr:uid="{00000000-0005-0000-0000-0000E0000000}"/>
    <cellStyle name="20% - Accent3 4_ContasExternas" xfId="235" xr:uid="{00000000-0005-0000-0000-0000E1000000}"/>
    <cellStyle name="20% - Accent3 5" xfId="236" xr:uid="{00000000-0005-0000-0000-0000E2000000}"/>
    <cellStyle name="20% - Accent3 5 10" xfId="237" xr:uid="{00000000-0005-0000-0000-0000E3000000}"/>
    <cellStyle name="20% - Accent3 5 11" xfId="238" xr:uid="{00000000-0005-0000-0000-0000E4000000}"/>
    <cellStyle name="20% - Accent3 5 12" xfId="239" xr:uid="{00000000-0005-0000-0000-0000E5000000}"/>
    <cellStyle name="20% - Accent3 5 2" xfId="240" xr:uid="{00000000-0005-0000-0000-0000E6000000}"/>
    <cellStyle name="20% - Accent3 5 3" xfId="241" xr:uid="{00000000-0005-0000-0000-0000E7000000}"/>
    <cellStyle name="20% - Accent3 5 4" xfId="242" xr:uid="{00000000-0005-0000-0000-0000E8000000}"/>
    <cellStyle name="20% - Accent3 5 5" xfId="243" xr:uid="{00000000-0005-0000-0000-0000E9000000}"/>
    <cellStyle name="20% - Accent3 5 6" xfId="244" xr:uid="{00000000-0005-0000-0000-0000EA000000}"/>
    <cellStyle name="20% - Accent3 5 7" xfId="245" xr:uid="{00000000-0005-0000-0000-0000EB000000}"/>
    <cellStyle name="20% - Accent3 5 8" xfId="246" xr:uid="{00000000-0005-0000-0000-0000EC000000}"/>
    <cellStyle name="20% - Accent3 5 9" xfId="247" xr:uid="{00000000-0005-0000-0000-0000ED000000}"/>
    <cellStyle name="20% - Accent3 5_ContasExternas" xfId="248" xr:uid="{00000000-0005-0000-0000-0000EE000000}"/>
    <cellStyle name="20% - Accent3 6" xfId="249" xr:uid="{00000000-0005-0000-0000-0000EF000000}"/>
    <cellStyle name="20% - Accent3 6 10" xfId="250" xr:uid="{00000000-0005-0000-0000-0000F0000000}"/>
    <cellStyle name="20% - Accent3 6 11" xfId="251" xr:uid="{00000000-0005-0000-0000-0000F1000000}"/>
    <cellStyle name="20% - Accent3 6 12" xfId="252" xr:uid="{00000000-0005-0000-0000-0000F2000000}"/>
    <cellStyle name="20% - Accent3 6 2" xfId="253" xr:uid="{00000000-0005-0000-0000-0000F3000000}"/>
    <cellStyle name="20% - Accent3 6 3" xfId="254" xr:uid="{00000000-0005-0000-0000-0000F4000000}"/>
    <cellStyle name="20% - Accent3 6 4" xfId="255" xr:uid="{00000000-0005-0000-0000-0000F5000000}"/>
    <cellStyle name="20% - Accent3 6 5" xfId="256" xr:uid="{00000000-0005-0000-0000-0000F6000000}"/>
    <cellStyle name="20% - Accent3 6 6" xfId="257" xr:uid="{00000000-0005-0000-0000-0000F7000000}"/>
    <cellStyle name="20% - Accent3 6 7" xfId="258" xr:uid="{00000000-0005-0000-0000-0000F8000000}"/>
    <cellStyle name="20% - Accent3 6 8" xfId="259" xr:uid="{00000000-0005-0000-0000-0000F9000000}"/>
    <cellStyle name="20% - Accent3 6 9" xfId="260" xr:uid="{00000000-0005-0000-0000-0000FA000000}"/>
    <cellStyle name="20% - Accent3 6_ContasExternas" xfId="261" xr:uid="{00000000-0005-0000-0000-0000FB000000}"/>
    <cellStyle name="20% - Accent3 7" xfId="262" xr:uid="{00000000-0005-0000-0000-0000FC000000}"/>
    <cellStyle name="20% - Accent3 7 10" xfId="263" xr:uid="{00000000-0005-0000-0000-0000FD000000}"/>
    <cellStyle name="20% - Accent3 7 11" xfId="264" xr:uid="{00000000-0005-0000-0000-0000FE000000}"/>
    <cellStyle name="20% - Accent3 7 12" xfId="265" xr:uid="{00000000-0005-0000-0000-0000FF000000}"/>
    <cellStyle name="20% - Accent3 7 2" xfId="266" xr:uid="{00000000-0005-0000-0000-000000010000}"/>
    <cellStyle name="20% - Accent3 7 3" xfId="267" xr:uid="{00000000-0005-0000-0000-000001010000}"/>
    <cellStyle name="20% - Accent3 7 4" xfId="268" xr:uid="{00000000-0005-0000-0000-000002010000}"/>
    <cellStyle name="20% - Accent3 7 5" xfId="269" xr:uid="{00000000-0005-0000-0000-000003010000}"/>
    <cellStyle name="20% - Accent3 7 6" xfId="270" xr:uid="{00000000-0005-0000-0000-000004010000}"/>
    <cellStyle name="20% - Accent3 7 7" xfId="271" xr:uid="{00000000-0005-0000-0000-000005010000}"/>
    <cellStyle name="20% - Accent3 7 8" xfId="272" xr:uid="{00000000-0005-0000-0000-000006010000}"/>
    <cellStyle name="20% - Accent3 7 9" xfId="273" xr:uid="{00000000-0005-0000-0000-000007010000}"/>
    <cellStyle name="20% - Accent3 7_ContasExternas" xfId="274" xr:uid="{00000000-0005-0000-0000-000008010000}"/>
    <cellStyle name="20% - Accent3 8" xfId="275" xr:uid="{00000000-0005-0000-0000-000009010000}"/>
    <cellStyle name="20% - Accent3 8 10" xfId="276" xr:uid="{00000000-0005-0000-0000-00000A010000}"/>
    <cellStyle name="20% - Accent3 8 11" xfId="277" xr:uid="{00000000-0005-0000-0000-00000B010000}"/>
    <cellStyle name="20% - Accent3 8 12" xfId="278" xr:uid="{00000000-0005-0000-0000-00000C010000}"/>
    <cellStyle name="20% - Accent3 8 2" xfId="279" xr:uid="{00000000-0005-0000-0000-00000D010000}"/>
    <cellStyle name="20% - Accent3 8 3" xfId="280" xr:uid="{00000000-0005-0000-0000-00000E010000}"/>
    <cellStyle name="20% - Accent3 8 4" xfId="281" xr:uid="{00000000-0005-0000-0000-00000F010000}"/>
    <cellStyle name="20% - Accent3 8 5" xfId="282" xr:uid="{00000000-0005-0000-0000-000010010000}"/>
    <cellStyle name="20% - Accent3 8 6" xfId="283" xr:uid="{00000000-0005-0000-0000-000011010000}"/>
    <cellStyle name="20% - Accent3 8 7" xfId="284" xr:uid="{00000000-0005-0000-0000-000012010000}"/>
    <cellStyle name="20% - Accent3 8 8" xfId="285" xr:uid="{00000000-0005-0000-0000-000013010000}"/>
    <cellStyle name="20% - Accent3 8 9" xfId="286" xr:uid="{00000000-0005-0000-0000-000014010000}"/>
    <cellStyle name="20% - Accent3 8_ContasExternas" xfId="287" xr:uid="{00000000-0005-0000-0000-000015010000}"/>
    <cellStyle name="20% - Accent3 9" xfId="288" xr:uid="{00000000-0005-0000-0000-000016010000}"/>
    <cellStyle name="20% - Accent4 10" xfId="289" xr:uid="{00000000-0005-0000-0000-000017010000}"/>
    <cellStyle name="20% - Accent4 2" xfId="290" xr:uid="{00000000-0005-0000-0000-000018010000}"/>
    <cellStyle name="20% - Accent4 2 10" xfId="291" xr:uid="{00000000-0005-0000-0000-000019010000}"/>
    <cellStyle name="20% - Accent4 2 11" xfId="292" xr:uid="{00000000-0005-0000-0000-00001A010000}"/>
    <cellStyle name="20% - Accent4 2 12" xfId="293" xr:uid="{00000000-0005-0000-0000-00001B010000}"/>
    <cellStyle name="20% - Accent4 2 2" xfId="294" xr:uid="{00000000-0005-0000-0000-00001C010000}"/>
    <cellStyle name="20% - Accent4 2 3" xfId="295" xr:uid="{00000000-0005-0000-0000-00001D010000}"/>
    <cellStyle name="20% - Accent4 2 4" xfId="296" xr:uid="{00000000-0005-0000-0000-00001E010000}"/>
    <cellStyle name="20% - Accent4 2 5" xfId="297" xr:uid="{00000000-0005-0000-0000-00001F010000}"/>
    <cellStyle name="20% - Accent4 2 6" xfId="298" xr:uid="{00000000-0005-0000-0000-000020010000}"/>
    <cellStyle name="20% - Accent4 2 7" xfId="299" xr:uid="{00000000-0005-0000-0000-000021010000}"/>
    <cellStyle name="20% - Accent4 2 8" xfId="300" xr:uid="{00000000-0005-0000-0000-000022010000}"/>
    <cellStyle name="20% - Accent4 2 9" xfId="301" xr:uid="{00000000-0005-0000-0000-000023010000}"/>
    <cellStyle name="20% - Accent4 2_ContasExternas" xfId="302" xr:uid="{00000000-0005-0000-0000-000024010000}"/>
    <cellStyle name="20% - Accent4 3" xfId="303" xr:uid="{00000000-0005-0000-0000-000025010000}"/>
    <cellStyle name="20% - Accent4 3 10" xfId="304" xr:uid="{00000000-0005-0000-0000-000026010000}"/>
    <cellStyle name="20% - Accent4 3 11" xfId="305" xr:uid="{00000000-0005-0000-0000-000027010000}"/>
    <cellStyle name="20% - Accent4 3 12" xfId="306" xr:uid="{00000000-0005-0000-0000-000028010000}"/>
    <cellStyle name="20% - Accent4 3 2" xfId="307" xr:uid="{00000000-0005-0000-0000-000029010000}"/>
    <cellStyle name="20% - Accent4 3 3" xfId="308" xr:uid="{00000000-0005-0000-0000-00002A010000}"/>
    <cellStyle name="20% - Accent4 3 4" xfId="309" xr:uid="{00000000-0005-0000-0000-00002B010000}"/>
    <cellStyle name="20% - Accent4 3 5" xfId="310" xr:uid="{00000000-0005-0000-0000-00002C010000}"/>
    <cellStyle name="20% - Accent4 3 6" xfId="311" xr:uid="{00000000-0005-0000-0000-00002D010000}"/>
    <cellStyle name="20% - Accent4 3 7" xfId="312" xr:uid="{00000000-0005-0000-0000-00002E010000}"/>
    <cellStyle name="20% - Accent4 3 8" xfId="313" xr:uid="{00000000-0005-0000-0000-00002F010000}"/>
    <cellStyle name="20% - Accent4 3 9" xfId="314" xr:uid="{00000000-0005-0000-0000-000030010000}"/>
    <cellStyle name="20% - Accent4 3_ContasExternas" xfId="315" xr:uid="{00000000-0005-0000-0000-000031010000}"/>
    <cellStyle name="20% - Accent4 4" xfId="316" xr:uid="{00000000-0005-0000-0000-000032010000}"/>
    <cellStyle name="20% - Accent4 4 10" xfId="317" xr:uid="{00000000-0005-0000-0000-000033010000}"/>
    <cellStyle name="20% - Accent4 4 11" xfId="318" xr:uid="{00000000-0005-0000-0000-000034010000}"/>
    <cellStyle name="20% - Accent4 4 12" xfId="319" xr:uid="{00000000-0005-0000-0000-000035010000}"/>
    <cellStyle name="20% - Accent4 4 2" xfId="320" xr:uid="{00000000-0005-0000-0000-000036010000}"/>
    <cellStyle name="20% - Accent4 4 3" xfId="321" xr:uid="{00000000-0005-0000-0000-000037010000}"/>
    <cellStyle name="20% - Accent4 4 4" xfId="322" xr:uid="{00000000-0005-0000-0000-000038010000}"/>
    <cellStyle name="20% - Accent4 4 5" xfId="323" xr:uid="{00000000-0005-0000-0000-000039010000}"/>
    <cellStyle name="20% - Accent4 4 6" xfId="324" xr:uid="{00000000-0005-0000-0000-00003A010000}"/>
    <cellStyle name="20% - Accent4 4 7" xfId="325" xr:uid="{00000000-0005-0000-0000-00003B010000}"/>
    <cellStyle name="20% - Accent4 4 8" xfId="326" xr:uid="{00000000-0005-0000-0000-00003C010000}"/>
    <cellStyle name="20% - Accent4 4 9" xfId="327" xr:uid="{00000000-0005-0000-0000-00003D010000}"/>
    <cellStyle name="20% - Accent4 4_ContasExternas" xfId="328" xr:uid="{00000000-0005-0000-0000-00003E010000}"/>
    <cellStyle name="20% - Accent4 5" xfId="329" xr:uid="{00000000-0005-0000-0000-00003F010000}"/>
    <cellStyle name="20% - Accent4 5 10" xfId="330" xr:uid="{00000000-0005-0000-0000-000040010000}"/>
    <cellStyle name="20% - Accent4 5 11" xfId="331" xr:uid="{00000000-0005-0000-0000-000041010000}"/>
    <cellStyle name="20% - Accent4 5 12" xfId="332" xr:uid="{00000000-0005-0000-0000-000042010000}"/>
    <cellStyle name="20% - Accent4 5 2" xfId="333" xr:uid="{00000000-0005-0000-0000-000043010000}"/>
    <cellStyle name="20% - Accent4 5 3" xfId="334" xr:uid="{00000000-0005-0000-0000-000044010000}"/>
    <cellStyle name="20% - Accent4 5 4" xfId="335" xr:uid="{00000000-0005-0000-0000-000045010000}"/>
    <cellStyle name="20% - Accent4 5 5" xfId="336" xr:uid="{00000000-0005-0000-0000-000046010000}"/>
    <cellStyle name="20% - Accent4 5 6" xfId="337" xr:uid="{00000000-0005-0000-0000-000047010000}"/>
    <cellStyle name="20% - Accent4 5 7" xfId="338" xr:uid="{00000000-0005-0000-0000-000048010000}"/>
    <cellStyle name="20% - Accent4 5 8" xfId="339" xr:uid="{00000000-0005-0000-0000-000049010000}"/>
    <cellStyle name="20% - Accent4 5 9" xfId="340" xr:uid="{00000000-0005-0000-0000-00004A010000}"/>
    <cellStyle name="20% - Accent4 5_ContasExternas" xfId="341" xr:uid="{00000000-0005-0000-0000-00004B010000}"/>
    <cellStyle name="20% - Accent4 6" xfId="342" xr:uid="{00000000-0005-0000-0000-00004C010000}"/>
    <cellStyle name="20% - Accent4 6 10" xfId="343" xr:uid="{00000000-0005-0000-0000-00004D010000}"/>
    <cellStyle name="20% - Accent4 6 11" xfId="344" xr:uid="{00000000-0005-0000-0000-00004E010000}"/>
    <cellStyle name="20% - Accent4 6 12" xfId="345" xr:uid="{00000000-0005-0000-0000-00004F010000}"/>
    <cellStyle name="20% - Accent4 6 2" xfId="346" xr:uid="{00000000-0005-0000-0000-000050010000}"/>
    <cellStyle name="20% - Accent4 6 3" xfId="347" xr:uid="{00000000-0005-0000-0000-000051010000}"/>
    <cellStyle name="20% - Accent4 6 4" xfId="348" xr:uid="{00000000-0005-0000-0000-000052010000}"/>
    <cellStyle name="20% - Accent4 6 5" xfId="349" xr:uid="{00000000-0005-0000-0000-000053010000}"/>
    <cellStyle name="20% - Accent4 6 6" xfId="350" xr:uid="{00000000-0005-0000-0000-000054010000}"/>
    <cellStyle name="20% - Accent4 6 7" xfId="351" xr:uid="{00000000-0005-0000-0000-000055010000}"/>
    <cellStyle name="20% - Accent4 6 8" xfId="352" xr:uid="{00000000-0005-0000-0000-000056010000}"/>
    <cellStyle name="20% - Accent4 6 9" xfId="353" xr:uid="{00000000-0005-0000-0000-000057010000}"/>
    <cellStyle name="20% - Accent4 6_ContasExternas" xfId="354" xr:uid="{00000000-0005-0000-0000-000058010000}"/>
    <cellStyle name="20% - Accent4 7" xfId="355" xr:uid="{00000000-0005-0000-0000-000059010000}"/>
    <cellStyle name="20% - Accent4 7 10" xfId="356" xr:uid="{00000000-0005-0000-0000-00005A010000}"/>
    <cellStyle name="20% - Accent4 7 11" xfId="357" xr:uid="{00000000-0005-0000-0000-00005B010000}"/>
    <cellStyle name="20% - Accent4 7 12" xfId="358" xr:uid="{00000000-0005-0000-0000-00005C010000}"/>
    <cellStyle name="20% - Accent4 7 2" xfId="359" xr:uid="{00000000-0005-0000-0000-00005D010000}"/>
    <cellStyle name="20% - Accent4 7 3" xfId="360" xr:uid="{00000000-0005-0000-0000-00005E010000}"/>
    <cellStyle name="20% - Accent4 7 4" xfId="361" xr:uid="{00000000-0005-0000-0000-00005F010000}"/>
    <cellStyle name="20% - Accent4 7 5" xfId="362" xr:uid="{00000000-0005-0000-0000-000060010000}"/>
    <cellStyle name="20% - Accent4 7 6" xfId="363" xr:uid="{00000000-0005-0000-0000-000061010000}"/>
    <cellStyle name="20% - Accent4 7 7" xfId="364" xr:uid="{00000000-0005-0000-0000-000062010000}"/>
    <cellStyle name="20% - Accent4 7 8" xfId="365" xr:uid="{00000000-0005-0000-0000-000063010000}"/>
    <cellStyle name="20% - Accent4 7 9" xfId="366" xr:uid="{00000000-0005-0000-0000-000064010000}"/>
    <cellStyle name="20% - Accent4 7_ContasExternas" xfId="367" xr:uid="{00000000-0005-0000-0000-000065010000}"/>
    <cellStyle name="20% - Accent4 8" xfId="368" xr:uid="{00000000-0005-0000-0000-000066010000}"/>
    <cellStyle name="20% - Accent4 8 10" xfId="369" xr:uid="{00000000-0005-0000-0000-000067010000}"/>
    <cellStyle name="20% - Accent4 8 11" xfId="370" xr:uid="{00000000-0005-0000-0000-000068010000}"/>
    <cellStyle name="20% - Accent4 8 12" xfId="371" xr:uid="{00000000-0005-0000-0000-000069010000}"/>
    <cellStyle name="20% - Accent4 8 2" xfId="372" xr:uid="{00000000-0005-0000-0000-00006A010000}"/>
    <cellStyle name="20% - Accent4 8 3" xfId="373" xr:uid="{00000000-0005-0000-0000-00006B010000}"/>
    <cellStyle name="20% - Accent4 8 4" xfId="374" xr:uid="{00000000-0005-0000-0000-00006C010000}"/>
    <cellStyle name="20% - Accent4 8 5" xfId="375" xr:uid="{00000000-0005-0000-0000-00006D010000}"/>
    <cellStyle name="20% - Accent4 8 6" xfId="376" xr:uid="{00000000-0005-0000-0000-00006E010000}"/>
    <cellStyle name="20% - Accent4 8 7" xfId="377" xr:uid="{00000000-0005-0000-0000-00006F010000}"/>
    <cellStyle name="20% - Accent4 8 8" xfId="378" xr:uid="{00000000-0005-0000-0000-000070010000}"/>
    <cellStyle name="20% - Accent4 8 9" xfId="379" xr:uid="{00000000-0005-0000-0000-000071010000}"/>
    <cellStyle name="20% - Accent4 8_ContasExternas" xfId="380" xr:uid="{00000000-0005-0000-0000-000072010000}"/>
    <cellStyle name="20% - Accent4 9" xfId="381" xr:uid="{00000000-0005-0000-0000-000073010000}"/>
    <cellStyle name="20% - Accent5 10" xfId="382" xr:uid="{00000000-0005-0000-0000-000074010000}"/>
    <cellStyle name="20% - Accent5 11" xfId="383" xr:uid="{00000000-0005-0000-0000-000075010000}"/>
    <cellStyle name="20% - Accent5 2" xfId="384" xr:uid="{00000000-0005-0000-0000-000076010000}"/>
    <cellStyle name="20% - Accent5 2 10" xfId="385" xr:uid="{00000000-0005-0000-0000-000077010000}"/>
    <cellStyle name="20% - Accent5 2 11" xfId="386" xr:uid="{00000000-0005-0000-0000-000078010000}"/>
    <cellStyle name="20% - Accent5 2 12" xfId="387" xr:uid="{00000000-0005-0000-0000-000079010000}"/>
    <cellStyle name="20% - Accent5 2 2" xfId="388" xr:uid="{00000000-0005-0000-0000-00007A010000}"/>
    <cellStyle name="20% - Accent5 2 3" xfId="389" xr:uid="{00000000-0005-0000-0000-00007B010000}"/>
    <cellStyle name="20% - Accent5 2 4" xfId="390" xr:uid="{00000000-0005-0000-0000-00007C010000}"/>
    <cellStyle name="20% - Accent5 2 5" xfId="391" xr:uid="{00000000-0005-0000-0000-00007D010000}"/>
    <cellStyle name="20% - Accent5 2 6" xfId="392" xr:uid="{00000000-0005-0000-0000-00007E010000}"/>
    <cellStyle name="20% - Accent5 2 7" xfId="393" xr:uid="{00000000-0005-0000-0000-00007F010000}"/>
    <cellStyle name="20% - Accent5 2 8" xfId="394" xr:uid="{00000000-0005-0000-0000-000080010000}"/>
    <cellStyle name="20% - Accent5 2 9" xfId="395" xr:uid="{00000000-0005-0000-0000-000081010000}"/>
    <cellStyle name="20% - Accent5 2_ContasExternas" xfId="396" xr:uid="{00000000-0005-0000-0000-000082010000}"/>
    <cellStyle name="20% - Accent5 3" xfId="397" xr:uid="{00000000-0005-0000-0000-000083010000}"/>
    <cellStyle name="20% - Accent5 3 10" xfId="398" xr:uid="{00000000-0005-0000-0000-000084010000}"/>
    <cellStyle name="20% - Accent5 3 11" xfId="399" xr:uid="{00000000-0005-0000-0000-000085010000}"/>
    <cellStyle name="20% - Accent5 3 12" xfId="400" xr:uid="{00000000-0005-0000-0000-000086010000}"/>
    <cellStyle name="20% - Accent5 3 2" xfId="401" xr:uid="{00000000-0005-0000-0000-000087010000}"/>
    <cellStyle name="20% - Accent5 3 3" xfId="402" xr:uid="{00000000-0005-0000-0000-000088010000}"/>
    <cellStyle name="20% - Accent5 3 4" xfId="403" xr:uid="{00000000-0005-0000-0000-000089010000}"/>
    <cellStyle name="20% - Accent5 3 5" xfId="404" xr:uid="{00000000-0005-0000-0000-00008A010000}"/>
    <cellStyle name="20% - Accent5 3 6" xfId="405" xr:uid="{00000000-0005-0000-0000-00008B010000}"/>
    <cellStyle name="20% - Accent5 3 7" xfId="406" xr:uid="{00000000-0005-0000-0000-00008C010000}"/>
    <cellStyle name="20% - Accent5 3 8" xfId="407" xr:uid="{00000000-0005-0000-0000-00008D010000}"/>
    <cellStyle name="20% - Accent5 3 9" xfId="408" xr:uid="{00000000-0005-0000-0000-00008E010000}"/>
    <cellStyle name="20% - Accent5 3_ContasExternas" xfId="409" xr:uid="{00000000-0005-0000-0000-00008F010000}"/>
    <cellStyle name="20% - Accent5 4" xfId="410" xr:uid="{00000000-0005-0000-0000-000090010000}"/>
    <cellStyle name="20% - Accent5 4 10" xfId="411" xr:uid="{00000000-0005-0000-0000-000091010000}"/>
    <cellStyle name="20% - Accent5 4 11" xfId="412" xr:uid="{00000000-0005-0000-0000-000092010000}"/>
    <cellStyle name="20% - Accent5 4 12" xfId="413" xr:uid="{00000000-0005-0000-0000-000093010000}"/>
    <cellStyle name="20% - Accent5 4 2" xfId="414" xr:uid="{00000000-0005-0000-0000-000094010000}"/>
    <cellStyle name="20% - Accent5 4 3" xfId="415" xr:uid="{00000000-0005-0000-0000-000095010000}"/>
    <cellStyle name="20% - Accent5 4 4" xfId="416" xr:uid="{00000000-0005-0000-0000-000096010000}"/>
    <cellStyle name="20% - Accent5 4 5" xfId="417" xr:uid="{00000000-0005-0000-0000-000097010000}"/>
    <cellStyle name="20% - Accent5 4 6" xfId="418" xr:uid="{00000000-0005-0000-0000-000098010000}"/>
    <cellStyle name="20% - Accent5 4 7" xfId="419" xr:uid="{00000000-0005-0000-0000-000099010000}"/>
    <cellStyle name="20% - Accent5 4 8" xfId="420" xr:uid="{00000000-0005-0000-0000-00009A010000}"/>
    <cellStyle name="20% - Accent5 4 9" xfId="421" xr:uid="{00000000-0005-0000-0000-00009B010000}"/>
    <cellStyle name="20% - Accent5 4_ContasExternas" xfId="422" xr:uid="{00000000-0005-0000-0000-00009C010000}"/>
    <cellStyle name="20% - Accent5 5" xfId="423" xr:uid="{00000000-0005-0000-0000-00009D010000}"/>
    <cellStyle name="20% - Accent5 5 10" xfId="424" xr:uid="{00000000-0005-0000-0000-00009E010000}"/>
    <cellStyle name="20% - Accent5 5 11" xfId="425" xr:uid="{00000000-0005-0000-0000-00009F010000}"/>
    <cellStyle name="20% - Accent5 5 12" xfId="426" xr:uid="{00000000-0005-0000-0000-0000A0010000}"/>
    <cellStyle name="20% - Accent5 5 2" xfId="427" xr:uid="{00000000-0005-0000-0000-0000A1010000}"/>
    <cellStyle name="20% - Accent5 5 3" xfId="428" xr:uid="{00000000-0005-0000-0000-0000A2010000}"/>
    <cellStyle name="20% - Accent5 5 4" xfId="429" xr:uid="{00000000-0005-0000-0000-0000A3010000}"/>
    <cellStyle name="20% - Accent5 5 5" xfId="430" xr:uid="{00000000-0005-0000-0000-0000A4010000}"/>
    <cellStyle name="20% - Accent5 5 6" xfId="431" xr:uid="{00000000-0005-0000-0000-0000A5010000}"/>
    <cellStyle name="20% - Accent5 5 7" xfId="432" xr:uid="{00000000-0005-0000-0000-0000A6010000}"/>
    <cellStyle name="20% - Accent5 5 8" xfId="433" xr:uid="{00000000-0005-0000-0000-0000A7010000}"/>
    <cellStyle name="20% - Accent5 5 9" xfId="434" xr:uid="{00000000-0005-0000-0000-0000A8010000}"/>
    <cellStyle name="20% - Accent5 5_ContasExternas" xfId="435" xr:uid="{00000000-0005-0000-0000-0000A9010000}"/>
    <cellStyle name="20% - Accent5 6" xfId="436" xr:uid="{00000000-0005-0000-0000-0000AA010000}"/>
    <cellStyle name="20% - Accent5 6 2" xfId="437" xr:uid="{00000000-0005-0000-0000-0000AB010000}"/>
    <cellStyle name="20% - Accent5 6 3" xfId="438" xr:uid="{00000000-0005-0000-0000-0000AC010000}"/>
    <cellStyle name="20% - Accent5 6 4" xfId="439" xr:uid="{00000000-0005-0000-0000-0000AD010000}"/>
    <cellStyle name="20% - Accent5 6_ContasExternas" xfId="440" xr:uid="{00000000-0005-0000-0000-0000AE010000}"/>
    <cellStyle name="20% - Accent5 7" xfId="441" xr:uid="{00000000-0005-0000-0000-0000AF010000}"/>
    <cellStyle name="20% - Accent5 8" xfId="442" xr:uid="{00000000-0005-0000-0000-0000B0010000}"/>
    <cellStyle name="20% - Accent5 9" xfId="443" xr:uid="{00000000-0005-0000-0000-0000B1010000}"/>
    <cellStyle name="20% - Accent6 10" xfId="444" xr:uid="{00000000-0005-0000-0000-0000B2010000}"/>
    <cellStyle name="20% - Accent6 2" xfId="445" xr:uid="{00000000-0005-0000-0000-0000B3010000}"/>
    <cellStyle name="20% - Accent6 2 10" xfId="446" xr:uid="{00000000-0005-0000-0000-0000B4010000}"/>
    <cellStyle name="20% - Accent6 2 11" xfId="447" xr:uid="{00000000-0005-0000-0000-0000B5010000}"/>
    <cellStyle name="20% - Accent6 2 12" xfId="448" xr:uid="{00000000-0005-0000-0000-0000B6010000}"/>
    <cellStyle name="20% - Accent6 2 2" xfId="449" xr:uid="{00000000-0005-0000-0000-0000B7010000}"/>
    <cellStyle name="20% - Accent6 2 3" xfId="450" xr:uid="{00000000-0005-0000-0000-0000B8010000}"/>
    <cellStyle name="20% - Accent6 2 4" xfId="451" xr:uid="{00000000-0005-0000-0000-0000B9010000}"/>
    <cellStyle name="20% - Accent6 2 5" xfId="452" xr:uid="{00000000-0005-0000-0000-0000BA010000}"/>
    <cellStyle name="20% - Accent6 2 6" xfId="453" xr:uid="{00000000-0005-0000-0000-0000BB010000}"/>
    <cellStyle name="20% - Accent6 2 7" xfId="454" xr:uid="{00000000-0005-0000-0000-0000BC010000}"/>
    <cellStyle name="20% - Accent6 2 8" xfId="455" xr:uid="{00000000-0005-0000-0000-0000BD010000}"/>
    <cellStyle name="20% - Accent6 2 9" xfId="456" xr:uid="{00000000-0005-0000-0000-0000BE010000}"/>
    <cellStyle name="20% - Accent6 2_ContasExternas" xfId="457" xr:uid="{00000000-0005-0000-0000-0000BF010000}"/>
    <cellStyle name="20% - Accent6 3" xfId="458" xr:uid="{00000000-0005-0000-0000-0000C0010000}"/>
    <cellStyle name="20% - Accent6 3 10" xfId="459" xr:uid="{00000000-0005-0000-0000-0000C1010000}"/>
    <cellStyle name="20% - Accent6 3 11" xfId="460" xr:uid="{00000000-0005-0000-0000-0000C2010000}"/>
    <cellStyle name="20% - Accent6 3 12" xfId="461" xr:uid="{00000000-0005-0000-0000-0000C3010000}"/>
    <cellStyle name="20% - Accent6 3 2" xfId="462" xr:uid="{00000000-0005-0000-0000-0000C4010000}"/>
    <cellStyle name="20% - Accent6 3 3" xfId="463" xr:uid="{00000000-0005-0000-0000-0000C5010000}"/>
    <cellStyle name="20% - Accent6 3 4" xfId="464" xr:uid="{00000000-0005-0000-0000-0000C6010000}"/>
    <cellStyle name="20% - Accent6 3 5" xfId="465" xr:uid="{00000000-0005-0000-0000-0000C7010000}"/>
    <cellStyle name="20% - Accent6 3 6" xfId="466" xr:uid="{00000000-0005-0000-0000-0000C8010000}"/>
    <cellStyle name="20% - Accent6 3 7" xfId="467" xr:uid="{00000000-0005-0000-0000-0000C9010000}"/>
    <cellStyle name="20% - Accent6 3 8" xfId="468" xr:uid="{00000000-0005-0000-0000-0000CA010000}"/>
    <cellStyle name="20% - Accent6 3 9" xfId="469" xr:uid="{00000000-0005-0000-0000-0000CB010000}"/>
    <cellStyle name="20% - Accent6 3_ContasExternas" xfId="470" xr:uid="{00000000-0005-0000-0000-0000CC010000}"/>
    <cellStyle name="20% - Accent6 4" xfId="471" xr:uid="{00000000-0005-0000-0000-0000CD010000}"/>
    <cellStyle name="20% - Accent6 4 10" xfId="472" xr:uid="{00000000-0005-0000-0000-0000CE010000}"/>
    <cellStyle name="20% - Accent6 4 11" xfId="473" xr:uid="{00000000-0005-0000-0000-0000CF010000}"/>
    <cellStyle name="20% - Accent6 4 12" xfId="474" xr:uid="{00000000-0005-0000-0000-0000D0010000}"/>
    <cellStyle name="20% - Accent6 4 2" xfId="475" xr:uid="{00000000-0005-0000-0000-0000D1010000}"/>
    <cellStyle name="20% - Accent6 4 3" xfId="476" xr:uid="{00000000-0005-0000-0000-0000D2010000}"/>
    <cellStyle name="20% - Accent6 4 4" xfId="477" xr:uid="{00000000-0005-0000-0000-0000D3010000}"/>
    <cellStyle name="20% - Accent6 4 5" xfId="478" xr:uid="{00000000-0005-0000-0000-0000D4010000}"/>
    <cellStyle name="20% - Accent6 4 6" xfId="479" xr:uid="{00000000-0005-0000-0000-0000D5010000}"/>
    <cellStyle name="20% - Accent6 4 7" xfId="480" xr:uid="{00000000-0005-0000-0000-0000D6010000}"/>
    <cellStyle name="20% - Accent6 4 8" xfId="481" xr:uid="{00000000-0005-0000-0000-0000D7010000}"/>
    <cellStyle name="20% - Accent6 4 9" xfId="482" xr:uid="{00000000-0005-0000-0000-0000D8010000}"/>
    <cellStyle name="20% - Accent6 4_ContasExternas" xfId="483" xr:uid="{00000000-0005-0000-0000-0000D9010000}"/>
    <cellStyle name="20% - Accent6 5" xfId="484" xr:uid="{00000000-0005-0000-0000-0000DA010000}"/>
    <cellStyle name="20% - Accent6 5 10" xfId="485" xr:uid="{00000000-0005-0000-0000-0000DB010000}"/>
    <cellStyle name="20% - Accent6 5 11" xfId="486" xr:uid="{00000000-0005-0000-0000-0000DC010000}"/>
    <cellStyle name="20% - Accent6 5 12" xfId="487" xr:uid="{00000000-0005-0000-0000-0000DD010000}"/>
    <cellStyle name="20% - Accent6 5 2" xfId="488" xr:uid="{00000000-0005-0000-0000-0000DE010000}"/>
    <cellStyle name="20% - Accent6 5 3" xfId="489" xr:uid="{00000000-0005-0000-0000-0000DF010000}"/>
    <cellStyle name="20% - Accent6 5 4" xfId="490" xr:uid="{00000000-0005-0000-0000-0000E0010000}"/>
    <cellStyle name="20% - Accent6 5 5" xfId="491" xr:uid="{00000000-0005-0000-0000-0000E1010000}"/>
    <cellStyle name="20% - Accent6 5 6" xfId="492" xr:uid="{00000000-0005-0000-0000-0000E2010000}"/>
    <cellStyle name="20% - Accent6 5 7" xfId="493" xr:uid="{00000000-0005-0000-0000-0000E3010000}"/>
    <cellStyle name="20% - Accent6 5 8" xfId="494" xr:uid="{00000000-0005-0000-0000-0000E4010000}"/>
    <cellStyle name="20% - Accent6 5 9" xfId="495" xr:uid="{00000000-0005-0000-0000-0000E5010000}"/>
    <cellStyle name="20% - Accent6 5_ContasExternas" xfId="496" xr:uid="{00000000-0005-0000-0000-0000E6010000}"/>
    <cellStyle name="20% - Accent6 6" xfId="497" xr:uid="{00000000-0005-0000-0000-0000E7010000}"/>
    <cellStyle name="20% - Accent6 6 10" xfId="498" xr:uid="{00000000-0005-0000-0000-0000E8010000}"/>
    <cellStyle name="20% - Accent6 6 11" xfId="499" xr:uid="{00000000-0005-0000-0000-0000E9010000}"/>
    <cellStyle name="20% - Accent6 6 12" xfId="500" xr:uid="{00000000-0005-0000-0000-0000EA010000}"/>
    <cellStyle name="20% - Accent6 6 2" xfId="501" xr:uid="{00000000-0005-0000-0000-0000EB010000}"/>
    <cellStyle name="20% - Accent6 6 3" xfId="502" xr:uid="{00000000-0005-0000-0000-0000EC010000}"/>
    <cellStyle name="20% - Accent6 6 4" xfId="503" xr:uid="{00000000-0005-0000-0000-0000ED010000}"/>
    <cellStyle name="20% - Accent6 6 5" xfId="504" xr:uid="{00000000-0005-0000-0000-0000EE010000}"/>
    <cellStyle name="20% - Accent6 6 6" xfId="505" xr:uid="{00000000-0005-0000-0000-0000EF010000}"/>
    <cellStyle name="20% - Accent6 6 7" xfId="506" xr:uid="{00000000-0005-0000-0000-0000F0010000}"/>
    <cellStyle name="20% - Accent6 6 8" xfId="507" xr:uid="{00000000-0005-0000-0000-0000F1010000}"/>
    <cellStyle name="20% - Accent6 6 9" xfId="508" xr:uid="{00000000-0005-0000-0000-0000F2010000}"/>
    <cellStyle name="20% - Accent6 6_ContasExternas" xfId="509" xr:uid="{00000000-0005-0000-0000-0000F3010000}"/>
    <cellStyle name="20% - Accent6 7" xfId="510" xr:uid="{00000000-0005-0000-0000-0000F4010000}"/>
    <cellStyle name="20% - Accent6 7 10" xfId="511" xr:uid="{00000000-0005-0000-0000-0000F5010000}"/>
    <cellStyle name="20% - Accent6 7 11" xfId="512" xr:uid="{00000000-0005-0000-0000-0000F6010000}"/>
    <cellStyle name="20% - Accent6 7 12" xfId="513" xr:uid="{00000000-0005-0000-0000-0000F7010000}"/>
    <cellStyle name="20% - Accent6 7 2" xfId="514" xr:uid="{00000000-0005-0000-0000-0000F8010000}"/>
    <cellStyle name="20% - Accent6 7 3" xfId="515" xr:uid="{00000000-0005-0000-0000-0000F9010000}"/>
    <cellStyle name="20% - Accent6 7 4" xfId="516" xr:uid="{00000000-0005-0000-0000-0000FA010000}"/>
    <cellStyle name="20% - Accent6 7 5" xfId="517" xr:uid="{00000000-0005-0000-0000-0000FB010000}"/>
    <cellStyle name="20% - Accent6 7 6" xfId="518" xr:uid="{00000000-0005-0000-0000-0000FC010000}"/>
    <cellStyle name="20% - Accent6 7 7" xfId="519" xr:uid="{00000000-0005-0000-0000-0000FD010000}"/>
    <cellStyle name="20% - Accent6 7 8" xfId="520" xr:uid="{00000000-0005-0000-0000-0000FE010000}"/>
    <cellStyle name="20% - Accent6 7 9" xfId="521" xr:uid="{00000000-0005-0000-0000-0000FF010000}"/>
    <cellStyle name="20% - Accent6 7_ContasExternas" xfId="522" xr:uid="{00000000-0005-0000-0000-000000020000}"/>
    <cellStyle name="20% - Accent6 8" xfId="523" xr:uid="{00000000-0005-0000-0000-000001020000}"/>
    <cellStyle name="20% - Accent6 8 10" xfId="524" xr:uid="{00000000-0005-0000-0000-000002020000}"/>
    <cellStyle name="20% - Accent6 8 11" xfId="525" xr:uid="{00000000-0005-0000-0000-000003020000}"/>
    <cellStyle name="20% - Accent6 8 12" xfId="526" xr:uid="{00000000-0005-0000-0000-000004020000}"/>
    <cellStyle name="20% - Accent6 8 2" xfId="527" xr:uid="{00000000-0005-0000-0000-000005020000}"/>
    <cellStyle name="20% - Accent6 8 3" xfId="528" xr:uid="{00000000-0005-0000-0000-000006020000}"/>
    <cellStyle name="20% - Accent6 8 4" xfId="529" xr:uid="{00000000-0005-0000-0000-000007020000}"/>
    <cellStyle name="20% - Accent6 8 5" xfId="530" xr:uid="{00000000-0005-0000-0000-000008020000}"/>
    <cellStyle name="20% - Accent6 8 6" xfId="531" xr:uid="{00000000-0005-0000-0000-000009020000}"/>
    <cellStyle name="20% - Accent6 8 7" xfId="532" xr:uid="{00000000-0005-0000-0000-00000A020000}"/>
    <cellStyle name="20% - Accent6 8 8" xfId="533" xr:uid="{00000000-0005-0000-0000-00000B020000}"/>
    <cellStyle name="20% - Accent6 8 9" xfId="534" xr:uid="{00000000-0005-0000-0000-00000C020000}"/>
    <cellStyle name="20% - Accent6 8_ContasExternas" xfId="535" xr:uid="{00000000-0005-0000-0000-00000D020000}"/>
    <cellStyle name="20% - Accent6 9" xfId="536" xr:uid="{00000000-0005-0000-0000-00000E020000}"/>
    <cellStyle name="20% - Ênfase1 10" xfId="537" xr:uid="{00000000-0005-0000-0000-00000F020000}"/>
    <cellStyle name="20% - Ênfase1 11" xfId="538" xr:uid="{00000000-0005-0000-0000-000010020000}"/>
    <cellStyle name="20% - Ênfase1 12" xfId="539" xr:uid="{00000000-0005-0000-0000-000011020000}"/>
    <cellStyle name="20% - Ênfase1 13" xfId="540" xr:uid="{00000000-0005-0000-0000-000012020000}"/>
    <cellStyle name="20% - Ênfase1 14" xfId="541" xr:uid="{00000000-0005-0000-0000-000013020000}"/>
    <cellStyle name="20% - Ênfase1 15" xfId="542" xr:uid="{00000000-0005-0000-0000-000014020000}"/>
    <cellStyle name="20% - Ênfase1 16" xfId="543" xr:uid="{00000000-0005-0000-0000-000015020000}"/>
    <cellStyle name="20% - Ênfase1 2" xfId="544" xr:uid="{00000000-0005-0000-0000-000016020000}"/>
    <cellStyle name="20% - Ênfase1 2 2" xfId="545" xr:uid="{00000000-0005-0000-0000-000017020000}"/>
    <cellStyle name="20% - Ênfase1 3" xfId="546" xr:uid="{00000000-0005-0000-0000-000018020000}"/>
    <cellStyle name="20% - Ênfase1 4" xfId="547" xr:uid="{00000000-0005-0000-0000-000019020000}"/>
    <cellStyle name="20% - Ênfase1 5" xfId="548" xr:uid="{00000000-0005-0000-0000-00001A020000}"/>
    <cellStyle name="20% - Ênfase1 6" xfId="549" xr:uid="{00000000-0005-0000-0000-00001B020000}"/>
    <cellStyle name="20% - Ênfase1 7" xfId="550" xr:uid="{00000000-0005-0000-0000-00001C020000}"/>
    <cellStyle name="20% - Ênfase1 8" xfId="551" xr:uid="{00000000-0005-0000-0000-00001D020000}"/>
    <cellStyle name="20% - Ênfase1 9" xfId="552" xr:uid="{00000000-0005-0000-0000-00001E020000}"/>
    <cellStyle name="20% - Ênfase2 10" xfId="553" xr:uid="{00000000-0005-0000-0000-00001F020000}"/>
    <cellStyle name="20% - Ênfase2 11" xfId="554" xr:uid="{00000000-0005-0000-0000-000020020000}"/>
    <cellStyle name="20% - Ênfase2 12" xfId="555" xr:uid="{00000000-0005-0000-0000-000021020000}"/>
    <cellStyle name="20% - Ênfase2 13" xfId="556" xr:uid="{00000000-0005-0000-0000-000022020000}"/>
    <cellStyle name="20% - Ênfase2 14" xfId="557" xr:uid="{00000000-0005-0000-0000-000023020000}"/>
    <cellStyle name="20% - Ênfase2 15" xfId="558" xr:uid="{00000000-0005-0000-0000-000024020000}"/>
    <cellStyle name="20% - Ênfase2 16" xfId="559" xr:uid="{00000000-0005-0000-0000-000025020000}"/>
    <cellStyle name="20% - Ênfase2 2" xfId="560" xr:uid="{00000000-0005-0000-0000-000026020000}"/>
    <cellStyle name="20% - Ênfase2 2 2" xfId="561" xr:uid="{00000000-0005-0000-0000-000027020000}"/>
    <cellStyle name="20% - Ênfase2 3" xfId="562" xr:uid="{00000000-0005-0000-0000-000028020000}"/>
    <cellStyle name="20% - Ênfase2 4" xfId="563" xr:uid="{00000000-0005-0000-0000-000029020000}"/>
    <cellStyle name="20% - Ênfase2 5" xfId="564" xr:uid="{00000000-0005-0000-0000-00002A020000}"/>
    <cellStyle name="20% - Ênfase2 6" xfId="565" xr:uid="{00000000-0005-0000-0000-00002B020000}"/>
    <cellStyle name="20% - Ênfase2 7" xfId="566" xr:uid="{00000000-0005-0000-0000-00002C020000}"/>
    <cellStyle name="20% - Ênfase2 8" xfId="567" xr:uid="{00000000-0005-0000-0000-00002D020000}"/>
    <cellStyle name="20% - Ênfase2 9" xfId="568" xr:uid="{00000000-0005-0000-0000-00002E020000}"/>
    <cellStyle name="20% - Ênfase3 10" xfId="569" xr:uid="{00000000-0005-0000-0000-00002F020000}"/>
    <cellStyle name="20% - Ênfase3 11" xfId="570" xr:uid="{00000000-0005-0000-0000-000030020000}"/>
    <cellStyle name="20% - Ênfase3 12" xfId="571" xr:uid="{00000000-0005-0000-0000-000031020000}"/>
    <cellStyle name="20% - Ênfase3 13" xfId="572" xr:uid="{00000000-0005-0000-0000-000032020000}"/>
    <cellStyle name="20% - Ênfase3 14" xfId="573" xr:uid="{00000000-0005-0000-0000-000033020000}"/>
    <cellStyle name="20% - Ênfase3 15" xfId="574" xr:uid="{00000000-0005-0000-0000-000034020000}"/>
    <cellStyle name="20% - Ênfase3 16" xfId="575" xr:uid="{00000000-0005-0000-0000-000035020000}"/>
    <cellStyle name="20% - Ênfase3 2" xfId="576" xr:uid="{00000000-0005-0000-0000-000036020000}"/>
    <cellStyle name="20% - Ênfase3 2 2" xfId="577" xr:uid="{00000000-0005-0000-0000-000037020000}"/>
    <cellStyle name="20% - Ênfase3 3" xfId="578" xr:uid="{00000000-0005-0000-0000-000038020000}"/>
    <cellStyle name="20% - Ênfase3 4" xfId="579" xr:uid="{00000000-0005-0000-0000-000039020000}"/>
    <cellStyle name="20% - Ênfase3 5" xfId="580" xr:uid="{00000000-0005-0000-0000-00003A020000}"/>
    <cellStyle name="20% - Ênfase3 6" xfId="581" xr:uid="{00000000-0005-0000-0000-00003B020000}"/>
    <cellStyle name="20% - Ênfase3 7" xfId="582" xr:uid="{00000000-0005-0000-0000-00003C020000}"/>
    <cellStyle name="20% - Ênfase3 8" xfId="583" xr:uid="{00000000-0005-0000-0000-00003D020000}"/>
    <cellStyle name="20% - Ênfase3 9" xfId="584" xr:uid="{00000000-0005-0000-0000-00003E020000}"/>
    <cellStyle name="20% - Ênfase4 10" xfId="585" xr:uid="{00000000-0005-0000-0000-00003F020000}"/>
    <cellStyle name="20% - Ênfase4 11" xfId="586" xr:uid="{00000000-0005-0000-0000-000040020000}"/>
    <cellStyle name="20% - Ênfase4 12" xfId="587" xr:uid="{00000000-0005-0000-0000-000041020000}"/>
    <cellStyle name="20% - Ênfase4 13" xfId="588" xr:uid="{00000000-0005-0000-0000-000042020000}"/>
    <cellStyle name="20% - Ênfase4 14" xfId="589" xr:uid="{00000000-0005-0000-0000-000043020000}"/>
    <cellStyle name="20% - Ênfase4 15" xfId="590" xr:uid="{00000000-0005-0000-0000-000044020000}"/>
    <cellStyle name="20% - Ênfase4 16" xfId="591" xr:uid="{00000000-0005-0000-0000-000045020000}"/>
    <cellStyle name="20% - Ênfase4 2" xfId="592" xr:uid="{00000000-0005-0000-0000-000046020000}"/>
    <cellStyle name="20% - Ênfase4 2 2" xfId="593" xr:uid="{00000000-0005-0000-0000-000047020000}"/>
    <cellStyle name="20% - Ênfase4 3" xfId="594" xr:uid="{00000000-0005-0000-0000-000048020000}"/>
    <cellStyle name="20% - Ênfase4 4" xfId="595" xr:uid="{00000000-0005-0000-0000-000049020000}"/>
    <cellStyle name="20% - Ênfase4 5" xfId="596" xr:uid="{00000000-0005-0000-0000-00004A020000}"/>
    <cellStyle name="20% - Ênfase4 6" xfId="597" xr:uid="{00000000-0005-0000-0000-00004B020000}"/>
    <cellStyle name="20% - Ênfase4 7" xfId="598" xr:uid="{00000000-0005-0000-0000-00004C020000}"/>
    <cellStyle name="20% - Ênfase4 8" xfId="599" xr:uid="{00000000-0005-0000-0000-00004D020000}"/>
    <cellStyle name="20% - Ênfase4 9" xfId="600" xr:uid="{00000000-0005-0000-0000-00004E020000}"/>
    <cellStyle name="20% - Ênfase5 10" xfId="601" xr:uid="{00000000-0005-0000-0000-00004F020000}"/>
    <cellStyle name="20% - Ênfase5 11" xfId="602" xr:uid="{00000000-0005-0000-0000-000050020000}"/>
    <cellStyle name="20% - Ênfase5 12" xfId="603" xr:uid="{00000000-0005-0000-0000-000051020000}"/>
    <cellStyle name="20% - Ênfase5 13" xfId="604" xr:uid="{00000000-0005-0000-0000-000052020000}"/>
    <cellStyle name="20% - Ênfase5 14" xfId="605" xr:uid="{00000000-0005-0000-0000-000053020000}"/>
    <cellStyle name="20% - Ênfase5 15" xfId="606" xr:uid="{00000000-0005-0000-0000-000054020000}"/>
    <cellStyle name="20% - Ênfase5 16" xfId="607" xr:uid="{00000000-0005-0000-0000-000055020000}"/>
    <cellStyle name="20% - Ênfase5 2" xfId="608" xr:uid="{00000000-0005-0000-0000-000056020000}"/>
    <cellStyle name="20% - Ênfase5 2 2" xfId="609" xr:uid="{00000000-0005-0000-0000-000057020000}"/>
    <cellStyle name="20% - Ênfase5 3" xfId="610" xr:uid="{00000000-0005-0000-0000-000058020000}"/>
    <cellStyle name="20% - Ênfase5 4" xfId="611" xr:uid="{00000000-0005-0000-0000-000059020000}"/>
    <cellStyle name="20% - Ênfase5 5" xfId="612" xr:uid="{00000000-0005-0000-0000-00005A020000}"/>
    <cellStyle name="20% - Ênfase5 6" xfId="613" xr:uid="{00000000-0005-0000-0000-00005B020000}"/>
    <cellStyle name="20% - Ênfase5 7" xfId="614" xr:uid="{00000000-0005-0000-0000-00005C020000}"/>
    <cellStyle name="20% - Ênfase5 8" xfId="615" xr:uid="{00000000-0005-0000-0000-00005D020000}"/>
    <cellStyle name="20% - Ênfase5 9" xfId="616" xr:uid="{00000000-0005-0000-0000-00005E020000}"/>
    <cellStyle name="20% - Ênfase6 10" xfId="617" xr:uid="{00000000-0005-0000-0000-00005F020000}"/>
    <cellStyle name="20% - Ênfase6 11" xfId="618" xr:uid="{00000000-0005-0000-0000-000060020000}"/>
    <cellStyle name="20% - Ênfase6 12" xfId="619" xr:uid="{00000000-0005-0000-0000-000061020000}"/>
    <cellStyle name="20% - Ênfase6 13" xfId="620" xr:uid="{00000000-0005-0000-0000-000062020000}"/>
    <cellStyle name="20% - Ênfase6 14" xfId="621" xr:uid="{00000000-0005-0000-0000-000063020000}"/>
    <cellStyle name="20% - Ênfase6 15" xfId="622" xr:uid="{00000000-0005-0000-0000-000064020000}"/>
    <cellStyle name="20% - Ênfase6 16" xfId="623" xr:uid="{00000000-0005-0000-0000-000065020000}"/>
    <cellStyle name="20% - Ênfase6 2" xfId="624" xr:uid="{00000000-0005-0000-0000-000066020000}"/>
    <cellStyle name="20% - Ênfase6 2 2" xfId="625" xr:uid="{00000000-0005-0000-0000-000067020000}"/>
    <cellStyle name="20% - Ênfase6 3" xfId="626" xr:uid="{00000000-0005-0000-0000-000068020000}"/>
    <cellStyle name="20% - Ênfase6 4" xfId="627" xr:uid="{00000000-0005-0000-0000-000069020000}"/>
    <cellStyle name="20% - Ênfase6 5" xfId="628" xr:uid="{00000000-0005-0000-0000-00006A020000}"/>
    <cellStyle name="20% - Ênfase6 6" xfId="629" xr:uid="{00000000-0005-0000-0000-00006B020000}"/>
    <cellStyle name="20% - Ênfase6 7" xfId="630" xr:uid="{00000000-0005-0000-0000-00006C020000}"/>
    <cellStyle name="20% - Ênfase6 8" xfId="631" xr:uid="{00000000-0005-0000-0000-00006D020000}"/>
    <cellStyle name="20% - Ênfase6 9" xfId="632" xr:uid="{00000000-0005-0000-0000-00006E020000}"/>
    <cellStyle name="40% - Accent1 10" xfId="633" xr:uid="{00000000-0005-0000-0000-00006F020000}"/>
    <cellStyle name="40% - Accent1 2" xfId="634" xr:uid="{00000000-0005-0000-0000-000070020000}"/>
    <cellStyle name="40% - Accent1 2 10" xfId="635" xr:uid="{00000000-0005-0000-0000-000071020000}"/>
    <cellStyle name="40% - Accent1 2 11" xfId="636" xr:uid="{00000000-0005-0000-0000-000072020000}"/>
    <cellStyle name="40% - Accent1 2 12" xfId="637" xr:uid="{00000000-0005-0000-0000-000073020000}"/>
    <cellStyle name="40% - Accent1 2 2" xfId="638" xr:uid="{00000000-0005-0000-0000-000074020000}"/>
    <cellStyle name="40% - Accent1 2 3" xfId="639" xr:uid="{00000000-0005-0000-0000-000075020000}"/>
    <cellStyle name="40% - Accent1 2 4" xfId="640" xr:uid="{00000000-0005-0000-0000-000076020000}"/>
    <cellStyle name="40% - Accent1 2 5" xfId="641" xr:uid="{00000000-0005-0000-0000-000077020000}"/>
    <cellStyle name="40% - Accent1 2 6" xfId="642" xr:uid="{00000000-0005-0000-0000-000078020000}"/>
    <cellStyle name="40% - Accent1 2 7" xfId="643" xr:uid="{00000000-0005-0000-0000-000079020000}"/>
    <cellStyle name="40% - Accent1 2 8" xfId="644" xr:uid="{00000000-0005-0000-0000-00007A020000}"/>
    <cellStyle name="40% - Accent1 2 9" xfId="645" xr:uid="{00000000-0005-0000-0000-00007B020000}"/>
    <cellStyle name="40% - Accent1 2_ContasExternas" xfId="646" xr:uid="{00000000-0005-0000-0000-00007C020000}"/>
    <cellStyle name="40% - Accent1 3" xfId="647" xr:uid="{00000000-0005-0000-0000-00007D020000}"/>
    <cellStyle name="40% - Accent1 3 10" xfId="648" xr:uid="{00000000-0005-0000-0000-00007E020000}"/>
    <cellStyle name="40% - Accent1 3 11" xfId="649" xr:uid="{00000000-0005-0000-0000-00007F020000}"/>
    <cellStyle name="40% - Accent1 3 12" xfId="650" xr:uid="{00000000-0005-0000-0000-000080020000}"/>
    <cellStyle name="40% - Accent1 3 2" xfId="651" xr:uid="{00000000-0005-0000-0000-000081020000}"/>
    <cellStyle name="40% - Accent1 3 3" xfId="652" xr:uid="{00000000-0005-0000-0000-000082020000}"/>
    <cellStyle name="40% - Accent1 3 4" xfId="653" xr:uid="{00000000-0005-0000-0000-000083020000}"/>
    <cellStyle name="40% - Accent1 3 5" xfId="654" xr:uid="{00000000-0005-0000-0000-000084020000}"/>
    <cellStyle name="40% - Accent1 3 6" xfId="655" xr:uid="{00000000-0005-0000-0000-000085020000}"/>
    <cellStyle name="40% - Accent1 3 7" xfId="656" xr:uid="{00000000-0005-0000-0000-000086020000}"/>
    <cellStyle name="40% - Accent1 3 8" xfId="657" xr:uid="{00000000-0005-0000-0000-000087020000}"/>
    <cellStyle name="40% - Accent1 3 9" xfId="658" xr:uid="{00000000-0005-0000-0000-000088020000}"/>
    <cellStyle name="40% - Accent1 3_ContasExternas" xfId="659" xr:uid="{00000000-0005-0000-0000-000089020000}"/>
    <cellStyle name="40% - Accent1 4" xfId="660" xr:uid="{00000000-0005-0000-0000-00008A020000}"/>
    <cellStyle name="40% - Accent1 4 10" xfId="661" xr:uid="{00000000-0005-0000-0000-00008B020000}"/>
    <cellStyle name="40% - Accent1 4 11" xfId="662" xr:uid="{00000000-0005-0000-0000-00008C020000}"/>
    <cellStyle name="40% - Accent1 4 12" xfId="663" xr:uid="{00000000-0005-0000-0000-00008D020000}"/>
    <cellStyle name="40% - Accent1 4 2" xfId="664" xr:uid="{00000000-0005-0000-0000-00008E020000}"/>
    <cellStyle name="40% - Accent1 4 3" xfId="665" xr:uid="{00000000-0005-0000-0000-00008F020000}"/>
    <cellStyle name="40% - Accent1 4 4" xfId="666" xr:uid="{00000000-0005-0000-0000-000090020000}"/>
    <cellStyle name="40% - Accent1 4 5" xfId="667" xr:uid="{00000000-0005-0000-0000-000091020000}"/>
    <cellStyle name="40% - Accent1 4 6" xfId="668" xr:uid="{00000000-0005-0000-0000-000092020000}"/>
    <cellStyle name="40% - Accent1 4 7" xfId="669" xr:uid="{00000000-0005-0000-0000-000093020000}"/>
    <cellStyle name="40% - Accent1 4 8" xfId="670" xr:uid="{00000000-0005-0000-0000-000094020000}"/>
    <cellStyle name="40% - Accent1 4 9" xfId="671" xr:uid="{00000000-0005-0000-0000-000095020000}"/>
    <cellStyle name="40% - Accent1 4_ContasExternas" xfId="672" xr:uid="{00000000-0005-0000-0000-000096020000}"/>
    <cellStyle name="40% - Accent1 5" xfId="673" xr:uid="{00000000-0005-0000-0000-000097020000}"/>
    <cellStyle name="40% - Accent1 5 10" xfId="674" xr:uid="{00000000-0005-0000-0000-000098020000}"/>
    <cellStyle name="40% - Accent1 5 11" xfId="675" xr:uid="{00000000-0005-0000-0000-000099020000}"/>
    <cellStyle name="40% - Accent1 5 12" xfId="676" xr:uid="{00000000-0005-0000-0000-00009A020000}"/>
    <cellStyle name="40% - Accent1 5 2" xfId="677" xr:uid="{00000000-0005-0000-0000-00009B020000}"/>
    <cellStyle name="40% - Accent1 5 3" xfId="678" xr:uid="{00000000-0005-0000-0000-00009C020000}"/>
    <cellStyle name="40% - Accent1 5 4" xfId="679" xr:uid="{00000000-0005-0000-0000-00009D020000}"/>
    <cellStyle name="40% - Accent1 5 5" xfId="680" xr:uid="{00000000-0005-0000-0000-00009E020000}"/>
    <cellStyle name="40% - Accent1 5 6" xfId="681" xr:uid="{00000000-0005-0000-0000-00009F020000}"/>
    <cellStyle name="40% - Accent1 5 7" xfId="682" xr:uid="{00000000-0005-0000-0000-0000A0020000}"/>
    <cellStyle name="40% - Accent1 5 8" xfId="683" xr:uid="{00000000-0005-0000-0000-0000A1020000}"/>
    <cellStyle name="40% - Accent1 5 9" xfId="684" xr:uid="{00000000-0005-0000-0000-0000A2020000}"/>
    <cellStyle name="40% - Accent1 5_ContasExternas" xfId="685" xr:uid="{00000000-0005-0000-0000-0000A3020000}"/>
    <cellStyle name="40% - Accent1 6" xfId="686" xr:uid="{00000000-0005-0000-0000-0000A4020000}"/>
    <cellStyle name="40% - Accent1 6 10" xfId="687" xr:uid="{00000000-0005-0000-0000-0000A5020000}"/>
    <cellStyle name="40% - Accent1 6 11" xfId="688" xr:uid="{00000000-0005-0000-0000-0000A6020000}"/>
    <cellStyle name="40% - Accent1 6 12" xfId="689" xr:uid="{00000000-0005-0000-0000-0000A7020000}"/>
    <cellStyle name="40% - Accent1 6 2" xfId="690" xr:uid="{00000000-0005-0000-0000-0000A8020000}"/>
    <cellStyle name="40% - Accent1 6 3" xfId="691" xr:uid="{00000000-0005-0000-0000-0000A9020000}"/>
    <cellStyle name="40% - Accent1 6 4" xfId="692" xr:uid="{00000000-0005-0000-0000-0000AA020000}"/>
    <cellStyle name="40% - Accent1 6 5" xfId="693" xr:uid="{00000000-0005-0000-0000-0000AB020000}"/>
    <cellStyle name="40% - Accent1 6 6" xfId="694" xr:uid="{00000000-0005-0000-0000-0000AC020000}"/>
    <cellStyle name="40% - Accent1 6 7" xfId="695" xr:uid="{00000000-0005-0000-0000-0000AD020000}"/>
    <cellStyle name="40% - Accent1 6 8" xfId="696" xr:uid="{00000000-0005-0000-0000-0000AE020000}"/>
    <cellStyle name="40% - Accent1 6 9" xfId="697" xr:uid="{00000000-0005-0000-0000-0000AF020000}"/>
    <cellStyle name="40% - Accent1 6_ContasExternas" xfId="698" xr:uid="{00000000-0005-0000-0000-0000B0020000}"/>
    <cellStyle name="40% - Accent1 7" xfId="699" xr:uid="{00000000-0005-0000-0000-0000B1020000}"/>
    <cellStyle name="40% - Accent1 7 10" xfId="700" xr:uid="{00000000-0005-0000-0000-0000B2020000}"/>
    <cellStyle name="40% - Accent1 7 11" xfId="701" xr:uid="{00000000-0005-0000-0000-0000B3020000}"/>
    <cellStyle name="40% - Accent1 7 12" xfId="702" xr:uid="{00000000-0005-0000-0000-0000B4020000}"/>
    <cellStyle name="40% - Accent1 7 2" xfId="703" xr:uid="{00000000-0005-0000-0000-0000B5020000}"/>
    <cellStyle name="40% - Accent1 7 3" xfId="704" xr:uid="{00000000-0005-0000-0000-0000B6020000}"/>
    <cellStyle name="40% - Accent1 7 4" xfId="705" xr:uid="{00000000-0005-0000-0000-0000B7020000}"/>
    <cellStyle name="40% - Accent1 7 5" xfId="706" xr:uid="{00000000-0005-0000-0000-0000B8020000}"/>
    <cellStyle name="40% - Accent1 7 6" xfId="707" xr:uid="{00000000-0005-0000-0000-0000B9020000}"/>
    <cellStyle name="40% - Accent1 7 7" xfId="708" xr:uid="{00000000-0005-0000-0000-0000BA020000}"/>
    <cellStyle name="40% - Accent1 7 8" xfId="709" xr:uid="{00000000-0005-0000-0000-0000BB020000}"/>
    <cellStyle name="40% - Accent1 7 9" xfId="710" xr:uid="{00000000-0005-0000-0000-0000BC020000}"/>
    <cellStyle name="40% - Accent1 7_ContasExternas" xfId="711" xr:uid="{00000000-0005-0000-0000-0000BD020000}"/>
    <cellStyle name="40% - Accent1 8" xfId="712" xr:uid="{00000000-0005-0000-0000-0000BE020000}"/>
    <cellStyle name="40% - Accent1 8 10" xfId="713" xr:uid="{00000000-0005-0000-0000-0000BF020000}"/>
    <cellStyle name="40% - Accent1 8 11" xfId="714" xr:uid="{00000000-0005-0000-0000-0000C0020000}"/>
    <cellStyle name="40% - Accent1 8 12" xfId="715" xr:uid="{00000000-0005-0000-0000-0000C1020000}"/>
    <cellStyle name="40% - Accent1 8 2" xfId="716" xr:uid="{00000000-0005-0000-0000-0000C2020000}"/>
    <cellStyle name="40% - Accent1 8 3" xfId="717" xr:uid="{00000000-0005-0000-0000-0000C3020000}"/>
    <cellStyle name="40% - Accent1 8 4" xfId="718" xr:uid="{00000000-0005-0000-0000-0000C4020000}"/>
    <cellStyle name="40% - Accent1 8 5" xfId="719" xr:uid="{00000000-0005-0000-0000-0000C5020000}"/>
    <cellStyle name="40% - Accent1 8 6" xfId="720" xr:uid="{00000000-0005-0000-0000-0000C6020000}"/>
    <cellStyle name="40% - Accent1 8 7" xfId="721" xr:uid="{00000000-0005-0000-0000-0000C7020000}"/>
    <cellStyle name="40% - Accent1 8 8" xfId="722" xr:uid="{00000000-0005-0000-0000-0000C8020000}"/>
    <cellStyle name="40% - Accent1 8 9" xfId="723" xr:uid="{00000000-0005-0000-0000-0000C9020000}"/>
    <cellStyle name="40% - Accent1 8_ContasExternas" xfId="724" xr:uid="{00000000-0005-0000-0000-0000CA020000}"/>
    <cellStyle name="40% - Accent1 9" xfId="725" xr:uid="{00000000-0005-0000-0000-0000CB020000}"/>
    <cellStyle name="40% - Accent2 10" xfId="726" xr:uid="{00000000-0005-0000-0000-0000CC020000}"/>
    <cellStyle name="40% - Accent2 11" xfId="727" xr:uid="{00000000-0005-0000-0000-0000CD020000}"/>
    <cellStyle name="40% - Accent2 2" xfId="728" xr:uid="{00000000-0005-0000-0000-0000CE020000}"/>
    <cellStyle name="40% - Accent2 2 10" xfId="729" xr:uid="{00000000-0005-0000-0000-0000CF020000}"/>
    <cellStyle name="40% - Accent2 2 11" xfId="730" xr:uid="{00000000-0005-0000-0000-0000D0020000}"/>
    <cellStyle name="40% - Accent2 2 12" xfId="731" xr:uid="{00000000-0005-0000-0000-0000D1020000}"/>
    <cellStyle name="40% - Accent2 2 2" xfId="732" xr:uid="{00000000-0005-0000-0000-0000D2020000}"/>
    <cellStyle name="40% - Accent2 2 3" xfId="733" xr:uid="{00000000-0005-0000-0000-0000D3020000}"/>
    <cellStyle name="40% - Accent2 2 4" xfId="734" xr:uid="{00000000-0005-0000-0000-0000D4020000}"/>
    <cellStyle name="40% - Accent2 2 5" xfId="735" xr:uid="{00000000-0005-0000-0000-0000D5020000}"/>
    <cellStyle name="40% - Accent2 2 6" xfId="736" xr:uid="{00000000-0005-0000-0000-0000D6020000}"/>
    <cellStyle name="40% - Accent2 2 7" xfId="737" xr:uid="{00000000-0005-0000-0000-0000D7020000}"/>
    <cellStyle name="40% - Accent2 2 8" xfId="738" xr:uid="{00000000-0005-0000-0000-0000D8020000}"/>
    <cellStyle name="40% - Accent2 2 9" xfId="739" xr:uid="{00000000-0005-0000-0000-0000D9020000}"/>
    <cellStyle name="40% - Accent2 2_ContasExternas" xfId="740" xr:uid="{00000000-0005-0000-0000-0000DA020000}"/>
    <cellStyle name="40% - Accent2 3" xfId="741" xr:uid="{00000000-0005-0000-0000-0000DB020000}"/>
    <cellStyle name="40% - Accent2 3 10" xfId="742" xr:uid="{00000000-0005-0000-0000-0000DC020000}"/>
    <cellStyle name="40% - Accent2 3 11" xfId="743" xr:uid="{00000000-0005-0000-0000-0000DD020000}"/>
    <cellStyle name="40% - Accent2 3 12" xfId="744" xr:uid="{00000000-0005-0000-0000-0000DE020000}"/>
    <cellStyle name="40% - Accent2 3 2" xfId="745" xr:uid="{00000000-0005-0000-0000-0000DF020000}"/>
    <cellStyle name="40% - Accent2 3 3" xfId="746" xr:uid="{00000000-0005-0000-0000-0000E0020000}"/>
    <cellStyle name="40% - Accent2 3 4" xfId="747" xr:uid="{00000000-0005-0000-0000-0000E1020000}"/>
    <cellStyle name="40% - Accent2 3 5" xfId="748" xr:uid="{00000000-0005-0000-0000-0000E2020000}"/>
    <cellStyle name="40% - Accent2 3 6" xfId="749" xr:uid="{00000000-0005-0000-0000-0000E3020000}"/>
    <cellStyle name="40% - Accent2 3 7" xfId="750" xr:uid="{00000000-0005-0000-0000-0000E4020000}"/>
    <cellStyle name="40% - Accent2 3 8" xfId="751" xr:uid="{00000000-0005-0000-0000-0000E5020000}"/>
    <cellStyle name="40% - Accent2 3 9" xfId="752" xr:uid="{00000000-0005-0000-0000-0000E6020000}"/>
    <cellStyle name="40% - Accent2 3_ContasExternas" xfId="753" xr:uid="{00000000-0005-0000-0000-0000E7020000}"/>
    <cellStyle name="40% - Accent2 4" xfId="754" xr:uid="{00000000-0005-0000-0000-0000E8020000}"/>
    <cellStyle name="40% - Accent2 4 10" xfId="755" xr:uid="{00000000-0005-0000-0000-0000E9020000}"/>
    <cellStyle name="40% - Accent2 4 11" xfId="756" xr:uid="{00000000-0005-0000-0000-0000EA020000}"/>
    <cellStyle name="40% - Accent2 4 12" xfId="757" xr:uid="{00000000-0005-0000-0000-0000EB020000}"/>
    <cellStyle name="40% - Accent2 4 2" xfId="758" xr:uid="{00000000-0005-0000-0000-0000EC020000}"/>
    <cellStyle name="40% - Accent2 4 3" xfId="759" xr:uid="{00000000-0005-0000-0000-0000ED020000}"/>
    <cellStyle name="40% - Accent2 4 4" xfId="760" xr:uid="{00000000-0005-0000-0000-0000EE020000}"/>
    <cellStyle name="40% - Accent2 4 5" xfId="761" xr:uid="{00000000-0005-0000-0000-0000EF020000}"/>
    <cellStyle name="40% - Accent2 4 6" xfId="762" xr:uid="{00000000-0005-0000-0000-0000F0020000}"/>
    <cellStyle name="40% - Accent2 4 7" xfId="763" xr:uid="{00000000-0005-0000-0000-0000F1020000}"/>
    <cellStyle name="40% - Accent2 4 8" xfId="764" xr:uid="{00000000-0005-0000-0000-0000F2020000}"/>
    <cellStyle name="40% - Accent2 4 9" xfId="765" xr:uid="{00000000-0005-0000-0000-0000F3020000}"/>
    <cellStyle name="40% - Accent2 4_ContasExternas" xfId="766" xr:uid="{00000000-0005-0000-0000-0000F4020000}"/>
    <cellStyle name="40% - Accent2 5" xfId="767" xr:uid="{00000000-0005-0000-0000-0000F5020000}"/>
    <cellStyle name="40% - Accent2 5 10" xfId="768" xr:uid="{00000000-0005-0000-0000-0000F6020000}"/>
    <cellStyle name="40% - Accent2 5 11" xfId="769" xr:uid="{00000000-0005-0000-0000-0000F7020000}"/>
    <cellStyle name="40% - Accent2 5 12" xfId="770" xr:uid="{00000000-0005-0000-0000-0000F8020000}"/>
    <cellStyle name="40% - Accent2 5 2" xfId="771" xr:uid="{00000000-0005-0000-0000-0000F9020000}"/>
    <cellStyle name="40% - Accent2 5 3" xfId="772" xr:uid="{00000000-0005-0000-0000-0000FA020000}"/>
    <cellStyle name="40% - Accent2 5 4" xfId="773" xr:uid="{00000000-0005-0000-0000-0000FB020000}"/>
    <cellStyle name="40% - Accent2 5 5" xfId="774" xr:uid="{00000000-0005-0000-0000-0000FC020000}"/>
    <cellStyle name="40% - Accent2 5 6" xfId="775" xr:uid="{00000000-0005-0000-0000-0000FD020000}"/>
    <cellStyle name="40% - Accent2 5 7" xfId="776" xr:uid="{00000000-0005-0000-0000-0000FE020000}"/>
    <cellStyle name="40% - Accent2 5 8" xfId="777" xr:uid="{00000000-0005-0000-0000-0000FF020000}"/>
    <cellStyle name="40% - Accent2 5 9" xfId="778" xr:uid="{00000000-0005-0000-0000-000000030000}"/>
    <cellStyle name="40% - Accent2 5_ContasExternas" xfId="779" xr:uid="{00000000-0005-0000-0000-000001030000}"/>
    <cellStyle name="40% - Accent2 6" xfId="780" xr:uid="{00000000-0005-0000-0000-000002030000}"/>
    <cellStyle name="40% - Accent2 6 2" xfId="781" xr:uid="{00000000-0005-0000-0000-000003030000}"/>
    <cellStyle name="40% - Accent2 6 3" xfId="782" xr:uid="{00000000-0005-0000-0000-000004030000}"/>
    <cellStyle name="40% - Accent2 6 4" xfId="783" xr:uid="{00000000-0005-0000-0000-000005030000}"/>
    <cellStyle name="40% - Accent2 6_ContasExternas" xfId="784" xr:uid="{00000000-0005-0000-0000-000006030000}"/>
    <cellStyle name="40% - Accent2 7" xfId="785" xr:uid="{00000000-0005-0000-0000-000007030000}"/>
    <cellStyle name="40% - Accent2 8" xfId="786" xr:uid="{00000000-0005-0000-0000-000008030000}"/>
    <cellStyle name="40% - Accent2 9" xfId="787" xr:uid="{00000000-0005-0000-0000-000009030000}"/>
    <cellStyle name="40% - Accent3 10" xfId="788" xr:uid="{00000000-0005-0000-0000-00000A030000}"/>
    <cellStyle name="40% - Accent3 2" xfId="789" xr:uid="{00000000-0005-0000-0000-00000B030000}"/>
    <cellStyle name="40% - Accent3 2 10" xfId="790" xr:uid="{00000000-0005-0000-0000-00000C030000}"/>
    <cellStyle name="40% - Accent3 2 11" xfId="791" xr:uid="{00000000-0005-0000-0000-00000D030000}"/>
    <cellStyle name="40% - Accent3 2 12" xfId="792" xr:uid="{00000000-0005-0000-0000-00000E030000}"/>
    <cellStyle name="40% - Accent3 2 2" xfId="793" xr:uid="{00000000-0005-0000-0000-00000F030000}"/>
    <cellStyle name="40% - Accent3 2 3" xfId="794" xr:uid="{00000000-0005-0000-0000-000010030000}"/>
    <cellStyle name="40% - Accent3 2 4" xfId="795" xr:uid="{00000000-0005-0000-0000-000011030000}"/>
    <cellStyle name="40% - Accent3 2 5" xfId="796" xr:uid="{00000000-0005-0000-0000-000012030000}"/>
    <cellStyle name="40% - Accent3 2 6" xfId="797" xr:uid="{00000000-0005-0000-0000-000013030000}"/>
    <cellStyle name="40% - Accent3 2 7" xfId="798" xr:uid="{00000000-0005-0000-0000-000014030000}"/>
    <cellStyle name="40% - Accent3 2 8" xfId="799" xr:uid="{00000000-0005-0000-0000-000015030000}"/>
    <cellStyle name="40% - Accent3 2 9" xfId="800" xr:uid="{00000000-0005-0000-0000-000016030000}"/>
    <cellStyle name="40% - Accent3 2_ContasExternas" xfId="801" xr:uid="{00000000-0005-0000-0000-000017030000}"/>
    <cellStyle name="40% - Accent3 3" xfId="802" xr:uid="{00000000-0005-0000-0000-000018030000}"/>
    <cellStyle name="40% - Accent3 3 10" xfId="803" xr:uid="{00000000-0005-0000-0000-000019030000}"/>
    <cellStyle name="40% - Accent3 3 11" xfId="804" xr:uid="{00000000-0005-0000-0000-00001A030000}"/>
    <cellStyle name="40% - Accent3 3 12" xfId="805" xr:uid="{00000000-0005-0000-0000-00001B030000}"/>
    <cellStyle name="40% - Accent3 3 2" xfId="806" xr:uid="{00000000-0005-0000-0000-00001C030000}"/>
    <cellStyle name="40% - Accent3 3 3" xfId="807" xr:uid="{00000000-0005-0000-0000-00001D030000}"/>
    <cellStyle name="40% - Accent3 3 4" xfId="808" xr:uid="{00000000-0005-0000-0000-00001E030000}"/>
    <cellStyle name="40% - Accent3 3 5" xfId="809" xr:uid="{00000000-0005-0000-0000-00001F030000}"/>
    <cellStyle name="40% - Accent3 3 6" xfId="810" xr:uid="{00000000-0005-0000-0000-000020030000}"/>
    <cellStyle name="40% - Accent3 3 7" xfId="811" xr:uid="{00000000-0005-0000-0000-000021030000}"/>
    <cellStyle name="40% - Accent3 3 8" xfId="812" xr:uid="{00000000-0005-0000-0000-000022030000}"/>
    <cellStyle name="40% - Accent3 3 9" xfId="813" xr:uid="{00000000-0005-0000-0000-000023030000}"/>
    <cellStyle name="40% - Accent3 3_ContasExternas" xfId="814" xr:uid="{00000000-0005-0000-0000-000024030000}"/>
    <cellStyle name="40% - Accent3 4" xfId="815" xr:uid="{00000000-0005-0000-0000-000025030000}"/>
    <cellStyle name="40% - Accent3 4 10" xfId="816" xr:uid="{00000000-0005-0000-0000-000026030000}"/>
    <cellStyle name="40% - Accent3 4 11" xfId="817" xr:uid="{00000000-0005-0000-0000-000027030000}"/>
    <cellStyle name="40% - Accent3 4 12" xfId="818" xr:uid="{00000000-0005-0000-0000-000028030000}"/>
    <cellStyle name="40% - Accent3 4 2" xfId="819" xr:uid="{00000000-0005-0000-0000-000029030000}"/>
    <cellStyle name="40% - Accent3 4 3" xfId="820" xr:uid="{00000000-0005-0000-0000-00002A030000}"/>
    <cellStyle name="40% - Accent3 4 4" xfId="821" xr:uid="{00000000-0005-0000-0000-00002B030000}"/>
    <cellStyle name="40% - Accent3 4 5" xfId="822" xr:uid="{00000000-0005-0000-0000-00002C030000}"/>
    <cellStyle name="40% - Accent3 4 6" xfId="823" xr:uid="{00000000-0005-0000-0000-00002D030000}"/>
    <cellStyle name="40% - Accent3 4 7" xfId="824" xr:uid="{00000000-0005-0000-0000-00002E030000}"/>
    <cellStyle name="40% - Accent3 4 8" xfId="825" xr:uid="{00000000-0005-0000-0000-00002F030000}"/>
    <cellStyle name="40% - Accent3 4 9" xfId="826" xr:uid="{00000000-0005-0000-0000-000030030000}"/>
    <cellStyle name="40% - Accent3 4_ContasExternas" xfId="827" xr:uid="{00000000-0005-0000-0000-000031030000}"/>
    <cellStyle name="40% - Accent3 5" xfId="828" xr:uid="{00000000-0005-0000-0000-000032030000}"/>
    <cellStyle name="40% - Accent3 5 10" xfId="829" xr:uid="{00000000-0005-0000-0000-000033030000}"/>
    <cellStyle name="40% - Accent3 5 11" xfId="830" xr:uid="{00000000-0005-0000-0000-000034030000}"/>
    <cellStyle name="40% - Accent3 5 12" xfId="831" xr:uid="{00000000-0005-0000-0000-000035030000}"/>
    <cellStyle name="40% - Accent3 5 2" xfId="832" xr:uid="{00000000-0005-0000-0000-000036030000}"/>
    <cellStyle name="40% - Accent3 5 3" xfId="833" xr:uid="{00000000-0005-0000-0000-000037030000}"/>
    <cellStyle name="40% - Accent3 5 4" xfId="834" xr:uid="{00000000-0005-0000-0000-000038030000}"/>
    <cellStyle name="40% - Accent3 5 5" xfId="835" xr:uid="{00000000-0005-0000-0000-000039030000}"/>
    <cellStyle name="40% - Accent3 5 6" xfId="836" xr:uid="{00000000-0005-0000-0000-00003A030000}"/>
    <cellStyle name="40% - Accent3 5 7" xfId="837" xr:uid="{00000000-0005-0000-0000-00003B030000}"/>
    <cellStyle name="40% - Accent3 5 8" xfId="838" xr:uid="{00000000-0005-0000-0000-00003C030000}"/>
    <cellStyle name="40% - Accent3 5 9" xfId="839" xr:uid="{00000000-0005-0000-0000-00003D030000}"/>
    <cellStyle name="40% - Accent3 5_ContasExternas" xfId="840" xr:uid="{00000000-0005-0000-0000-00003E030000}"/>
    <cellStyle name="40% - Accent3 6" xfId="841" xr:uid="{00000000-0005-0000-0000-00003F030000}"/>
    <cellStyle name="40% - Accent3 6 10" xfId="842" xr:uid="{00000000-0005-0000-0000-000040030000}"/>
    <cellStyle name="40% - Accent3 6 11" xfId="843" xr:uid="{00000000-0005-0000-0000-000041030000}"/>
    <cellStyle name="40% - Accent3 6 12" xfId="844" xr:uid="{00000000-0005-0000-0000-000042030000}"/>
    <cellStyle name="40% - Accent3 6 2" xfId="845" xr:uid="{00000000-0005-0000-0000-000043030000}"/>
    <cellStyle name="40% - Accent3 6 3" xfId="846" xr:uid="{00000000-0005-0000-0000-000044030000}"/>
    <cellStyle name="40% - Accent3 6 4" xfId="847" xr:uid="{00000000-0005-0000-0000-000045030000}"/>
    <cellStyle name="40% - Accent3 6 5" xfId="848" xr:uid="{00000000-0005-0000-0000-000046030000}"/>
    <cellStyle name="40% - Accent3 6 6" xfId="849" xr:uid="{00000000-0005-0000-0000-000047030000}"/>
    <cellStyle name="40% - Accent3 6 7" xfId="850" xr:uid="{00000000-0005-0000-0000-000048030000}"/>
    <cellStyle name="40% - Accent3 6 8" xfId="851" xr:uid="{00000000-0005-0000-0000-000049030000}"/>
    <cellStyle name="40% - Accent3 6 9" xfId="852" xr:uid="{00000000-0005-0000-0000-00004A030000}"/>
    <cellStyle name="40% - Accent3 6_ContasExternas" xfId="853" xr:uid="{00000000-0005-0000-0000-00004B030000}"/>
    <cellStyle name="40% - Accent3 7" xfId="854" xr:uid="{00000000-0005-0000-0000-00004C030000}"/>
    <cellStyle name="40% - Accent3 7 10" xfId="855" xr:uid="{00000000-0005-0000-0000-00004D030000}"/>
    <cellStyle name="40% - Accent3 7 11" xfId="856" xr:uid="{00000000-0005-0000-0000-00004E030000}"/>
    <cellStyle name="40% - Accent3 7 12" xfId="857" xr:uid="{00000000-0005-0000-0000-00004F030000}"/>
    <cellStyle name="40% - Accent3 7 2" xfId="858" xr:uid="{00000000-0005-0000-0000-000050030000}"/>
    <cellStyle name="40% - Accent3 7 3" xfId="859" xr:uid="{00000000-0005-0000-0000-000051030000}"/>
    <cellStyle name="40% - Accent3 7 4" xfId="860" xr:uid="{00000000-0005-0000-0000-000052030000}"/>
    <cellStyle name="40% - Accent3 7 5" xfId="861" xr:uid="{00000000-0005-0000-0000-000053030000}"/>
    <cellStyle name="40% - Accent3 7 6" xfId="862" xr:uid="{00000000-0005-0000-0000-000054030000}"/>
    <cellStyle name="40% - Accent3 7 7" xfId="863" xr:uid="{00000000-0005-0000-0000-000055030000}"/>
    <cellStyle name="40% - Accent3 7 8" xfId="864" xr:uid="{00000000-0005-0000-0000-000056030000}"/>
    <cellStyle name="40% - Accent3 7 9" xfId="865" xr:uid="{00000000-0005-0000-0000-000057030000}"/>
    <cellStyle name="40% - Accent3 7_ContasExternas" xfId="866" xr:uid="{00000000-0005-0000-0000-000058030000}"/>
    <cellStyle name="40% - Accent3 8" xfId="867" xr:uid="{00000000-0005-0000-0000-000059030000}"/>
    <cellStyle name="40% - Accent3 8 10" xfId="868" xr:uid="{00000000-0005-0000-0000-00005A030000}"/>
    <cellStyle name="40% - Accent3 8 11" xfId="869" xr:uid="{00000000-0005-0000-0000-00005B030000}"/>
    <cellStyle name="40% - Accent3 8 12" xfId="870" xr:uid="{00000000-0005-0000-0000-00005C030000}"/>
    <cellStyle name="40% - Accent3 8 2" xfId="871" xr:uid="{00000000-0005-0000-0000-00005D030000}"/>
    <cellStyle name="40% - Accent3 8 3" xfId="872" xr:uid="{00000000-0005-0000-0000-00005E030000}"/>
    <cellStyle name="40% - Accent3 8 4" xfId="873" xr:uid="{00000000-0005-0000-0000-00005F030000}"/>
    <cellStyle name="40% - Accent3 8 5" xfId="874" xr:uid="{00000000-0005-0000-0000-000060030000}"/>
    <cellStyle name="40% - Accent3 8 6" xfId="875" xr:uid="{00000000-0005-0000-0000-000061030000}"/>
    <cellStyle name="40% - Accent3 8 7" xfId="876" xr:uid="{00000000-0005-0000-0000-000062030000}"/>
    <cellStyle name="40% - Accent3 8 8" xfId="877" xr:uid="{00000000-0005-0000-0000-000063030000}"/>
    <cellStyle name="40% - Accent3 8 9" xfId="878" xr:uid="{00000000-0005-0000-0000-000064030000}"/>
    <cellStyle name="40% - Accent3 8_ContasExternas" xfId="879" xr:uid="{00000000-0005-0000-0000-000065030000}"/>
    <cellStyle name="40% - Accent3 9" xfId="880" xr:uid="{00000000-0005-0000-0000-000066030000}"/>
    <cellStyle name="40% - Accent4 10" xfId="881" xr:uid="{00000000-0005-0000-0000-000067030000}"/>
    <cellStyle name="40% - Accent4 2" xfId="882" xr:uid="{00000000-0005-0000-0000-000068030000}"/>
    <cellStyle name="40% - Accent4 2 10" xfId="883" xr:uid="{00000000-0005-0000-0000-000069030000}"/>
    <cellStyle name="40% - Accent4 2 11" xfId="884" xr:uid="{00000000-0005-0000-0000-00006A030000}"/>
    <cellStyle name="40% - Accent4 2 12" xfId="885" xr:uid="{00000000-0005-0000-0000-00006B030000}"/>
    <cellStyle name="40% - Accent4 2 2" xfId="886" xr:uid="{00000000-0005-0000-0000-00006C030000}"/>
    <cellStyle name="40% - Accent4 2 3" xfId="887" xr:uid="{00000000-0005-0000-0000-00006D030000}"/>
    <cellStyle name="40% - Accent4 2 4" xfId="888" xr:uid="{00000000-0005-0000-0000-00006E030000}"/>
    <cellStyle name="40% - Accent4 2 5" xfId="889" xr:uid="{00000000-0005-0000-0000-00006F030000}"/>
    <cellStyle name="40% - Accent4 2 6" xfId="890" xr:uid="{00000000-0005-0000-0000-000070030000}"/>
    <cellStyle name="40% - Accent4 2 7" xfId="891" xr:uid="{00000000-0005-0000-0000-000071030000}"/>
    <cellStyle name="40% - Accent4 2 8" xfId="892" xr:uid="{00000000-0005-0000-0000-000072030000}"/>
    <cellStyle name="40% - Accent4 2 9" xfId="893" xr:uid="{00000000-0005-0000-0000-000073030000}"/>
    <cellStyle name="40% - Accent4 2_ContasExternas" xfId="894" xr:uid="{00000000-0005-0000-0000-000074030000}"/>
    <cellStyle name="40% - Accent4 3" xfId="895" xr:uid="{00000000-0005-0000-0000-000075030000}"/>
    <cellStyle name="40% - Accent4 3 10" xfId="896" xr:uid="{00000000-0005-0000-0000-000076030000}"/>
    <cellStyle name="40% - Accent4 3 11" xfId="897" xr:uid="{00000000-0005-0000-0000-000077030000}"/>
    <cellStyle name="40% - Accent4 3 12" xfId="898" xr:uid="{00000000-0005-0000-0000-000078030000}"/>
    <cellStyle name="40% - Accent4 3 2" xfId="899" xr:uid="{00000000-0005-0000-0000-000079030000}"/>
    <cellStyle name="40% - Accent4 3 3" xfId="900" xr:uid="{00000000-0005-0000-0000-00007A030000}"/>
    <cellStyle name="40% - Accent4 3 4" xfId="901" xr:uid="{00000000-0005-0000-0000-00007B030000}"/>
    <cellStyle name="40% - Accent4 3 5" xfId="902" xr:uid="{00000000-0005-0000-0000-00007C030000}"/>
    <cellStyle name="40% - Accent4 3 6" xfId="903" xr:uid="{00000000-0005-0000-0000-00007D030000}"/>
    <cellStyle name="40% - Accent4 3 7" xfId="904" xr:uid="{00000000-0005-0000-0000-00007E030000}"/>
    <cellStyle name="40% - Accent4 3 8" xfId="905" xr:uid="{00000000-0005-0000-0000-00007F030000}"/>
    <cellStyle name="40% - Accent4 3 9" xfId="906" xr:uid="{00000000-0005-0000-0000-000080030000}"/>
    <cellStyle name="40% - Accent4 3_ContasExternas" xfId="907" xr:uid="{00000000-0005-0000-0000-000081030000}"/>
    <cellStyle name="40% - Accent4 4" xfId="908" xr:uid="{00000000-0005-0000-0000-000082030000}"/>
    <cellStyle name="40% - Accent4 4 10" xfId="909" xr:uid="{00000000-0005-0000-0000-000083030000}"/>
    <cellStyle name="40% - Accent4 4 11" xfId="910" xr:uid="{00000000-0005-0000-0000-000084030000}"/>
    <cellStyle name="40% - Accent4 4 12" xfId="911" xr:uid="{00000000-0005-0000-0000-000085030000}"/>
    <cellStyle name="40% - Accent4 4 2" xfId="912" xr:uid="{00000000-0005-0000-0000-000086030000}"/>
    <cellStyle name="40% - Accent4 4 3" xfId="913" xr:uid="{00000000-0005-0000-0000-000087030000}"/>
    <cellStyle name="40% - Accent4 4 4" xfId="914" xr:uid="{00000000-0005-0000-0000-000088030000}"/>
    <cellStyle name="40% - Accent4 4 5" xfId="915" xr:uid="{00000000-0005-0000-0000-000089030000}"/>
    <cellStyle name="40% - Accent4 4 6" xfId="916" xr:uid="{00000000-0005-0000-0000-00008A030000}"/>
    <cellStyle name="40% - Accent4 4 7" xfId="917" xr:uid="{00000000-0005-0000-0000-00008B030000}"/>
    <cellStyle name="40% - Accent4 4 8" xfId="918" xr:uid="{00000000-0005-0000-0000-00008C030000}"/>
    <cellStyle name="40% - Accent4 4 9" xfId="919" xr:uid="{00000000-0005-0000-0000-00008D030000}"/>
    <cellStyle name="40% - Accent4 4_ContasExternas" xfId="920" xr:uid="{00000000-0005-0000-0000-00008E030000}"/>
    <cellStyle name="40% - Accent4 5" xfId="921" xr:uid="{00000000-0005-0000-0000-00008F030000}"/>
    <cellStyle name="40% - Accent4 5 10" xfId="922" xr:uid="{00000000-0005-0000-0000-000090030000}"/>
    <cellStyle name="40% - Accent4 5 11" xfId="923" xr:uid="{00000000-0005-0000-0000-000091030000}"/>
    <cellStyle name="40% - Accent4 5 12" xfId="924" xr:uid="{00000000-0005-0000-0000-000092030000}"/>
    <cellStyle name="40% - Accent4 5 2" xfId="925" xr:uid="{00000000-0005-0000-0000-000093030000}"/>
    <cellStyle name="40% - Accent4 5 3" xfId="926" xr:uid="{00000000-0005-0000-0000-000094030000}"/>
    <cellStyle name="40% - Accent4 5 4" xfId="927" xr:uid="{00000000-0005-0000-0000-000095030000}"/>
    <cellStyle name="40% - Accent4 5 5" xfId="928" xr:uid="{00000000-0005-0000-0000-000096030000}"/>
    <cellStyle name="40% - Accent4 5 6" xfId="929" xr:uid="{00000000-0005-0000-0000-000097030000}"/>
    <cellStyle name="40% - Accent4 5 7" xfId="930" xr:uid="{00000000-0005-0000-0000-000098030000}"/>
    <cellStyle name="40% - Accent4 5 8" xfId="931" xr:uid="{00000000-0005-0000-0000-000099030000}"/>
    <cellStyle name="40% - Accent4 5 9" xfId="932" xr:uid="{00000000-0005-0000-0000-00009A030000}"/>
    <cellStyle name="40% - Accent4 5_ContasExternas" xfId="933" xr:uid="{00000000-0005-0000-0000-00009B030000}"/>
    <cellStyle name="40% - Accent4 6" xfId="934" xr:uid="{00000000-0005-0000-0000-00009C030000}"/>
    <cellStyle name="40% - Accent4 6 10" xfId="935" xr:uid="{00000000-0005-0000-0000-00009D030000}"/>
    <cellStyle name="40% - Accent4 6 11" xfId="936" xr:uid="{00000000-0005-0000-0000-00009E030000}"/>
    <cellStyle name="40% - Accent4 6 12" xfId="937" xr:uid="{00000000-0005-0000-0000-00009F030000}"/>
    <cellStyle name="40% - Accent4 6 2" xfId="938" xr:uid="{00000000-0005-0000-0000-0000A0030000}"/>
    <cellStyle name="40% - Accent4 6 3" xfId="939" xr:uid="{00000000-0005-0000-0000-0000A1030000}"/>
    <cellStyle name="40% - Accent4 6 4" xfId="940" xr:uid="{00000000-0005-0000-0000-0000A2030000}"/>
    <cellStyle name="40% - Accent4 6 5" xfId="941" xr:uid="{00000000-0005-0000-0000-0000A3030000}"/>
    <cellStyle name="40% - Accent4 6 6" xfId="942" xr:uid="{00000000-0005-0000-0000-0000A4030000}"/>
    <cellStyle name="40% - Accent4 6 7" xfId="943" xr:uid="{00000000-0005-0000-0000-0000A5030000}"/>
    <cellStyle name="40% - Accent4 6 8" xfId="944" xr:uid="{00000000-0005-0000-0000-0000A6030000}"/>
    <cellStyle name="40% - Accent4 6 9" xfId="945" xr:uid="{00000000-0005-0000-0000-0000A7030000}"/>
    <cellStyle name="40% - Accent4 6_ContasExternas" xfId="946" xr:uid="{00000000-0005-0000-0000-0000A8030000}"/>
    <cellStyle name="40% - Accent4 7" xfId="947" xr:uid="{00000000-0005-0000-0000-0000A9030000}"/>
    <cellStyle name="40% - Accent4 7 10" xfId="948" xr:uid="{00000000-0005-0000-0000-0000AA030000}"/>
    <cellStyle name="40% - Accent4 7 11" xfId="949" xr:uid="{00000000-0005-0000-0000-0000AB030000}"/>
    <cellStyle name="40% - Accent4 7 12" xfId="950" xr:uid="{00000000-0005-0000-0000-0000AC030000}"/>
    <cellStyle name="40% - Accent4 7 2" xfId="951" xr:uid="{00000000-0005-0000-0000-0000AD030000}"/>
    <cellStyle name="40% - Accent4 7 3" xfId="952" xr:uid="{00000000-0005-0000-0000-0000AE030000}"/>
    <cellStyle name="40% - Accent4 7 4" xfId="953" xr:uid="{00000000-0005-0000-0000-0000AF030000}"/>
    <cellStyle name="40% - Accent4 7 5" xfId="954" xr:uid="{00000000-0005-0000-0000-0000B0030000}"/>
    <cellStyle name="40% - Accent4 7 6" xfId="955" xr:uid="{00000000-0005-0000-0000-0000B1030000}"/>
    <cellStyle name="40% - Accent4 7 7" xfId="956" xr:uid="{00000000-0005-0000-0000-0000B2030000}"/>
    <cellStyle name="40% - Accent4 7 8" xfId="957" xr:uid="{00000000-0005-0000-0000-0000B3030000}"/>
    <cellStyle name="40% - Accent4 7 9" xfId="958" xr:uid="{00000000-0005-0000-0000-0000B4030000}"/>
    <cellStyle name="40% - Accent4 7_ContasExternas" xfId="959" xr:uid="{00000000-0005-0000-0000-0000B5030000}"/>
    <cellStyle name="40% - Accent4 8" xfId="960" xr:uid="{00000000-0005-0000-0000-0000B6030000}"/>
    <cellStyle name="40% - Accent4 8 10" xfId="961" xr:uid="{00000000-0005-0000-0000-0000B7030000}"/>
    <cellStyle name="40% - Accent4 8 11" xfId="962" xr:uid="{00000000-0005-0000-0000-0000B8030000}"/>
    <cellStyle name="40% - Accent4 8 12" xfId="963" xr:uid="{00000000-0005-0000-0000-0000B9030000}"/>
    <cellStyle name="40% - Accent4 8 2" xfId="964" xr:uid="{00000000-0005-0000-0000-0000BA030000}"/>
    <cellStyle name="40% - Accent4 8 3" xfId="965" xr:uid="{00000000-0005-0000-0000-0000BB030000}"/>
    <cellStyle name="40% - Accent4 8 4" xfId="966" xr:uid="{00000000-0005-0000-0000-0000BC030000}"/>
    <cellStyle name="40% - Accent4 8 5" xfId="967" xr:uid="{00000000-0005-0000-0000-0000BD030000}"/>
    <cellStyle name="40% - Accent4 8 6" xfId="968" xr:uid="{00000000-0005-0000-0000-0000BE030000}"/>
    <cellStyle name="40% - Accent4 8 7" xfId="969" xr:uid="{00000000-0005-0000-0000-0000BF030000}"/>
    <cellStyle name="40% - Accent4 8 8" xfId="970" xr:uid="{00000000-0005-0000-0000-0000C0030000}"/>
    <cellStyle name="40% - Accent4 8 9" xfId="971" xr:uid="{00000000-0005-0000-0000-0000C1030000}"/>
    <cellStyle name="40% - Accent4 8_ContasExternas" xfId="972" xr:uid="{00000000-0005-0000-0000-0000C2030000}"/>
    <cellStyle name="40% - Accent4 9" xfId="973" xr:uid="{00000000-0005-0000-0000-0000C3030000}"/>
    <cellStyle name="40% - Accent5 10" xfId="974" xr:uid="{00000000-0005-0000-0000-0000C4030000}"/>
    <cellStyle name="40% - Accent5 2" xfId="975" xr:uid="{00000000-0005-0000-0000-0000C5030000}"/>
    <cellStyle name="40% - Accent5 2 10" xfId="976" xr:uid="{00000000-0005-0000-0000-0000C6030000}"/>
    <cellStyle name="40% - Accent5 2 11" xfId="977" xr:uid="{00000000-0005-0000-0000-0000C7030000}"/>
    <cellStyle name="40% - Accent5 2 12" xfId="978" xr:uid="{00000000-0005-0000-0000-0000C8030000}"/>
    <cellStyle name="40% - Accent5 2 2" xfId="979" xr:uid="{00000000-0005-0000-0000-0000C9030000}"/>
    <cellStyle name="40% - Accent5 2 3" xfId="980" xr:uid="{00000000-0005-0000-0000-0000CA030000}"/>
    <cellStyle name="40% - Accent5 2 4" xfId="981" xr:uid="{00000000-0005-0000-0000-0000CB030000}"/>
    <cellStyle name="40% - Accent5 2 5" xfId="982" xr:uid="{00000000-0005-0000-0000-0000CC030000}"/>
    <cellStyle name="40% - Accent5 2 6" xfId="983" xr:uid="{00000000-0005-0000-0000-0000CD030000}"/>
    <cellStyle name="40% - Accent5 2 7" xfId="984" xr:uid="{00000000-0005-0000-0000-0000CE030000}"/>
    <cellStyle name="40% - Accent5 2 8" xfId="985" xr:uid="{00000000-0005-0000-0000-0000CF030000}"/>
    <cellStyle name="40% - Accent5 2 9" xfId="986" xr:uid="{00000000-0005-0000-0000-0000D0030000}"/>
    <cellStyle name="40% - Accent5 2_ContasExternas" xfId="987" xr:uid="{00000000-0005-0000-0000-0000D1030000}"/>
    <cellStyle name="40% - Accent5 3" xfId="988" xr:uid="{00000000-0005-0000-0000-0000D2030000}"/>
    <cellStyle name="40% - Accent5 3 10" xfId="989" xr:uid="{00000000-0005-0000-0000-0000D3030000}"/>
    <cellStyle name="40% - Accent5 3 11" xfId="990" xr:uid="{00000000-0005-0000-0000-0000D4030000}"/>
    <cellStyle name="40% - Accent5 3 12" xfId="991" xr:uid="{00000000-0005-0000-0000-0000D5030000}"/>
    <cellStyle name="40% - Accent5 3 2" xfId="992" xr:uid="{00000000-0005-0000-0000-0000D6030000}"/>
    <cellStyle name="40% - Accent5 3 3" xfId="993" xr:uid="{00000000-0005-0000-0000-0000D7030000}"/>
    <cellStyle name="40% - Accent5 3 4" xfId="994" xr:uid="{00000000-0005-0000-0000-0000D8030000}"/>
    <cellStyle name="40% - Accent5 3 5" xfId="995" xr:uid="{00000000-0005-0000-0000-0000D9030000}"/>
    <cellStyle name="40% - Accent5 3 6" xfId="996" xr:uid="{00000000-0005-0000-0000-0000DA030000}"/>
    <cellStyle name="40% - Accent5 3 7" xfId="997" xr:uid="{00000000-0005-0000-0000-0000DB030000}"/>
    <cellStyle name="40% - Accent5 3 8" xfId="998" xr:uid="{00000000-0005-0000-0000-0000DC030000}"/>
    <cellStyle name="40% - Accent5 3 9" xfId="999" xr:uid="{00000000-0005-0000-0000-0000DD030000}"/>
    <cellStyle name="40% - Accent5 3_ContasExternas" xfId="1000" xr:uid="{00000000-0005-0000-0000-0000DE030000}"/>
    <cellStyle name="40% - Accent5 4" xfId="1001" xr:uid="{00000000-0005-0000-0000-0000DF030000}"/>
    <cellStyle name="40% - Accent5 4 10" xfId="1002" xr:uid="{00000000-0005-0000-0000-0000E0030000}"/>
    <cellStyle name="40% - Accent5 4 11" xfId="1003" xr:uid="{00000000-0005-0000-0000-0000E1030000}"/>
    <cellStyle name="40% - Accent5 4 12" xfId="1004" xr:uid="{00000000-0005-0000-0000-0000E2030000}"/>
    <cellStyle name="40% - Accent5 4 2" xfId="1005" xr:uid="{00000000-0005-0000-0000-0000E3030000}"/>
    <cellStyle name="40% - Accent5 4 3" xfId="1006" xr:uid="{00000000-0005-0000-0000-0000E4030000}"/>
    <cellStyle name="40% - Accent5 4 4" xfId="1007" xr:uid="{00000000-0005-0000-0000-0000E5030000}"/>
    <cellStyle name="40% - Accent5 4 5" xfId="1008" xr:uid="{00000000-0005-0000-0000-0000E6030000}"/>
    <cellStyle name="40% - Accent5 4 6" xfId="1009" xr:uid="{00000000-0005-0000-0000-0000E7030000}"/>
    <cellStyle name="40% - Accent5 4 7" xfId="1010" xr:uid="{00000000-0005-0000-0000-0000E8030000}"/>
    <cellStyle name="40% - Accent5 4 8" xfId="1011" xr:uid="{00000000-0005-0000-0000-0000E9030000}"/>
    <cellStyle name="40% - Accent5 4 9" xfId="1012" xr:uid="{00000000-0005-0000-0000-0000EA030000}"/>
    <cellStyle name="40% - Accent5 4_ContasExternas" xfId="1013" xr:uid="{00000000-0005-0000-0000-0000EB030000}"/>
    <cellStyle name="40% - Accent5 5" xfId="1014" xr:uid="{00000000-0005-0000-0000-0000EC030000}"/>
    <cellStyle name="40% - Accent5 5 10" xfId="1015" xr:uid="{00000000-0005-0000-0000-0000ED030000}"/>
    <cellStyle name="40% - Accent5 5 11" xfId="1016" xr:uid="{00000000-0005-0000-0000-0000EE030000}"/>
    <cellStyle name="40% - Accent5 5 12" xfId="1017" xr:uid="{00000000-0005-0000-0000-0000EF030000}"/>
    <cellStyle name="40% - Accent5 5 2" xfId="1018" xr:uid="{00000000-0005-0000-0000-0000F0030000}"/>
    <cellStyle name="40% - Accent5 5 3" xfId="1019" xr:uid="{00000000-0005-0000-0000-0000F1030000}"/>
    <cellStyle name="40% - Accent5 5 4" xfId="1020" xr:uid="{00000000-0005-0000-0000-0000F2030000}"/>
    <cellStyle name="40% - Accent5 5 5" xfId="1021" xr:uid="{00000000-0005-0000-0000-0000F3030000}"/>
    <cellStyle name="40% - Accent5 5 6" xfId="1022" xr:uid="{00000000-0005-0000-0000-0000F4030000}"/>
    <cellStyle name="40% - Accent5 5 7" xfId="1023" xr:uid="{00000000-0005-0000-0000-0000F5030000}"/>
    <cellStyle name="40% - Accent5 5 8" xfId="1024" xr:uid="{00000000-0005-0000-0000-0000F6030000}"/>
    <cellStyle name="40% - Accent5 5 9" xfId="1025" xr:uid="{00000000-0005-0000-0000-0000F7030000}"/>
    <cellStyle name="40% - Accent5 5_ContasExternas" xfId="1026" xr:uid="{00000000-0005-0000-0000-0000F8030000}"/>
    <cellStyle name="40% - Accent5 6" xfId="1027" xr:uid="{00000000-0005-0000-0000-0000F9030000}"/>
    <cellStyle name="40% - Accent5 6 10" xfId="1028" xr:uid="{00000000-0005-0000-0000-0000FA030000}"/>
    <cellStyle name="40% - Accent5 6 11" xfId="1029" xr:uid="{00000000-0005-0000-0000-0000FB030000}"/>
    <cellStyle name="40% - Accent5 6 12" xfId="1030" xr:uid="{00000000-0005-0000-0000-0000FC030000}"/>
    <cellStyle name="40% - Accent5 6 2" xfId="1031" xr:uid="{00000000-0005-0000-0000-0000FD030000}"/>
    <cellStyle name="40% - Accent5 6 3" xfId="1032" xr:uid="{00000000-0005-0000-0000-0000FE030000}"/>
    <cellStyle name="40% - Accent5 6 4" xfId="1033" xr:uid="{00000000-0005-0000-0000-0000FF030000}"/>
    <cellStyle name="40% - Accent5 6 5" xfId="1034" xr:uid="{00000000-0005-0000-0000-000000040000}"/>
    <cellStyle name="40% - Accent5 6 6" xfId="1035" xr:uid="{00000000-0005-0000-0000-000001040000}"/>
    <cellStyle name="40% - Accent5 6 7" xfId="1036" xr:uid="{00000000-0005-0000-0000-000002040000}"/>
    <cellStyle name="40% - Accent5 6 8" xfId="1037" xr:uid="{00000000-0005-0000-0000-000003040000}"/>
    <cellStyle name="40% - Accent5 6 9" xfId="1038" xr:uid="{00000000-0005-0000-0000-000004040000}"/>
    <cellStyle name="40% - Accent5 6_ContasExternas" xfId="1039" xr:uid="{00000000-0005-0000-0000-000005040000}"/>
    <cellStyle name="40% - Accent5 7" xfId="1040" xr:uid="{00000000-0005-0000-0000-000006040000}"/>
    <cellStyle name="40% - Accent5 7 10" xfId="1041" xr:uid="{00000000-0005-0000-0000-000007040000}"/>
    <cellStyle name="40% - Accent5 7 11" xfId="1042" xr:uid="{00000000-0005-0000-0000-000008040000}"/>
    <cellStyle name="40% - Accent5 7 12" xfId="1043" xr:uid="{00000000-0005-0000-0000-000009040000}"/>
    <cellStyle name="40% - Accent5 7 2" xfId="1044" xr:uid="{00000000-0005-0000-0000-00000A040000}"/>
    <cellStyle name="40% - Accent5 7 3" xfId="1045" xr:uid="{00000000-0005-0000-0000-00000B040000}"/>
    <cellStyle name="40% - Accent5 7 4" xfId="1046" xr:uid="{00000000-0005-0000-0000-00000C040000}"/>
    <cellStyle name="40% - Accent5 7 5" xfId="1047" xr:uid="{00000000-0005-0000-0000-00000D040000}"/>
    <cellStyle name="40% - Accent5 7 6" xfId="1048" xr:uid="{00000000-0005-0000-0000-00000E040000}"/>
    <cellStyle name="40% - Accent5 7 7" xfId="1049" xr:uid="{00000000-0005-0000-0000-00000F040000}"/>
    <cellStyle name="40% - Accent5 7 8" xfId="1050" xr:uid="{00000000-0005-0000-0000-000010040000}"/>
    <cellStyle name="40% - Accent5 7 9" xfId="1051" xr:uid="{00000000-0005-0000-0000-000011040000}"/>
    <cellStyle name="40% - Accent5 7_ContasExternas" xfId="1052" xr:uid="{00000000-0005-0000-0000-000012040000}"/>
    <cellStyle name="40% - Accent5 8" xfId="1053" xr:uid="{00000000-0005-0000-0000-000013040000}"/>
    <cellStyle name="40% - Accent5 8 10" xfId="1054" xr:uid="{00000000-0005-0000-0000-000014040000}"/>
    <cellStyle name="40% - Accent5 8 11" xfId="1055" xr:uid="{00000000-0005-0000-0000-000015040000}"/>
    <cellStyle name="40% - Accent5 8 12" xfId="1056" xr:uid="{00000000-0005-0000-0000-000016040000}"/>
    <cellStyle name="40% - Accent5 8 2" xfId="1057" xr:uid="{00000000-0005-0000-0000-000017040000}"/>
    <cellStyle name="40% - Accent5 8 3" xfId="1058" xr:uid="{00000000-0005-0000-0000-000018040000}"/>
    <cellStyle name="40% - Accent5 8 4" xfId="1059" xr:uid="{00000000-0005-0000-0000-000019040000}"/>
    <cellStyle name="40% - Accent5 8 5" xfId="1060" xr:uid="{00000000-0005-0000-0000-00001A040000}"/>
    <cellStyle name="40% - Accent5 8 6" xfId="1061" xr:uid="{00000000-0005-0000-0000-00001B040000}"/>
    <cellStyle name="40% - Accent5 8 7" xfId="1062" xr:uid="{00000000-0005-0000-0000-00001C040000}"/>
    <cellStyle name="40% - Accent5 8 8" xfId="1063" xr:uid="{00000000-0005-0000-0000-00001D040000}"/>
    <cellStyle name="40% - Accent5 8 9" xfId="1064" xr:uid="{00000000-0005-0000-0000-00001E040000}"/>
    <cellStyle name="40% - Accent5 8_ContasExternas" xfId="1065" xr:uid="{00000000-0005-0000-0000-00001F040000}"/>
    <cellStyle name="40% - Accent5 9" xfId="1066" xr:uid="{00000000-0005-0000-0000-000020040000}"/>
    <cellStyle name="40% - Accent6 10" xfId="1067" xr:uid="{00000000-0005-0000-0000-000021040000}"/>
    <cellStyle name="40% - Accent6 2" xfId="1068" xr:uid="{00000000-0005-0000-0000-000022040000}"/>
    <cellStyle name="40% - Accent6 2 10" xfId="1069" xr:uid="{00000000-0005-0000-0000-000023040000}"/>
    <cellStyle name="40% - Accent6 2 11" xfId="1070" xr:uid="{00000000-0005-0000-0000-000024040000}"/>
    <cellStyle name="40% - Accent6 2 12" xfId="1071" xr:uid="{00000000-0005-0000-0000-000025040000}"/>
    <cellStyle name="40% - Accent6 2 2" xfId="1072" xr:uid="{00000000-0005-0000-0000-000026040000}"/>
    <cellStyle name="40% - Accent6 2 3" xfId="1073" xr:uid="{00000000-0005-0000-0000-000027040000}"/>
    <cellStyle name="40% - Accent6 2 4" xfId="1074" xr:uid="{00000000-0005-0000-0000-000028040000}"/>
    <cellStyle name="40% - Accent6 2 5" xfId="1075" xr:uid="{00000000-0005-0000-0000-000029040000}"/>
    <cellStyle name="40% - Accent6 2 6" xfId="1076" xr:uid="{00000000-0005-0000-0000-00002A040000}"/>
    <cellStyle name="40% - Accent6 2 7" xfId="1077" xr:uid="{00000000-0005-0000-0000-00002B040000}"/>
    <cellStyle name="40% - Accent6 2 8" xfId="1078" xr:uid="{00000000-0005-0000-0000-00002C040000}"/>
    <cellStyle name="40% - Accent6 2 9" xfId="1079" xr:uid="{00000000-0005-0000-0000-00002D040000}"/>
    <cellStyle name="40% - Accent6 2_ContasExternas" xfId="1080" xr:uid="{00000000-0005-0000-0000-00002E040000}"/>
    <cellStyle name="40% - Accent6 3" xfId="1081" xr:uid="{00000000-0005-0000-0000-00002F040000}"/>
    <cellStyle name="40% - Accent6 3 10" xfId="1082" xr:uid="{00000000-0005-0000-0000-000030040000}"/>
    <cellStyle name="40% - Accent6 3 11" xfId="1083" xr:uid="{00000000-0005-0000-0000-000031040000}"/>
    <cellStyle name="40% - Accent6 3 12" xfId="1084" xr:uid="{00000000-0005-0000-0000-000032040000}"/>
    <cellStyle name="40% - Accent6 3 2" xfId="1085" xr:uid="{00000000-0005-0000-0000-000033040000}"/>
    <cellStyle name="40% - Accent6 3 3" xfId="1086" xr:uid="{00000000-0005-0000-0000-000034040000}"/>
    <cellStyle name="40% - Accent6 3 4" xfId="1087" xr:uid="{00000000-0005-0000-0000-000035040000}"/>
    <cellStyle name="40% - Accent6 3 5" xfId="1088" xr:uid="{00000000-0005-0000-0000-000036040000}"/>
    <cellStyle name="40% - Accent6 3 6" xfId="1089" xr:uid="{00000000-0005-0000-0000-000037040000}"/>
    <cellStyle name="40% - Accent6 3 7" xfId="1090" xr:uid="{00000000-0005-0000-0000-000038040000}"/>
    <cellStyle name="40% - Accent6 3 8" xfId="1091" xr:uid="{00000000-0005-0000-0000-000039040000}"/>
    <cellStyle name="40% - Accent6 3 9" xfId="1092" xr:uid="{00000000-0005-0000-0000-00003A040000}"/>
    <cellStyle name="40% - Accent6 3_ContasExternas" xfId="1093" xr:uid="{00000000-0005-0000-0000-00003B040000}"/>
    <cellStyle name="40% - Accent6 4" xfId="1094" xr:uid="{00000000-0005-0000-0000-00003C040000}"/>
    <cellStyle name="40% - Accent6 4 10" xfId="1095" xr:uid="{00000000-0005-0000-0000-00003D040000}"/>
    <cellStyle name="40% - Accent6 4 11" xfId="1096" xr:uid="{00000000-0005-0000-0000-00003E040000}"/>
    <cellStyle name="40% - Accent6 4 12" xfId="1097" xr:uid="{00000000-0005-0000-0000-00003F040000}"/>
    <cellStyle name="40% - Accent6 4 2" xfId="1098" xr:uid="{00000000-0005-0000-0000-000040040000}"/>
    <cellStyle name="40% - Accent6 4 3" xfId="1099" xr:uid="{00000000-0005-0000-0000-000041040000}"/>
    <cellStyle name="40% - Accent6 4 4" xfId="1100" xr:uid="{00000000-0005-0000-0000-000042040000}"/>
    <cellStyle name="40% - Accent6 4 5" xfId="1101" xr:uid="{00000000-0005-0000-0000-000043040000}"/>
    <cellStyle name="40% - Accent6 4 6" xfId="1102" xr:uid="{00000000-0005-0000-0000-000044040000}"/>
    <cellStyle name="40% - Accent6 4 7" xfId="1103" xr:uid="{00000000-0005-0000-0000-000045040000}"/>
    <cellStyle name="40% - Accent6 4 8" xfId="1104" xr:uid="{00000000-0005-0000-0000-000046040000}"/>
    <cellStyle name="40% - Accent6 4 9" xfId="1105" xr:uid="{00000000-0005-0000-0000-000047040000}"/>
    <cellStyle name="40% - Accent6 4_ContasExternas" xfId="1106" xr:uid="{00000000-0005-0000-0000-000048040000}"/>
    <cellStyle name="40% - Accent6 5" xfId="1107" xr:uid="{00000000-0005-0000-0000-000049040000}"/>
    <cellStyle name="40% - Accent6 5 10" xfId="1108" xr:uid="{00000000-0005-0000-0000-00004A040000}"/>
    <cellStyle name="40% - Accent6 5 11" xfId="1109" xr:uid="{00000000-0005-0000-0000-00004B040000}"/>
    <cellStyle name="40% - Accent6 5 12" xfId="1110" xr:uid="{00000000-0005-0000-0000-00004C040000}"/>
    <cellStyle name="40% - Accent6 5 2" xfId="1111" xr:uid="{00000000-0005-0000-0000-00004D040000}"/>
    <cellStyle name="40% - Accent6 5 3" xfId="1112" xr:uid="{00000000-0005-0000-0000-00004E040000}"/>
    <cellStyle name="40% - Accent6 5 4" xfId="1113" xr:uid="{00000000-0005-0000-0000-00004F040000}"/>
    <cellStyle name="40% - Accent6 5 5" xfId="1114" xr:uid="{00000000-0005-0000-0000-000050040000}"/>
    <cellStyle name="40% - Accent6 5 6" xfId="1115" xr:uid="{00000000-0005-0000-0000-000051040000}"/>
    <cellStyle name="40% - Accent6 5 7" xfId="1116" xr:uid="{00000000-0005-0000-0000-000052040000}"/>
    <cellStyle name="40% - Accent6 5 8" xfId="1117" xr:uid="{00000000-0005-0000-0000-000053040000}"/>
    <cellStyle name="40% - Accent6 5 9" xfId="1118" xr:uid="{00000000-0005-0000-0000-000054040000}"/>
    <cellStyle name="40% - Accent6 5_ContasExternas" xfId="1119" xr:uid="{00000000-0005-0000-0000-000055040000}"/>
    <cellStyle name="40% - Accent6 6" xfId="1120" xr:uid="{00000000-0005-0000-0000-000056040000}"/>
    <cellStyle name="40% - Accent6 6 10" xfId="1121" xr:uid="{00000000-0005-0000-0000-000057040000}"/>
    <cellStyle name="40% - Accent6 6 11" xfId="1122" xr:uid="{00000000-0005-0000-0000-000058040000}"/>
    <cellStyle name="40% - Accent6 6 12" xfId="1123" xr:uid="{00000000-0005-0000-0000-000059040000}"/>
    <cellStyle name="40% - Accent6 6 2" xfId="1124" xr:uid="{00000000-0005-0000-0000-00005A040000}"/>
    <cellStyle name="40% - Accent6 6 3" xfId="1125" xr:uid="{00000000-0005-0000-0000-00005B040000}"/>
    <cellStyle name="40% - Accent6 6 4" xfId="1126" xr:uid="{00000000-0005-0000-0000-00005C040000}"/>
    <cellStyle name="40% - Accent6 6 5" xfId="1127" xr:uid="{00000000-0005-0000-0000-00005D040000}"/>
    <cellStyle name="40% - Accent6 6 6" xfId="1128" xr:uid="{00000000-0005-0000-0000-00005E040000}"/>
    <cellStyle name="40% - Accent6 6 7" xfId="1129" xr:uid="{00000000-0005-0000-0000-00005F040000}"/>
    <cellStyle name="40% - Accent6 6 8" xfId="1130" xr:uid="{00000000-0005-0000-0000-000060040000}"/>
    <cellStyle name="40% - Accent6 6 9" xfId="1131" xr:uid="{00000000-0005-0000-0000-000061040000}"/>
    <cellStyle name="40% - Accent6 6_ContasExternas" xfId="1132" xr:uid="{00000000-0005-0000-0000-000062040000}"/>
    <cellStyle name="40% - Accent6 7" xfId="1133" xr:uid="{00000000-0005-0000-0000-000063040000}"/>
    <cellStyle name="40% - Accent6 7 10" xfId="1134" xr:uid="{00000000-0005-0000-0000-000064040000}"/>
    <cellStyle name="40% - Accent6 7 11" xfId="1135" xr:uid="{00000000-0005-0000-0000-000065040000}"/>
    <cellStyle name="40% - Accent6 7 12" xfId="1136" xr:uid="{00000000-0005-0000-0000-000066040000}"/>
    <cellStyle name="40% - Accent6 7 2" xfId="1137" xr:uid="{00000000-0005-0000-0000-000067040000}"/>
    <cellStyle name="40% - Accent6 7 3" xfId="1138" xr:uid="{00000000-0005-0000-0000-000068040000}"/>
    <cellStyle name="40% - Accent6 7 4" xfId="1139" xr:uid="{00000000-0005-0000-0000-000069040000}"/>
    <cellStyle name="40% - Accent6 7 5" xfId="1140" xr:uid="{00000000-0005-0000-0000-00006A040000}"/>
    <cellStyle name="40% - Accent6 7 6" xfId="1141" xr:uid="{00000000-0005-0000-0000-00006B040000}"/>
    <cellStyle name="40% - Accent6 7 7" xfId="1142" xr:uid="{00000000-0005-0000-0000-00006C040000}"/>
    <cellStyle name="40% - Accent6 7 8" xfId="1143" xr:uid="{00000000-0005-0000-0000-00006D040000}"/>
    <cellStyle name="40% - Accent6 7 9" xfId="1144" xr:uid="{00000000-0005-0000-0000-00006E040000}"/>
    <cellStyle name="40% - Accent6 7_ContasExternas" xfId="1145" xr:uid="{00000000-0005-0000-0000-00006F040000}"/>
    <cellStyle name="40% - Accent6 8" xfId="1146" xr:uid="{00000000-0005-0000-0000-000070040000}"/>
    <cellStyle name="40% - Accent6 8 10" xfId="1147" xr:uid="{00000000-0005-0000-0000-000071040000}"/>
    <cellStyle name="40% - Accent6 8 11" xfId="1148" xr:uid="{00000000-0005-0000-0000-000072040000}"/>
    <cellStyle name="40% - Accent6 8 12" xfId="1149" xr:uid="{00000000-0005-0000-0000-000073040000}"/>
    <cellStyle name="40% - Accent6 8 2" xfId="1150" xr:uid="{00000000-0005-0000-0000-000074040000}"/>
    <cellStyle name="40% - Accent6 8 3" xfId="1151" xr:uid="{00000000-0005-0000-0000-000075040000}"/>
    <cellStyle name="40% - Accent6 8 4" xfId="1152" xr:uid="{00000000-0005-0000-0000-000076040000}"/>
    <cellStyle name="40% - Accent6 8 5" xfId="1153" xr:uid="{00000000-0005-0000-0000-000077040000}"/>
    <cellStyle name="40% - Accent6 8 6" xfId="1154" xr:uid="{00000000-0005-0000-0000-000078040000}"/>
    <cellStyle name="40% - Accent6 8 7" xfId="1155" xr:uid="{00000000-0005-0000-0000-000079040000}"/>
    <cellStyle name="40% - Accent6 8 8" xfId="1156" xr:uid="{00000000-0005-0000-0000-00007A040000}"/>
    <cellStyle name="40% - Accent6 8 9" xfId="1157" xr:uid="{00000000-0005-0000-0000-00007B040000}"/>
    <cellStyle name="40% - Accent6 8_ContasExternas" xfId="1158" xr:uid="{00000000-0005-0000-0000-00007C040000}"/>
    <cellStyle name="40% - Accent6 9" xfId="1159" xr:uid="{00000000-0005-0000-0000-00007D040000}"/>
    <cellStyle name="40% - Ênfase1 10" xfId="1160" xr:uid="{00000000-0005-0000-0000-00007E040000}"/>
    <cellStyle name="40% - Ênfase1 11" xfId="1161" xr:uid="{00000000-0005-0000-0000-00007F040000}"/>
    <cellStyle name="40% - Ênfase1 12" xfId="1162" xr:uid="{00000000-0005-0000-0000-000080040000}"/>
    <cellStyle name="40% - Ênfase1 13" xfId="1163" xr:uid="{00000000-0005-0000-0000-000081040000}"/>
    <cellStyle name="40% - Ênfase1 14" xfId="1164" xr:uid="{00000000-0005-0000-0000-000082040000}"/>
    <cellStyle name="40% - Ênfase1 15" xfId="1165" xr:uid="{00000000-0005-0000-0000-000083040000}"/>
    <cellStyle name="40% - Ênfase1 16" xfId="1166" xr:uid="{00000000-0005-0000-0000-000084040000}"/>
    <cellStyle name="40% - Ênfase1 2" xfId="1167" xr:uid="{00000000-0005-0000-0000-000085040000}"/>
    <cellStyle name="40% - Ênfase1 2 2" xfId="1168" xr:uid="{00000000-0005-0000-0000-000086040000}"/>
    <cellStyle name="40% - Ênfase1 3" xfId="1169" xr:uid="{00000000-0005-0000-0000-000087040000}"/>
    <cellStyle name="40% - Ênfase1 4" xfId="1170" xr:uid="{00000000-0005-0000-0000-000088040000}"/>
    <cellStyle name="40% - Ênfase1 5" xfId="1171" xr:uid="{00000000-0005-0000-0000-000089040000}"/>
    <cellStyle name="40% - Ênfase1 6" xfId="1172" xr:uid="{00000000-0005-0000-0000-00008A040000}"/>
    <cellStyle name="40% - Ênfase1 7" xfId="1173" xr:uid="{00000000-0005-0000-0000-00008B040000}"/>
    <cellStyle name="40% - Ênfase1 8" xfId="1174" xr:uid="{00000000-0005-0000-0000-00008C040000}"/>
    <cellStyle name="40% - Ênfase1 9" xfId="1175" xr:uid="{00000000-0005-0000-0000-00008D040000}"/>
    <cellStyle name="40% - Ênfase2 10" xfId="1176" xr:uid="{00000000-0005-0000-0000-00008E040000}"/>
    <cellStyle name="40% - Ênfase2 11" xfId="1177" xr:uid="{00000000-0005-0000-0000-00008F040000}"/>
    <cellStyle name="40% - Ênfase2 12" xfId="1178" xr:uid="{00000000-0005-0000-0000-000090040000}"/>
    <cellStyle name="40% - Ênfase2 13" xfId="1179" xr:uid="{00000000-0005-0000-0000-000091040000}"/>
    <cellStyle name="40% - Ênfase2 14" xfId="1180" xr:uid="{00000000-0005-0000-0000-000092040000}"/>
    <cellStyle name="40% - Ênfase2 15" xfId="1181" xr:uid="{00000000-0005-0000-0000-000093040000}"/>
    <cellStyle name="40% - Ênfase2 16" xfId="1182" xr:uid="{00000000-0005-0000-0000-000094040000}"/>
    <cellStyle name="40% - Ênfase2 2" xfId="1183" xr:uid="{00000000-0005-0000-0000-000095040000}"/>
    <cellStyle name="40% - Ênfase2 2 2" xfId="1184" xr:uid="{00000000-0005-0000-0000-000096040000}"/>
    <cellStyle name="40% - Ênfase2 3" xfId="1185" xr:uid="{00000000-0005-0000-0000-000097040000}"/>
    <cellStyle name="40% - Ênfase2 4" xfId="1186" xr:uid="{00000000-0005-0000-0000-000098040000}"/>
    <cellStyle name="40% - Ênfase2 5" xfId="1187" xr:uid="{00000000-0005-0000-0000-000099040000}"/>
    <cellStyle name="40% - Ênfase2 6" xfId="1188" xr:uid="{00000000-0005-0000-0000-00009A040000}"/>
    <cellStyle name="40% - Ênfase2 7" xfId="1189" xr:uid="{00000000-0005-0000-0000-00009B040000}"/>
    <cellStyle name="40% - Ênfase2 8" xfId="1190" xr:uid="{00000000-0005-0000-0000-00009C040000}"/>
    <cellStyle name="40% - Ênfase2 9" xfId="1191" xr:uid="{00000000-0005-0000-0000-00009D040000}"/>
    <cellStyle name="40% - Ênfase3 10" xfId="1192" xr:uid="{00000000-0005-0000-0000-00009E040000}"/>
    <cellStyle name="40% - Ênfase3 11" xfId="1193" xr:uid="{00000000-0005-0000-0000-00009F040000}"/>
    <cellStyle name="40% - Ênfase3 12" xfId="1194" xr:uid="{00000000-0005-0000-0000-0000A0040000}"/>
    <cellStyle name="40% - Ênfase3 13" xfId="1195" xr:uid="{00000000-0005-0000-0000-0000A1040000}"/>
    <cellStyle name="40% - Ênfase3 14" xfId="1196" xr:uid="{00000000-0005-0000-0000-0000A2040000}"/>
    <cellStyle name="40% - Ênfase3 15" xfId="1197" xr:uid="{00000000-0005-0000-0000-0000A3040000}"/>
    <cellStyle name="40% - Ênfase3 16" xfId="1198" xr:uid="{00000000-0005-0000-0000-0000A4040000}"/>
    <cellStyle name="40% - Ênfase3 2" xfId="1199" xr:uid="{00000000-0005-0000-0000-0000A5040000}"/>
    <cellStyle name="40% - Ênfase3 2 2" xfId="1200" xr:uid="{00000000-0005-0000-0000-0000A6040000}"/>
    <cellStyle name="40% - Ênfase3 3" xfId="1201" xr:uid="{00000000-0005-0000-0000-0000A7040000}"/>
    <cellStyle name="40% - Ênfase3 4" xfId="1202" xr:uid="{00000000-0005-0000-0000-0000A8040000}"/>
    <cellStyle name="40% - Ênfase3 5" xfId="1203" xr:uid="{00000000-0005-0000-0000-0000A9040000}"/>
    <cellStyle name="40% - Ênfase3 6" xfId="1204" xr:uid="{00000000-0005-0000-0000-0000AA040000}"/>
    <cellStyle name="40% - Ênfase3 7" xfId="1205" xr:uid="{00000000-0005-0000-0000-0000AB040000}"/>
    <cellStyle name="40% - Ênfase3 8" xfId="1206" xr:uid="{00000000-0005-0000-0000-0000AC040000}"/>
    <cellStyle name="40% - Ênfase3 9" xfId="1207" xr:uid="{00000000-0005-0000-0000-0000AD040000}"/>
    <cellStyle name="40% - Ênfase4 10" xfId="1208" xr:uid="{00000000-0005-0000-0000-0000AE040000}"/>
    <cellStyle name="40% - Ênfase4 11" xfId="1209" xr:uid="{00000000-0005-0000-0000-0000AF040000}"/>
    <cellStyle name="40% - Ênfase4 12" xfId="1210" xr:uid="{00000000-0005-0000-0000-0000B0040000}"/>
    <cellStyle name="40% - Ênfase4 13" xfId="1211" xr:uid="{00000000-0005-0000-0000-0000B1040000}"/>
    <cellStyle name="40% - Ênfase4 14" xfId="1212" xr:uid="{00000000-0005-0000-0000-0000B2040000}"/>
    <cellStyle name="40% - Ênfase4 15" xfId="1213" xr:uid="{00000000-0005-0000-0000-0000B3040000}"/>
    <cellStyle name="40% - Ênfase4 16" xfId="1214" xr:uid="{00000000-0005-0000-0000-0000B4040000}"/>
    <cellStyle name="40% - Ênfase4 2" xfId="1215" xr:uid="{00000000-0005-0000-0000-0000B5040000}"/>
    <cellStyle name="40% - Ênfase4 2 2" xfId="1216" xr:uid="{00000000-0005-0000-0000-0000B6040000}"/>
    <cellStyle name="40% - Ênfase4 3" xfId="1217" xr:uid="{00000000-0005-0000-0000-0000B7040000}"/>
    <cellStyle name="40% - Ênfase4 4" xfId="1218" xr:uid="{00000000-0005-0000-0000-0000B8040000}"/>
    <cellStyle name="40% - Ênfase4 5" xfId="1219" xr:uid="{00000000-0005-0000-0000-0000B9040000}"/>
    <cellStyle name="40% - Ênfase4 6" xfId="1220" xr:uid="{00000000-0005-0000-0000-0000BA040000}"/>
    <cellStyle name="40% - Ênfase4 7" xfId="1221" xr:uid="{00000000-0005-0000-0000-0000BB040000}"/>
    <cellStyle name="40% - Ênfase4 8" xfId="1222" xr:uid="{00000000-0005-0000-0000-0000BC040000}"/>
    <cellStyle name="40% - Ênfase4 9" xfId="1223" xr:uid="{00000000-0005-0000-0000-0000BD040000}"/>
    <cellStyle name="40% - Ênfase5 10" xfId="1224" xr:uid="{00000000-0005-0000-0000-0000BE040000}"/>
    <cellStyle name="40% - Ênfase5 11" xfId="1225" xr:uid="{00000000-0005-0000-0000-0000BF040000}"/>
    <cellStyle name="40% - Ênfase5 12" xfId="1226" xr:uid="{00000000-0005-0000-0000-0000C0040000}"/>
    <cellStyle name="40% - Ênfase5 13" xfId="1227" xr:uid="{00000000-0005-0000-0000-0000C1040000}"/>
    <cellStyle name="40% - Ênfase5 14" xfId="1228" xr:uid="{00000000-0005-0000-0000-0000C2040000}"/>
    <cellStyle name="40% - Ênfase5 15" xfId="1229" xr:uid="{00000000-0005-0000-0000-0000C3040000}"/>
    <cellStyle name="40% - Ênfase5 16" xfId="1230" xr:uid="{00000000-0005-0000-0000-0000C4040000}"/>
    <cellStyle name="40% - Ênfase5 2" xfId="1231" xr:uid="{00000000-0005-0000-0000-0000C5040000}"/>
    <cellStyle name="40% - Ênfase5 2 2" xfId="1232" xr:uid="{00000000-0005-0000-0000-0000C6040000}"/>
    <cellStyle name="40% - Ênfase5 3" xfId="1233" xr:uid="{00000000-0005-0000-0000-0000C7040000}"/>
    <cellStyle name="40% - Ênfase5 4" xfId="1234" xr:uid="{00000000-0005-0000-0000-0000C8040000}"/>
    <cellStyle name="40% - Ênfase5 5" xfId="1235" xr:uid="{00000000-0005-0000-0000-0000C9040000}"/>
    <cellStyle name="40% - Ênfase5 6" xfId="1236" xr:uid="{00000000-0005-0000-0000-0000CA040000}"/>
    <cellStyle name="40% - Ênfase5 7" xfId="1237" xr:uid="{00000000-0005-0000-0000-0000CB040000}"/>
    <cellStyle name="40% - Ênfase5 8" xfId="1238" xr:uid="{00000000-0005-0000-0000-0000CC040000}"/>
    <cellStyle name="40% - Ênfase5 9" xfId="1239" xr:uid="{00000000-0005-0000-0000-0000CD040000}"/>
    <cellStyle name="40% - Ênfase6 10" xfId="1240" xr:uid="{00000000-0005-0000-0000-0000CE040000}"/>
    <cellStyle name="40% - Ênfase6 11" xfId="1241" xr:uid="{00000000-0005-0000-0000-0000CF040000}"/>
    <cellStyle name="40% - Ênfase6 12" xfId="1242" xr:uid="{00000000-0005-0000-0000-0000D0040000}"/>
    <cellStyle name="40% - Ênfase6 13" xfId="1243" xr:uid="{00000000-0005-0000-0000-0000D1040000}"/>
    <cellStyle name="40% - Ênfase6 14" xfId="1244" xr:uid="{00000000-0005-0000-0000-0000D2040000}"/>
    <cellStyle name="40% - Ênfase6 15" xfId="1245" xr:uid="{00000000-0005-0000-0000-0000D3040000}"/>
    <cellStyle name="40% - Ênfase6 16" xfId="1246" xr:uid="{00000000-0005-0000-0000-0000D4040000}"/>
    <cellStyle name="40% - Ênfase6 2" xfId="1247" xr:uid="{00000000-0005-0000-0000-0000D5040000}"/>
    <cellStyle name="40% - Ênfase6 2 2" xfId="1248" xr:uid="{00000000-0005-0000-0000-0000D6040000}"/>
    <cellStyle name="40% - Ênfase6 3" xfId="1249" xr:uid="{00000000-0005-0000-0000-0000D7040000}"/>
    <cellStyle name="40% - Ênfase6 4" xfId="1250" xr:uid="{00000000-0005-0000-0000-0000D8040000}"/>
    <cellStyle name="40% - Ênfase6 5" xfId="1251" xr:uid="{00000000-0005-0000-0000-0000D9040000}"/>
    <cellStyle name="40% - Ênfase6 6" xfId="1252" xr:uid="{00000000-0005-0000-0000-0000DA040000}"/>
    <cellStyle name="40% - Ênfase6 7" xfId="1253" xr:uid="{00000000-0005-0000-0000-0000DB040000}"/>
    <cellStyle name="40% - Ênfase6 8" xfId="1254" xr:uid="{00000000-0005-0000-0000-0000DC040000}"/>
    <cellStyle name="40% - Ênfase6 9" xfId="1255" xr:uid="{00000000-0005-0000-0000-0000DD040000}"/>
    <cellStyle name="60% - Accent1 10" xfId="1256" xr:uid="{00000000-0005-0000-0000-0000DE040000}"/>
    <cellStyle name="60% - Accent1 2" xfId="1257" xr:uid="{00000000-0005-0000-0000-0000DF040000}"/>
    <cellStyle name="60% - Accent1 2 10" xfId="1258" xr:uid="{00000000-0005-0000-0000-0000E0040000}"/>
    <cellStyle name="60% - Accent1 2 10 2" xfId="1259" xr:uid="{00000000-0005-0000-0000-0000E1040000}"/>
    <cellStyle name="60% - Accent1 2 11" xfId="1260" xr:uid="{00000000-0005-0000-0000-0000E2040000}"/>
    <cellStyle name="60% - Accent1 2 11 2" xfId="1261" xr:uid="{00000000-0005-0000-0000-0000E3040000}"/>
    <cellStyle name="60% - Accent1 2 12" xfId="1262" xr:uid="{00000000-0005-0000-0000-0000E4040000}"/>
    <cellStyle name="60% - Accent1 2 12 2" xfId="1263" xr:uid="{00000000-0005-0000-0000-0000E5040000}"/>
    <cellStyle name="60% - Accent1 2 13" xfId="1264" xr:uid="{00000000-0005-0000-0000-0000E6040000}"/>
    <cellStyle name="60% - Accent1 2 2" xfId="1265" xr:uid="{00000000-0005-0000-0000-0000E7040000}"/>
    <cellStyle name="60% - Accent1 2 2 2" xfId="1266" xr:uid="{00000000-0005-0000-0000-0000E8040000}"/>
    <cellStyle name="60% - Accent1 2 3" xfId="1267" xr:uid="{00000000-0005-0000-0000-0000E9040000}"/>
    <cellStyle name="60% - Accent1 2 3 2" xfId="1268" xr:uid="{00000000-0005-0000-0000-0000EA040000}"/>
    <cellStyle name="60% - Accent1 2 4" xfId="1269" xr:uid="{00000000-0005-0000-0000-0000EB040000}"/>
    <cellStyle name="60% - Accent1 2 4 2" xfId="1270" xr:uid="{00000000-0005-0000-0000-0000EC040000}"/>
    <cellStyle name="60% - Accent1 2 5" xfId="1271" xr:uid="{00000000-0005-0000-0000-0000ED040000}"/>
    <cellStyle name="60% - Accent1 2 5 2" xfId="1272" xr:uid="{00000000-0005-0000-0000-0000EE040000}"/>
    <cellStyle name="60% - Accent1 2 6" xfId="1273" xr:uid="{00000000-0005-0000-0000-0000EF040000}"/>
    <cellStyle name="60% - Accent1 2 6 2" xfId="1274" xr:uid="{00000000-0005-0000-0000-0000F0040000}"/>
    <cellStyle name="60% - Accent1 2 7" xfId="1275" xr:uid="{00000000-0005-0000-0000-0000F1040000}"/>
    <cellStyle name="60% - Accent1 2 7 2" xfId="1276" xr:uid="{00000000-0005-0000-0000-0000F2040000}"/>
    <cellStyle name="60% - Accent1 2 8" xfId="1277" xr:uid="{00000000-0005-0000-0000-0000F3040000}"/>
    <cellStyle name="60% - Accent1 2 8 2" xfId="1278" xr:uid="{00000000-0005-0000-0000-0000F4040000}"/>
    <cellStyle name="60% - Accent1 2 9" xfId="1279" xr:uid="{00000000-0005-0000-0000-0000F5040000}"/>
    <cellStyle name="60% - Accent1 2 9 2" xfId="1280" xr:uid="{00000000-0005-0000-0000-0000F6040000}"/>
    <cellStyle name="60% - Accent1 3" xfId="1281" xr:uid="{00000000-0005-0000-0000-0000F7040000}"/>
    <cellStyle name="60% - Accent1 3 10" xfId="1282" xr:uid="{00000000-0005-0000-0000-0000F8040000}"/>
    <cellStyle name="60% - Accent1 3 10 2" xfId="1283" xr:uid="{00000000-0005-0000-0000-0000F9040000}"/>
    <cellStyle name="60% - Accent1 3 11" xfId="1284" xr:uid="{00000000-0005-0000-0000-0000FA040000}"/>
    <cellStyle name="60% - Accent1 3 11 2" xfId="1285" xr:uid="{00000000-0005-0000-0000-0000FB040000}"/>
    <cellStyle name="60% - Accent1 3 12" xfId="1286" xr:uid="{00000000-0005-0000-0000-0000FC040000}"/>
    <cellStyle name="60% - Accent1 3 12 2" xfId="1287" xr:uid="{00000000-0005-0000-0000-0000FD040000}"/>
    <cellStyle name="60% - Accent1 3 13" xfId="1288" xr:uid="{00000000-0005-0000-0000-0000FE040000}"/>
    <cellStyle name="60% - Accent1 3 2" xfId="1289" xr:uid="{00000000-0005-0000-0000-0000FF040000}"/>
    <cellStyle name="60% - Accent1 3 2 2" xfId="1290" xr:uid="{00000000-0005-0000-0000-000000050000}"/>
    <cellStyle name="60% - Accent1 3 3" xfId="1291" xr:uid="{00000000-0005-0000-0000-000001050000}"/>
    <cellStyle name="60% - Accent1 3 3 2" xfId="1292" xr:uid="{00000000-0005-0000-0000-000002050000}"/>
    <cellStyle name="60% - Accent1 3 4" xfId="1293" xr:uid="{00000000-0005-0000-0000-000003050000}"/>
    <cellStyle name="60% - Accent1 3 4 2" xfId="1294" xr:uid="{00000000-0005-0000-0000-000004050000}"/>
    <cellStyle name="60% - Accent1 3 5" xfId="1295" xr:uid="{00000000-0005-0000-0000-000005050000}"/>
    <cellStyle name="60% - Accent1 3 5 2" xfId="1296" xr:uid="{00000000-0005-0000-0000-000006050000}"/>
    <cellStyle name="60% - Accent1 3 6" xfId="1297" xr:uid="{00000000-0005-0000-0000-000007050000}"/>
    <cellStyle name="60% - Accent1 3 6 2" xfId="1298" xr:uid="{00000000-0005-0000-0000-000008050000}"/>
    <cellStyle name="60% - Accent1 3 7" xfId="1299" xr:uid="{00000000-0005-0000-0000-000009050000}"/>
    <cellStyle name="60% - Accent1 3 7 2" xfId="1300" xr:uid="{00000000-0005-0000-0000-00000A050000}"/>
    <cellStyle name="60% - Accent1 3 8" xfId="1301" xr:uid="{00000000-0005-0000-0000-00000B050000}"/>
    <cellStyle name="60% - Accent1 3 8 2" xfId="1302" xr:uid="{00000000-0005-0000-0000-00000C050000}"/>
    <cellStyle name="60% - Accent1 3 9" xfId="1303" xr:uid="{00000000-0005-0000-0000-00000D050000}"/>
    <cellStyle name="60% - Accent1 3 9 2" xfId="1304" xr:uid="{00000000-0005-0000-0000-00000E050000}"/>
    <cellStyle name="60% - Accent1 4" xfId="1305" xr:uid="{00000000-0005-0000-0000-00000F050000}"/>
    <cellStyle name="60% - Accent1 4 10" xfId="1306" xr:uid="{00000000-0005-0000-0000-000010050000}"/>
    <cellStyle name="60% - Accent1 4 10 2" xfId="1307" xr:uid="{00000000-0005-0000-0000-000011050000}"/>
    <cellStyle name="60% - Accent1 4 11" xfId="1308" xr:uid="{00000000-0005-0000-0000-000012050000}"/>
    <cellStyle name="60% - Accent1 4 11 2" xfId="1309" xr:uid="{00000000-0005-0000-0000-000013050000}"/>
    <cellStyle name="60% - Accent1 4 12" xfId="1310" xr:uid="{00000000-0005-0000-0000-000014050000}"/>
    <cellStyle name="60% - Accent1 4 12 2" xfId="1311" xr:uid="{00000000-0005-0000-0000-000015050000}"/>
    <cellStyle name="60% - Accent1 4 13" xfId="1312" xr:uid="{00000000-0005-0000-0000-000016050000}"/>
    <cellStyle name="60% - Accent1 4 2" xfId="1313" xr:uid="{00000000-0005-0000-0000-000017050000}"/>
    <cellStyle name="60% - Accent1 4 2 2" xfId="1314" xr:uid="{00000000-0005-0000-0000-000018050000}"/>
    <cellStyle name="60% - Accent1 4 3" xfId="1315" xr:uid="{00000000-0005-0000-0000-000019050000}"/>
    <cellStyle name="60% - Accent1 4 3 2" xfId="1316" xr:uid="{00000000-0005-0000-0000-00001A050000}"/>
    <cellStyle name="60% - Accent1 4 4" xfId="1317" xr:uid="{00000000-0005-0000-0000-00001B050000}"/>
    <cellStyle name="60% - Accent1 4 4 2" xfId="1318" xr:uid="{00000000-0005-0000-0000-00001C050000}"/>
    <cellStyle name="60% - Accent1 4 5" xfId="1319" xr:uid="{00000000-0005-0000-0000-00001D050000}"/>
    <cellStyle name="60% - Accent1 4 5 2" xfId="1320" xr:uid="{00000000-0005-0000-0000-00001E050000}"/>
    <cellStyle name="60% - Accent1 4 6" xfId="1321" xr:uid="{00000000-0005-0000-0000-00001F050000}"/>
    <cellStyle name="60% - Accent1 4 6 2" xfId="1322" xr:uid="{00000000-0005-0000-0000-000020050000}"/>
    <cellStyle name="60% - Accent1 4 7" xfId="1323" xr:uid="{00000000-0005-0000-0000-000021050000}"/>
    <cellStyle name="60% - Accent1 4 7 2" xfId="1324" xr:uid="{00000000-0005-0000-0000-000022050000}"/>
    <cellStyle name="60% - Accent1 4 8" xfId="1325" xr:uid="{00000000-0005-0000-0000-000023050000}"/>
    <cellStyle name="60% - Accent1 4 8 2" xfId="1326" xr:uid="{00000000-0005-0000-0000-000024050000}"/>
    <cellStyle name="60% - Accent1 4 9" xfId="1327" xr:uid="{00000000-0005-0000-0000-000025050000}"/>
    <cellStyle name="60% - Accent1 4 9 2" xfId="1328" xr:uid="{00000000-0005-0000-0000-000026050000}"/>
    <cellStyle name="60% - Accent1 5" xfId="1329" xr:uid="{00000000-0005-0000-0000-000027050000}"/>
    <cellStyle name="60% - Accent1 5 10" xfId="1330" xr:uid="{00000000-0005-0000-0000-000028050000}"/>
    <cellStyle name="60% - Accent1 5 10 2" xfId="1331" xr:uid="{00000000-0005-0000-0000-000029050000}"/>
    <cellStyle name="60% - Accent1 5 11" xfId="1332" xr:uid="{00000000-0005-0000-0000-00002A050000}"/>
    <cellStyle name="60% - Accent1 5 11 2" xfId="1333" xr:uid="{00000000-0005-0000-0000-00002B050000}"/>
    <cellStyle name="60% - Accent1 5 12" xfId="1334" xr:uid="{00000000-0005-0000-0000-00002C050000}"/>
    <cellStyle name="60% - Accent1 5 12 2" xfId="1335" xr:uid="{00000000-0005-0000-0000-00002D050000}"/>
    <cellStyle name="60% - Accent1 5 13" xfId="1336" xr:uid="{00000000-0005-0000-0000-00002E050000}"/>
    <cellStyle name="60% - Accent1 5 2" xfId="1337" xr:uid="{00000000-0005-0000-0000-00002F050000}"/>
    <cellStyle name="60% - Accent1 5 2 2" xfId="1338" xr:uid="{00000000-0005-0000-0000-000030050000}"/>
    <cellStyle name="60% - Accent1 5 3" xfId="1339" xr:uid="{00000000-0005-0000-0000-000031050000}"/>
    <cellStyle name="60% - Accent1 5 3 2" xfId="1340" xr:uid="{00000000-0005-0000-0000-000032050000}"/>
    <cellStyle name="60% - Accent1 5 4" xfId="1341" xr:uid="{00000000-0005-0000-0000-000033050000}"/>
    <cellStyle name="60% - Accent1 5 4 2" xfId="1342" xr:uid="{00000000-0005-0000-0000-000034050000}"/>
    <cellStyle name="60% - Accent1 5 5" xfId="1343" xr:uid="{00000000-0005-0000-0000-000035050000}"/>
    <cellStyle name="60% - Accent1 5 5 2" xfId="1344" xr:uid="{00000000-0005-0000-0000-000036050000}"/>
    <cellStyle name="60% - Accent1 5 6" xfId="1345" xr:uid="{00000000-0005-0000-0000-000037050000}"/>
    <cellStyle name="60% - Accent1 5 6 2" xfId="1346" xr:uid="{00000000-0005-0000-0000-000038050000}"/>
    <cellStyle name="60% - Accent1 5 7" xfId="1347" xr:uid="{00000000-0005-0000-0000-000039050000}"/>
    <cellStyle name="60% - Accent1 5 7 2" xfId="1348" xr:uid="{00000000-0005-0000-0000-00003A050000}"/>
    <cellStyle name="60% - Accent1 5 8" xfId="1349" xr:uid="{00000000-0005-0000-0000-00003B050000}"/>
    <cellStyle name="60% - Accent1 5 8 2" xfId="1350" xr:uid="{00000000-0005-0000-0000-00003C050000}"/>
    <cellStyle name="60% - Accent1 5 9" xfId="1351" xr:uid="{00000000-0005-0000-0000-00003D050000}"/>
    <cellStyle name="60% - Accent1 5 9 2" xfId="1352" xr:uid="{00000000-0005-0000-0000-00003E050000}"/>
    <cellStyle name="60% - Accent1 6" xfId="1353" xr:uid="{00000000-0005-0000-0000-00003F050000}"/>
    <cellStyle name="60% - Accent1 6 10" xfId="1354" xr:uid="{00000000-0005-0000-0000-000040050000}"/>
    <cellStyle name="60% - Accent1 6 11" xfId="1355" xr:uid="{00000000-0005-0000-0000-000041050000}"/>
    <cellStyle name="60% - Accent1 6 12" xfId="1356" xr:uid="{00000000-0005-0000-0000-000042050000}"/>
    <cellStyle name="60% - Accent1 6 2" xfId="1357" xr:uid="{00000000-0005-0000-0000-000043050000}"/>
    <cellStyle name="60% - Accent1 6 3" xfId="1358" xr:uid="{00000000-0005-0000-0000-000044050000}"/>
    <cellStyle name="60% - Accent1 6 4" xfId="1359" xr:uid="{00000000-0005-0000-0000-000045050000}"/>
    <cellStyle name="60% - Accent1 6 5" xfId="1360" xr:uid="{00000000-0005-0000-0000-000046050000}"/>
    <cellStyle name="60% - Accent1 6 6" xfId="1361" xr:uid="{00000000-0005-0000-0000-000047050000}"/>
    <cellStyle name="60% - Accent1 6 7" xfId="1362" xr:uid="{00000000-0005-0000-0000-000048050000}"/>
    <cellStyle name="60% - Accent1 6 8" xfId="1363" xr:uid="{00000000-0005-0000-0000-000049050000}"/>
    <cellStyle name="60% - Accent1 6 9" xfId="1364" xr:uid="{00000000-0005-0000-0000-00004A050000}"/>
    <cellStyle name="60% - Accent1 7" xfId="1365" xr:uid="{00000000-0005-0000-0000-00004B050000}"/>
    <cellStyle name="60% - Accent1 7 10" xfId="1366" xr:uid="{00000000-0005-0000-0000-00004C050000}"/>
    <cellStyle name="60% - Accent1 7 11" xfId="1367" xr:uid="{00000000-0005-0000-0000-00004D050000}"/>
    <cellStyle name="60% - Accent1 7 12" xfId="1368" xr:uid="{00000000-0005-0000-0000-00004E050000}"/>
    <cellStyle name="60% - Accent1 7 2" xfId="1369" xr:uid="{00000000-0005-0000-0000-00004F050000}"/>
    <cellStyle name="60% - Accent1 7 3" xfId="1370" xr:uid="{00000000-0005-0000-0000-000050050000}"/>
    <cellStyle name="60% - Accent1 7 4" xfId="1371" xr:uid="{00000000-0005-0000-0000-000051050000}"/>
    <cellStyle name="60% - Accent1 7 5" xfId="1372" xr:uid="{00000000-0005-0000-0000-000052050000}"/>
    <cellStyle name="60% - Accent1 7 6" xfId="1373" xr:uid="{00000000-0005-0000-0000-000053050000}"/>
    <cellStyle name="60% - Accent1 7 7" xfId="1374" xr:uid="{00000000-0005-0000-0000-000054050000}"/>
    <cellStyle name="60% - Accent1 7 8" xfId="1375" xr:uid="{00000000-0005-0000-0000-000055050000}"/>
    <cellStyle name="60% - Accent1 7 9" xfId="1376" xr:uid="{00000000-0005-0000-0000-000056050000}"/>
    <cellStyle name="60% - Accent1 8" xfId="1377" xr:uid="{00000000-0005-0000-0000-000057050000}"/>
    <cellStyle name="60% - Accent1 8 10" xfId="1378" xr:uid="{00000000-0005-0000-0000-000058050000}"/>
    <cellStyle name="60% - Accent1 8 11" xfId="1379" xr:uid="{00000000-0005-0000-0000-000059050000}"/>
    <cellStyle name="60% - Accent1 8 12" xfId="1380" xr:uid="{00000000-0005-0000-0000-00005A050000}"/>
    <cellStyle name="60% - Accent1 8 2" xfId="1381" xr:uid="{00000000-0005-0000-0000-00005B050000}"/>
    <cellStyle name="60% - Accent1 8 3" xfId="1382" xr:uid="{00000000-0005-0000-0000-00005C050000}"/>
    <cellStyle name="60% - Accent1 8 4" xfId="1383" xr:uid="{00000000-0005-0000-0000-00005D050000}"/>
    <cellStyle name="60% - Accent1 8 5" xfId="1384" xr:uid="{00000000-0005-0000-0000-00005E050000}"/>
    <cellStyle name="60% - Accent1 8 6" xfId="1385" xr:uid="{00000000-0005-0000-0000-00005F050000}"/>
    <cellStyle name="60% - Accent1 8 7" xfId="1386" xr:uid="{00000000-0005-0000-0000-000060050000}"/>
    <cellStyle name="60% - Accent1 8 8" xfId="1387" xr:uid="{00000000-0005-0000-0000-000061050000}"/>
    <cellStyle name="60% - Accent1 8 9" xfId="1388" xr:uid="{00000000-0005-0000-0000-000062050000}"/>
    <cellStyle name="60% - Accent1 9" xfId="1389" xr:uid="{00000000-0005-0000-0000-000063050000}"/>
    <cellStyle name="60% - Accent1 9 2" xfId="1390" xr:uid="{00000000-0005-0000-0000-000064050000}"/>
    <cellStyle name="60% - Accent2 10" xfId="1391" xr:uid="{00000000-0005-0000-0000-000065050000}"/>
    <cellStyle name="60% - Accent2 2" xfId="1392" xr:uid="{00000000-0005-0000-0000-000066050000}"/>
    <cellStyle name="60% - Accent2 2 10" xfId="1393" xr:uid="{00000000-0005-0000-0000-000067050000}"/>
    <cellStyle name="60% - Accent2 2 10 2" xfId="1394" xr:uid="{00000000-0005-0000-0000-000068050000}"/>
    <cellStyle name="60% - Accent2 2 11" xfId="1395" xr:uid="{00000000-0005-0000-0000-000069050000}"/>
    <cellStyle name="60% - Accent2 2 11 2" xfId="1396" xr:uid="{00000000-0005-0000-0000-00006A050000}"/>
    <cellStyle name="60% - Accent2 2 12" xfId="1397" xr:uid="{00000000-0005-0000-0000-00006B050000}"/>
    <cellStyle name="60% - Accent2 2 12 2" xfId="1398" xr:uid="{00000000-0005-0000-0000-00006C050000}"/>
    <cellStyle name="60% - Accent2 2 13" xfId="1399" xr:uid="{00000000-0005-0000-0000-00006D050000}"/>
    <cellStyle name="60% - Accent2 2 2" xfId="1400" xr:uid="{00000000-0005-0000-0000-00006E050000}"/>
    <cellStyle name="60% - Accent2 2 2 2" xfId="1401" xr:uid="{00000000-0005-0000-0000-00006F050000}"/>
    <cellStyle name="60% - Accent2 2 3" xfId="1402" xr:uid="{00000000-0005-0000-0000-000070050000}"/>
    <cellStyle name="60% - Accent2 2 3 2" xfId="1403" xr:uid="{00000000-0005-0000-0000-000071050000}"/>
    <cellStyle name="60% - Accent2 2 4" xfId="1404" xr:uid="{00000000-0005-0000-0000-000072050000}"/>
    <cellStyle name="60% - Accent2 2 4 2" xfId="1405" xr:uid="{00000000-0005-0000-0000-000073050000}"/>
    <cellStyle name="60% - Accent2 2 5" xfId="1406" xr:uid="{00000000-0005-0000-0000-000074050000}"/>
    <cellStyle name="60% - Accent2 2 5 2" xfId="1407" xr:uid="{00000000-0005-0000-0000-000075050000}"/>
    <cellStyle name="60% - Accent2 2 6" xfId="1408" xr:uid="{00000000-0005-0000-0000-000076050000}"/>
    <cellStyle name="60% - Accent2 2 6 2" xfId="1409" xr:uid="{00000000-0005-0000-0000-000077050000}"/>
    <cellStyle name="60% - Accent2 2 7" xfId="1410" xr:uid="{00000000-0005-0000-0000-000078050000}"/>
    <cellStyle name="60% - Accent2 2 7 2" xfId="1411" xr:uid="{00000000-0005-0000-0000-000079050000}"/>
    <cellStyle name="60% - Accent2 2 8" xfId="1412" xr:uid="{00000000-0005-0000-0000-00007A050000}"/>
    <cellStyle name="60% - Accent2 2 8 2" xfId="1413" xr:uid="{00000000-0005-0000-0000-00007B050000}"/>
    <cellStyle name="60% - Accent2 2 9" xfId="1414" xr:uid="{00000000-0005-0000-0000-00007C050000}"/>
    <cellStyle name="60% - Accent2 2 9 2" xfId="1415" xr:uid="{00000000-0005-0000-0000-00007D050000}"/>
    <cellStyle name="60% - Accent2 3" xfId="1416" xr:uid="{00000000-0005-0000-0000-00007E050000}"/>
    <cellStyle name="60% - Accent2 3 10" xfId="1417" xr:uid="{00000000-0005-0000-0000-00007F050000}"/>
    <cellStyle name="60% - Accent2 3 10 2" xfId="1418" xr:uid="{00000000-0005-0000-0000-000080050000}"/>
    <cellStyle name="60% - Accent2 3 11" xfId="1419" xr:uid="{00000000-0005-0000-0000-000081050000}"/>
    <cellStyle name="60% - Accent2 3 11 2" xfId="1420" xr:uid="{00000000-0005-0000-0000-000082050000}"/>
    <cellStyle name="60% - Accent2 3 12" xfId="1421" xr:uid="{00000000-0005-0000-0000-000083050000}"/>
    <cellStyle name="60% - Accent2 3 12 2" xfId="1422" xr:uid="{00000000-0005-0000-0000-000084050000}"/>
    <cellStyle name="60% - Accent2 3 13" xfId="1423" xr:uid="{00000000-0005-0000-0000-000085050000}"/>
    <cellStyle name="60% - Accent2 3 2" xfId="1424" xr:uid="{00000000-0005-0000-0000-000086050000}"/>
    <cellStyle name="60% - Accent2 3 2 2" xfId="1425" xr:uid="{00000000-0005-0000-0000-000087050000}"/>
    <cellStyle name="60% - Accent2 3 3" xfId="1426" xr:uid="{00000000-0005-0000-0000-000088050000}"/>
    <cellStyle name="60% - Accent2 3 3 2" xfId="1427" xr:uid="{00000000-0005-0000-0000-000089050000}"/>
    <cellStyle name="60% - Accent2 3 4" xfId="1428" xr:uid="{00000000-0005-0000-0000-00008A050000}"/>
    <cellStyle name="60% - Accent2 3 4 2" xfId="1429" xr:uid="{00000000-0005-0000-0000-00008B050000}"/>
    <cellStyle name="60% - Accent2 3 5" xfId="1430" xr:uid="{00000000-0005-0000-0000-00008C050000}"/>
    <cellStyle name="60% - Accent2 3 5 2" xfId="1431" xr:uid="{00000000-0005-0000-0000-00008D050000}"/>
    <cellStyle name="60% - Accent2 3 6" xfId="1432" xr:uid="{00000000-0005-0000-0000-00008E050000}"/>
    <cellStyle name="60% - Accent2 3 6 2" xfId="1433" xr:uid="{00000000-0005-0000-0000-00008F050000}"/>
    <cellStyle name="60% - Accent2 3 7" xfId="1434" xr:uid="{00000000-0005-0000-0000-000090050000}"/>
    <cellStyle name="60% - Accent2 3 7 2" xfId="1435" xr:uid="{00000000-0005-0000-0000-000091050000}"/>
    <cellStyle name="60% - Accent2 3 8" xfId="1436" xr:uid="{00000000-0005-0000-0000-000092050000}"/>
    <cellStyle name="60% - Accent2 3 8 2" xfId="1437" xr:uid="{00000000-0005-0000-0000-000093050000}"/>
    <cellStyle name="60% - Accent2 3 9" xfId="1438" xr:uid="{00000000-0005-0000-0000-000094050000}"/>
    <cellStyle name="60% - Accent2 3 9 2" xfId="1439" xr:uid="{00000000-0005-0000-0000-000095050000}"/>
    <cellStyle name="60% - Accent2 4" xfId="1440" xr:uid="{00000000-0005-0000-0000-000096050000}"/>
    <cellStyle name="60% - Accent2 4 10" xfId="1441" xr:uid="{00000000-0005-0000-0000-000097050000}"/>
    <cellStyle name="60% - Accent2 4 10 2" xfId="1442" xr:uid="{00000000-0005-0000-0000-000098050000}"/>
    <cellStyle name="60% - Accent2 4 11" xfId="1443" xr:uid="{00000000-0005-0000-0000-000099050000}"/>
    <cellStyle name="60% - Accent2 4 11 2" xfId="1444" xr:uid="{00000000-0005-0000-0000-00009A050000}"/>
    <cellStyle name="60% - Accent2 4 12" xfId="1445" xr:uid="{00000000-0005-0000-0000-00009B050000}"/>
    <cellStyle name="60% - Accent2 4 12 2" xfId="1446" xr:uid="{00000000-0005-0000-0000-00009C050000}"/>
    <cellStyle name="60% - Accent2 4 13" xfId="1447" xr:uid="{00000000-0005-0000-0000-00009D050000}"/>
    <cellStyle name="60% - Accent2 4 2" xfId="1448" xr:uid="{00000000-0005-0000-0000-00009E050000}"/>
    <cellStyle name="60% - Accent2 4 2 2" xfId="1449" xr:uid="{00000000-0005-0000-0000-00009F050000}"/>
    <cellStyle name="60% - Accent2 4 3" xfId="1450" xr:uid="{00000000-0005-0000-0000-0000A0050000}"/>
    <cellStyle name="60% - Accent2 4 3 2" xfId="1451" xr:uid="{00000000-0005-0000-0000-0000A1050000}"/>
    <cellStyle name="60% - Accent2 4 4" xfId="1452" xr:uid="{00000000-0005-0000-0000-0000A2050000}"/>
    <cellStyle name="60% - Accent2 4 4 2" xfId="1453" xr:uid="{00000000-0005-0000-0000-0000A3050000}"/>
    <cellStyle name="60% - Accent2 4 5" xfId="1454" xr:uid="{00000000-0005-0000-0000-0000A4050000}"/>
    <cellStyle name="60% - Accent2 4 5 2" xfId="1455" xr:uid="{00000000-0005-0000-0000-0000A5050000}"/>
    <cellStyle name="60% - Accent2 4 6" xfId="1456" xr:uid="{00000000-0005-0000-0000-0000A6050000}"/>
    <cellStyle name="60% - Accent2 4 6 2" xfId="1457" xr:uid="{00000000-0005-0000-0000-0000A7050000}"/>
    <cellStyle name="60% - Accent2 4 7" xfId="1458" xr:uid="{00000000-0005-0000-0000-0000A8050000}"/>
    <cellStyle name="60% - Accent2 4 7 2" xfId="1459" xr:uid="{00000000-0005-0000-0000-0000A9050000}"/>
    <cellStyle name="60% - Accent2 4 8" xfId="1460" xr:uid="{00000000-0005-0000-0000-0000AA050000}"/>
    <cellStyle name="60% - Accent2 4 8 2" xfId="1461" xr:uid="{00000000-0005-0000-0000-0000AB050000}"/>
    <cellStyle name="60% - Accent2 4 9" xfId="1462" xr:uid="{00000000-0005-0000-0000-0000AC050000}"/>
    <cellStyle name="60% - Accent2 4 9 2" xfId="1463" xr:uid="{00000000-0005-0000-0000-0000AD050000}"/>
    <cellStyle name="60% - Accent2 5" xfId="1464" xr:uid="{00000000-0005-0000-0000-0000AE050000}"/>
    <cellStyle name="60% - Accent2 5 10" xfId="1465" xr:uid="{00000000-0005-0000-0000-0000AF050000}"/>
    <cellStyle name="60% - Accent2 5 10 2" xfId="1466" xr:uid="{00000000-0005-0000-0000-0000B0050000}"/>
    <cellStyle name="60% - Accent2 5 11" xfId="1467" xr:uid="{00000000-0005-0000-0000-0000B1050000}"/>
    <cellStyle name="60% - Accent2 5 11 2" xfId="1468" xr:uid="{00000000-0005-0000-0000-0000B2050000}"/>
    <cellStyle name="60% - Accent2 5 12" xfId="1469" xr:uid="{00000000-0005-0000-0000-0000B3050000}"/>
    <cellStyle name="60% - Accent2 5 12 2" xfId="1470" xr:uid="{00000000-0005-0000-0000-0000B4050000}"/>
    <cellStyle name="60% - Accent2 5 13" xfId="1471" xr:uid="{00000000-0005-0000-0000-0000B5050000}"/>
    <cellStyle name="60% - Accent2 5 2" xfId="1472" xr:uid="{00000000-0005-0000-0000-0000B6050000}"/>
    <cellStyle name="60% - Accent2 5 2 2" xfId="1473" xr:uid="{00000000-0005-0000-0000-0000B7050000}"/>
    <cellStyle name="60% - Accent2 5 3" xfId="1474" xr:uid="{00000000-0005-0000-0000-0000B8050000}"/>
    <cellStyle name="60% - Accent2 5 3 2" xfId="1475" xr:uid="{00000000-0005-0000-0000-0000B9050000}"/>
    <cellStyle name="60% - Accent2 5 4" xfId="1476" xr:uid="{00000000-0005-0000-0000-0000BA050000}"/>
    <cellStyle name="60% - Accent2 5 4 2" xfId="1477" xr:uid="{00000000-0005-0000-0000-0000BB050000}"/>
    <cellStyle name="60% - Accent2 5 5" xfId="1478" xr:uid="{00000000-0005-0000-0000-0000BC050000}"/>
    <cellStyle name="60% - Accent2 5 5 2" xfId="1479" xr:uid="{00000000-0005-0000-0000-0000BD050000}"/>
    <cellStyle name="60% - Accent2 5 6" xfId="1480" xr:uid="{00000000-0005-0000-0000-0000BE050000}"/>
    <cellStyle name="60% - Accent2 5 6 2" xfId="1481" xr:uid="{00000000-0005-0000-0000-0000BF050000}"/>
    <cellStyle name="60% - Accent2 5 7" xfId="1482" xr:uid="{00000000-0005-0000-0000-0000C0050000}"/>
    <cellStyle name="60% - Accent2 5 7 2" xfId="1483" xr:uid="{00000000-0005-0000-0000-0000C1050000}"/>
    <cellStyle name="60% - Accent2 5 8" xfId="1484" xr:uid="{00000000-0005-0000-0000-0000C2050000}"/>
    <cellStyle name="60% - Accent2 5 8 2" xfId="1485" xr:uid="{00000000-0005-0000-0000-0000C3050000}"/>
    <cellStyle name="60% - Accent2 5 9" xfId="1486" xr:uid="{00000000-0005-0000-0000-0000C4050000}"/>
    <cellStyle name="60% - Accent2 5 9 2" xfId="1487" xr:uid="{00000000-0005-0000-0000-0000C5050000}"/>
    <cellStyle name="60% - Accent2 6" xfId="1488" xr:uid="{00000000-0005-0000-0000-0000C6050000}"/>
    <cellStyle name="60% - Accent2 6 10" xfId="1489" xr:uid="{00000000-0005-0000-0000-0000C7050000}"/>
    <cellStyle name="60% - Accent2 6 11" xfId="1490" xr:uid="{00000000-0005-0000-0000-0000C8050000}"/>
    <cellStyle name="60% - Accent2 6 12" xfId="1491" xr:uid="{00000000-0005-0000-0000-0000C9050000}"/>
    <cellStyle name="60% - Accent2 6 2" xfId="1492" xr:uid="{00000000-0005-0000-0000-0000CA050000}"/>
    <cellStyle name="60% - Accent2 6 3" xfId="1493" xr:uid="{00000000-0005-0000-0000-0000CB050000}"/>
    <cellStyle name="60% - Accent2 6 4" xfId="1494" xr:uid="{00000000-0005-0000-0000-0000CC050000}"/>
    <cellStyle name="60% - Accent2 6 5" xfId="1495" xr:uid="{00000000-0005-0000-0000-0000CD050000}"/>
    <cellStyle name="60% - Accent2 6 6" xfId="1496" xr:uid="{00000000-0005-0000-0000-0000CE050000}"/>
    <cellStyle name="60% - Accent2 6 7" xfId="1497" xr:uid="{00000000-0005-0000-0000-0000CF050000}"/>
    <cellStyle name="60% - Accent2 6 8" xfId="1498" xr:uid="{00000000-0005-0000-0000-0000D0050000}"/>
    <cellStyle name="60% - Accent2 6 9" xfId="1499" xr:uid="{00000000-0005-0000-0000-0000D1050000}"/>
    <cellStyle name="60% - Accent2 7" xfId="1500" xr:uid="{00000000-0005-0000-0000-0000D2050000}"/>
    <cellStyle name="60% - Accent2 7 10" xfId="1501" xr:uid="{00000000-0005-0000-0000-0000D3050000}"/>
    <cellStyle name="60% - Accent2 7 11" xfId="1502" xr:uid="{00000000-0005-0000-0000-0000D4050000}"/>
    <cellStyle name="60% - Accent2 7 12" xfId="1503" xr:uid="{00000000-0005-0000-0000-0000D5050000}"/>
    <cellStyle name="60% - Accent2 7 2" xfId="1504" xr:uid="{00000000-0005-0000-0000-0000D6050000}"/>
    <cellStyle name="60% - Accent2 7 3" xfId="1505" xr:uid="{00000000-0005-0000-0000-0000D7050000}"/>
    <cellStyle name="60% - Accent2 7 4" xfId="1506" xr:uid="{00000000-0005-0000-0000-0000D8050000}"/>
    <cellStyle name="60% - Accent2 7 5" xfId="1507" xr:uid="{00000000-0005-0000-0000-0000D9050000}"/>
    <cellStyle name="60% - Accent2 7 6" xfId="1508" xr:uid="{00000000-0005-0000-0000-0000DA050000}"/>
    <cellStyle name="60% - Accent2 7 7" xfId="1509" xr:uid="{00000000-0005-0000-0000-0000DB050000}"/>
    <cellStyle name="60% - Accent2 7 8" xfId="1510" xr:uid="{00000000-0005-0000-0000-0000DC050000}"/>
    <cellStyle name="60% - Accent2 7 9" xfId="1511" xr:uid="{00000000-0005-0000-0000-0000DD050000}"/>
    <cellStyle name="60% - Accent2 8" xfId="1512" xr:uid="{00000000-0005-0000-0000-0000DE050000}"/>
    <cellStyle name="60% - Accent2 8 10" xfId="1513" xr:uid="{00000000-0005-0000-0000-0000DF050000}"/>
    <cellStyle name="60% - Accent2 8 11" xfId="1514" xr:uid="{00000000-0005-0000-0000-0000E0050000}"/>
    <cellStyle name="60% - Accent2 8 12" xfId="1515" xr:uid="{00000000-0005-0000-0000-0000E1050000}"/>
    <cellStyle name="60% - Accent2 8 2" xfId="1516" xr:uid="{00000000-0005-0000-0000-0000E2050000}"/>
    <cellStyle name="60% - Accent2 8 3" xfId="1517" xr:uid="{00000000-0005-0000-0000-0000E3050000}"/>
    <cellStyle name="60% - Accent2 8 4" xfId="1518" xr:uid="{00000000-0005-0000-0000-0000E4050000}"/>
    <cellStyle name="60% - Accent2 8 5" xfId="1519" xr:uid="{00000000-0005-0000-0000-0000E5050000}"/>
    <cellStyle name="60% - Accent2 8 6" xfId="1520" xr:uid="{00000000-0005-0000-0000-0000E6050000}"/>
    <cellStyle name="60% - Accent2 8 7" xfId="1521" xr:uid="{00000000-0005-0000-0000-0000E7050000}"/>
    <cellStyle name="60% - Accent2 8 8" xfId="1522" xr:uid="{00000000-0005-0000-0000-0000E8050000}"/>
    <cellStyle name="60% - Accent2 8 9" xfId="1523" xr:uid="{00000000-0005-0000-0000-0000E9050000}"/>
    <cellStyle name="60% - Accent2 9" xfId="1524" xr:uid="{00000000-0005-0000-0000-0000EA050000}"/>
    <cellStyle name="60% - Accent2 9 2" xfId="1525" xr:uid="{00000000-0005-0000-0000-0000EB050000}"/>
    <cellStyle name="60% - Accent3 10" xfId="1526" xr:uid="{00000000-0005-0000-0000-0000EC050000}"/>
    <cellStyle name="60% - Accent3 2" xfId="1527" xr:uid="{00000000-0005-0000-0000-0000ED050000}"/>
    <cellStyle name="60% - Accent3 2 10" xfId="1528" xr:uid="{00000000-0005-0000-0000-0000EE050000}"/>
    <cellStyle name="60% - Accent3 2 10 2" xfId="1529" xr:uid="{00000000-0005-0000-0000-0000EF050000}"/>
    <cellStyle name="60% - Accent3 2 11" xfId="1530" xr:uid="{00000000-0005-0000-0000-0000F0050000}"/>
    <cellStyle name="60% - Accent3 2 11 2" xfId="1531" xr:uid="{00000000-0005-0000-0000-0000F1050000}"/>
    <cellStyle name="60% - Accent3 2 12" xfId="1532" xr:uid="{00000000-0005-0000-0000-0000F2050000}"/>
    <cellStyle name="60% - Accent3 2 12 2" xfId="1533" xr:uid="{00000000-0005-0000-0000-0000F3050000}"/>
    <cellStyle name="60% - Accent3 2 13" xfId="1534" xr:uid="{00000000-0005-0000-0000-0000F4050000}"/>
    <cellStyle name="60% - Accent3 2 2" xfId="1535" xr:uid="{00000000-0005-0000-0000-0000F5050000}"/>
    <cellStyle name="60% - Accent3 2 2 2" xfId="1536" xr:uid="{00000000-0005-0000-0000-0000F6050000}"/>
    <cellStyle name="60% - Accent3 2 3" xfId="1537" xr:uid="{00000000-0005-0000-0000-0000F7050000}"/>
    <cellStyle name="60% - Accent3 2 3 2" xfId="1538" xr:uid="{00000000-0005-0000-0000-0000F8050000}"/>
    <cellStyle name="60% - Accent3 2 4" xfId="1539" xr:uid="{00000000-0005-0000-0000-0000F9050000}"/>
    <cellStyle name="60% - Accent3 2 4 2" xfId="1540" xr:uid="{00000000-0005-0000-0000-0000FA050000}"/>
    <cellStyle name="60% - Accent3 2 5" xfId="1541" xr:uid="{00000000-0005-0000-0000-0000FB050000}"/>
    <cellStyle name="60% - Accent3 2 5 2" xfId="1542" xr:uid="{00000000-0005-0000-0000-0000FC050000}"/>
    <cellStyle name="60% - Accent3 2 6" xfId="1543" xr:uid="{00000000-0005-0000-0000-0000FD050000}"/>
    <cellStyle name="60% - Accent3 2 6 2" xfId="1544" xr:uid="{00000000-0005-0000-0000-0000FE050000}"/>
    <cellStyle name="60% - Accent3 2 7" xfId="1545" xr:uid="{00000000-0005-0000-0000-0000FF050000}"/>
    <cellStyle name="60% - Accent3 2 7 2" xfId="1546" xr:uid="{00000000-0005-0000-0000-000000060000}"/>
    <cellStyle name="60% - Accent3 2 8" xfId="1547" xr:uid="{00000000-0005-0000-0000-000001060000}"/>
    <cellStyle name="60% - Accent3 2 8 2" xfId="1548" xr:uid="{00000000-0005-0000-0000-000002060000}"/>
    <cellStyle name="60% - Accent3 2 9" xfId="1549" xr:uid="{00000000-0005-0000-0000-000003060000}"/>
    <cellStyle name="60% - Accent3 2 9 2" xfId="1550" xr:uid="{00000000-0005-0000-0000-000004060000}"/>
    <cellStyle name="60% - Accent3 3" xfId="1551" xr:uid="{00000000-0005-0000-0000-000005060000}"/>
    <cellStyle name="60% - Accent3 3 10" xfId="1552" xr:uid="{00000000-0005-0000-0000-000006060000}"/>
    <cellStyle name="60% - Accent3 3 10 2" xfId="1553" xr:uid="{00000000-0005-0000-0000-000007060000}"/>
    <cellStyle name="60% - Accent3 3 11" xfId="1554" xr:uid="{00000000-0005-0000-0000-000008060000}"/>
    <cellStyle name="60% - Accent3 3 11 2" xfId="1555" xr:uid="{00000000-0005-0000-0000-000009060000}"/>
    <cellStyle name="60% - Accent3 3 12" xfId="1556" xr:uid="{00000000-0005-0000-0000-00000A060000}"/>
    <cellStyle name="60% - Accent3 3 12 2" xfId="1557" xr:uid="{00000000-0005-0000-0000-00000B060000}"/>
    <cellStyle name="60% - Accent3 3 13" xfId="1558" xr:uid="{00000000-0005-0000-0000-00000C060000}"/>
    <cellStyle name="60% - Accent3 3 2" xfId="1559" xr:uid="{00000000-0005-0000-0000-00000D060000}"/>
    <cellStyle name="60% - Accent3 3 2 2" xfId="1560" xr:uid="{00000000-0005-0000-0000-00000E060000}"/>
    <cellStyle name="60% - Accent3 3 3" xfId="1561" xr:uid="{00000000-0005-0000-0000-00000F060000}"/>
    <cellStyle name="60% - Accent3 3 3 2" xfId="1562" xr:uid="{00000000-0005-0000-0000-000010060000}"/>
    <cellStyle name="60% - Accent3 3 4" xfId="1563" xr:uid="{00000000-0005-0000-0000-000011060000}"/>
    <cellStyle name="60% - Accent3 3 4 2" xfId="1564" xr:uid="{00000000-0005-0000-0000-000012060000}"/>
    <cellStyle name="60% - Accent3 3 5" xfId="1565" xr:uid="{00000000-0005-0000-0000-000013060000}"/>
    <cellStyle name="60% - Accent3 3 5 2" xfId="1566" xr:uid="{00000000-0005-0000-0000-000014060000}"/>
    <cellStyle name="60% - Accent3 3 6" xfId="1567" xr:uid="{00000000-0005-0000-0000-000015060000}"/>
    <cellStyle name="60% - Accent3 3 6 2" xfId="1568" xr:uid="{00000000-0005-0000-0000-000016060000}"/>
    <cellStyle name="60% - Accent3 3 7" xfId="1569" xr:uid="{00000000-0005-0000-0000-000017060000}"/>
    <cellStyle name="60% - Accent3 3 7 2" xfId="1570" xr:uid="{00000000-0005-0000-0000-000018060000}"/>
    <cellStyle name="60% - Accent3 3 8" xfId="1571" xr:uid="{00000000-0005-0000-0000-000019060000}"/>
    <cellStyle name="60% - Accent3 3 8 2" xfId="1572" xr:uid="{00000000-0005-0000-0000-00001A060000}"/>
    <cellStyle name="60% - Accent3 3 9" xfId="1573" xr:uid="{00000000-0005-0000-0000-00001B060000}"/>
    <cellStyle name="60% - Accent3 3 9 2" xfId="1574" xr:uid="{00000000-0005-0000-0000-00001C060000}"/>
    <cellStyle name="60% - Accent3 4" xfId="1575" xr:uid="{00000000-0005-0000-0000-00001D060000}"/>
    <cellStyle name="60% - Accent3 4 10" xfId="1576" xr:uid="{00000000-0005-0000-0000-00001E060000}"/>
    <cellStyle name="60% - Accent3 4 10 2" xfId="1577" xr:uid="{00000000-0005-0000-0000-00001F060000}"/>
    <cellStyle name="60% - Accent3 4 11" xfId="1578" xr:uid="{00000000-0005-0000-0000-000020060000}"/>
    <cellStyle name="60% - Accent3 4 11 2" xfId="1579" xr:uid="{00000000-0005-0000-0000-000021060000}"/>
    <cellStyle name="60% - Accent3 4 12" xfId="1580" xr:uid="{00000000-0005-0000-0000-000022060000}"/>
    <cellStyle name="60% - Accent3 4 12 2" xfId="1581" xr:uid="{00000000-0005-0000-0000-000023060000}"/>
    <cellStyle name="60% - Accent3 4 13" xfId="1582" xr:uid="{00000000-0005-0000-0000-000024060000}"/>
    <cellStyle name="60% - Accent3 4 2" xfId="1583" xr:uid="{00000000-0005-0000-0000-000025060000}"/>
    <cellStyle name="60% - Accent3 4 2 2" xfId="1584" xr:uid="{00000000-0005-0000-0000-000026060000}"/>
    <cellStyle name="60% - Accent3 4 3" xfId="1585" xr:uid="{00000000-0005-0000-0000-000027060000}"/>
    <cellStyle name="60% - Accent3 4 3 2" xfId="1586" xr:uid="{00000000-0005-0000-0000-000028060000}"/>
    <cellStyle name="60% - Accent3 4 4" xfId="1587" xr:uid="{00000000-0005-0000-0000-000029060000}"/>
    <cellStyle name="60% - Accent3 4 4 2" xfId="1588" xr:uid="{00000000-0005-0000-0000-00002A060000}"/>
    <cellStyle name="60% - Accent3 4 5" xfId="1589" xr:uid="{00000000-0005-0000-0000-00002B060000}"/>
    <cellStyle name="60% - Accent3 4 5 2" xfId="1590" xr:uid="{00000000-0005-0000-0000-00002C060000}"/>
    <cellStyle name="60% - Accent3 4 6" xfId="1591" xr:uid="{00000000-0005-0000-0000-00002D060000}"/>
    <cellStyle name="60% - Accent3 4 6 2" xfId="1592" xr:uid="{00000000-0005-0000-0000-00002E060000}"/>
    <cellStyle name="60% - Accent3 4 7" xfId="1593" xr:uid="{00000000-0005-0000-0000-00002F060000}"/>
    <cellStyle name="60% - Accent3 4 7 2" xfId="1594" xr:uid="{00000000-0005-0000-0000-000030060000}"/>
    <cellStyle name="60% - Accent3 4 8" xfId="1595" xr:uid="{00000000-0005-0000-0000-000031060000}"/>
    <cellStyle name="60% - Accent3 4 8 2" xfId="1596" xr:uid="{00000000-0005-0000-0000-000032060000}"/>
    <cellStyle name="60% - Accent3 4 9" xfId="1597" xr:uid="{00000000-0005-0000-0000-000033060000}"/>
    <cellStyle name="60% - Accent3 4 9 2" xfId="1598" xr:uid="{00000000-0005-0000-0000-000034060000}"/>
    <cellStyle name="60% - Accent3 5" xfId="1599" xr:uid="{00000000-0005-0000-0000-000035060000}"/>
    <cellStyle name="60% - Accent3 5 10" xfId="1600" xr:uid="{00000000-0005-0000-0000-000036060000}"/>
    <cellStyle name="60% - Accent3 5 10 2" xfId="1601" xr:uid="{00000000-0005-0000-0000-000037060000}"/>
    <cellStyle name="60% - Accent3 5 11" xfId="1602" xr:uid="{00000000-0005-0000-0000-000038060000}"/>
    <cellStyle name="60% - Accent3 5 11 2" xfId="1603" xr:uid="{00000000-0005-0000-0000-000039060000}"/>
    <cellStyle name="60% - Accent3 5 12" xfId="1604" xr:uid="{00000000-0005-0000-0000-00003A060000}"/>
    <cellStyle name="60% - Accent3 5 12 2" xfId="1605" xr:uid="{00000000-0005-0000-0000-00003B060000}"/>
    <cellStyle name="60% - Accent3 5 13" xfId="1606" xr:uid="{00000000-0005-0000-0000-00003C060000}"/>
    <cellStyle name="60% - Accent3 5 2" xfId="1607" xr:uid="{00000000-0005-0000-0000-00003D060000}"/>
    <cellStyle name="60% - Accent3 5 2 2" xfId="1608" xr:uid="{00000000-0005-0000-0000-00003E060000}"/>
    <cellStyle name="60% - Accent3 5 3" xfId="1609" xr:uid="{00000000-0005-0000-0000-00003F060000}"/>
    <cellStyle name="60% - Accent3 5 3 2" xfId="1610" xr:uid="{00000000-0005-0000-0000-000040060000}"/>
    <cellStyle name="60% - Accent3 5 4" xfId="1611" xr:uid="{00000000-0005-0000-0000-000041060000}"/>
    <cellStyle name="60% - Accent3 5 4 2" xfId="1612" xr:uid="{00000000-0005-0000-0000-000042060000}"/>
    <cellStyle name="60% - Accent3 5 5" xfId="1613" xr:uid="{00000000-0005-0000-0000-000043060000}"/>
    <cellStyle name="60% - Accent3 5 5 2" xfId="1614" xr:uid="{00000000-0005-0000-0000-000044060000}"/>
    <cellStyle name="60% - Accent3 5 6" xfId="1615" xr:uid="{00000000-0005-0000-0000-000045060000}"/>
    <cellStyle name="60% - Accent3 5 6 2" xfId="1616" xr:uid="{00000000-0005-0000-0000-000046060000}"/>
    <cellStyle name="60% - Accent3 5 7" xfId="1617" xr:uid="{00000000-0005-0000-0000-000047060000}"/>
    <cellStyle name="60% - Accent3 5 7 2" xfId="1618" xr:uid="{00000000-0005-0000-0000-000048060000}"/>
    <cellStyle name="60% - Accent3 5 8" xfId="1619" xr:uid="{00000000-0005-0000-0000-000049060000}"/>
    <cellStyle name="60% - Accent3 5 8 2" xfId="1620" xr:uid="{00000000-0005-0000-0000-00004A060000}"/>
    <cellStyle name="60% - Accent3 5 9" xfId="1621" xr:uid="{00000000-0005-0000-0000-00004B060000}"/>
    <cellStyle name="60% - Accent3 5 9 2" xfId="1622" xr:uid="{00000000-0005-0000-0000-00004C060000}"/>
    <cellStyle name="60% - Accent3 6" xfId="1623" xr:uid="{00000000-0005-0000-0000-00004D060000}"/>
    <cellStyle name="60% - Accent3 6 10" xfId="1624" xr:uid="{00000000-0005-0000-0000-00004E060000}"/>
    <cellStyle name="60% - Accent3 6 11" xfId="1625" xr:uid="{00000000-0005-0000-0000-00004F060000}"/>
    <cellStyle name="60% - Accent3 6 12" xfId="1626" xr:uid="{00000000-0005-0000-0000-000050060000}"/>
    <cellStyle name="60% - Accent3 6 2" xfId="1627" xr:uid="{00000000-0005-0000-0000-000051060000}"/>
    <cellStyle name="60% - Accent3 6 3" xfId="1628" xr:uid="{00000000-0005-0000-0000-000052060000}"/>
    <cellStyle name="60% - Accent3 6 4" xfId="1629" xr:uid="{00000000-0005-0000-0000-000053060000}"/>
    <cellStyle name="60% - Accent3 6 5" xfId="1630" xr:uid="{00000000-0005-0000-0000-000054060000}"/>
    <cellStyle name="60% - Accent3 6 6" xfId="1631" xr:uid="{00000000-0005-0000-0000-000055060000}"/>
    <cellStyle name="60% - Accent3 6 7" xfId="1632" xr:uid="{00000000-0005-0000-0000-000056060000}"/>
    <cellStyle name="60% - Accent3 6 8" xfId="1633" xr:uid="{00000000-0005-0000-0000-000057060000}"/>
    <cellStyle name="60% - Accent3 6 9" xfId="1634" xr:uid="{00000000-0005-0000-0000-000058060000}"/>
    <cellStyle name="60% - Accent3 7" xfId="1635" xr:uid="{00000000-0005-0000-0000-000059060000}"/>
    <cellStyle name="60% - Accent3 7 10" xfId="1636" xr:uid="{00000000-0005-0000-0000-00005A060000}"/>
    <cellStyle name="60% - Accent3 7 11" xfId="1637" xr:uid="{00000000-0005-0000-0000-00005B060000}"/>
    <cellStyle name="60% - Accent3 7 12" xfId="1638" xr:uid="{00000000-0005-0000-0000-00005C060000}"/>
    <cellStyle name="60% - Accent3 7 2" xfId="1639" xr:uid="{00000000-0005-0000-0000-00005D060000}"/>
    <cellStyle name="60% - Accent3 7 3" xfId="1640" xr:uid="{00000000-0005-0000-0000-00005E060000}"/>
    <cellStyle name="60% - Accent3 7 4" xfId="1641" xr:uid="{00000000-0005-0000-0000-00005F060000}"/>
    <cellStyle name="60% - Accent3 7 5" xfId="1642" xr:uid="{00000000-0005-0000-0000-000060060000}"/>
    <cellStyle name="60% - Accent3 7 6" xfId="1643" xr:uid="{00000000-0005-0000-0000-000061060000}"/>
    <cellStyle name="60% - Accent3 7 7" xfId="1644" xr:uid="{00000000-0005-0000-0000-000062060000}"/>
    <cellStyle name="60% - Accent3 7 8" xfId="1645" xr:uid="{00000000-0005-0000-0000-000063060000}"/>
    <cellStyle name="60% - Accent3 7 9" xfId="1646" xr:uid="{00000000-0005-0000-0000-000064060000}"/>
    <cellStyle name="60% - Accent3 8" xfId="1647" xr:uid="{00000000-0005-0000-0000-000065060000}"/>
    <cellStyle name="60% - Accent3 8 10" xfId="1648" xr:uid="{00000000-0005-0000-0000-000066060000}"/>
    <cellStyle name="60% - Accent3 8 11" xfId="1649" xr:uid="{00000000-0005-0000-0000-000067060000}"/>
    <cellStyle name="60% - Accent3 8 12" xfId="1650" xr:uid="{00000000-0005-0000-0000-000068060000}"/>
    <cellStyle name="60% - Accent3 8 2" xfId="1651" xr:uid="{00000000-0005-0000-0000-000069060000}"/>
    <cellStyle name="60% - Accent3 8 3" xfId="1652" xr:uid="{00000000-0005-0000-0000-00006A060000}"/>
    <cellStyle name="60% - Accent3 8 4" xfId="1653" xr:uid="{00000000-0005-0000-0000-00006B060000}"/>
    <cellStyle name="60% - Accent3 8 5" xfId="1654" xr:uid="{00000000-0005-0000-0000-00006C060000}"/>
    <cellStyle name="60% - Accent3 8 6" xfId="1655" xr:uid="{00000000-0005-0000-0000-00006D060000}"/>
    <cellStyle name="60% - Accent3 8 7" xfId="1656" xr:uid="{00000000-0005-0000-0000-00006E060000}"/>
    <cellStyle name="60% - Accent3 8 8" xfId="1657" xr:uid="{00000000-0005-0000-0000-00006F060000}"/>
    <cellStyle name="60% - Accent3 8 9" xfId="1658" xr:uid="{00000000-0005-0000-0000-000070060000}"/>
    <cellStyle name="60% - Accent3 9" xfId="1659" xr:uid="{00000000-0005-0000-0000-000071060000}"/>
    <cellStyle name="60% - Accent3 9 2" xfId="1660" xr:uid="{00000000-0005-0000-0000-000072060000}"/>
    <cellStyle name="60% - Accent4 10" xfId="1661" xr:uid="{00000000-0005-0000-0000-000073060000}"/>
    <cellStyle name="60% - Accent4 2" xfId="1662" xr:uid="{00000000-0005-0000-0000-000074060000}"/>
    <cellStyle name="60% - Accent4 2 10" xfId="1663" xr:uid="{00000000-0005-0000-0000-000075060000}"/>
    <cellStyle name="60% - Accent4 2 10 2" xfId="1664" xr:uid="{00000000-0005-0000-0000-000076060000}"/>
    <cellStyle name="60% - Accent4 2 11" xfId="1665" xr:uid="{00000000-0005-0000-0000-000077060000}"/>
    <cellStyle name="60% - Accent4 2 11 2" xfId="1666" xr:uid="{00000000-0005-0000-0000-000078060000}"/>
    <cellStyle name="60% - Accent4 2 12" xfId="1667" xr:uid="{00000000-0005-0000-0000-000079060000}"/>
    <cellStyle name="60% - Accent4 2 12 2" xfId="1668" xr:uid="{00000000-0005-0000-0000-00007A060000}"/>
    <cellStyle name="60% - Accent4 2 13" xfId="1669" xr:uid="{00000000-0005-0000-0000-00007B060000}"/>
    <cellStyle name="60% - Accent4 2 2" xfId="1670" xr:uid="{00000000-0005-0000-0000-00007C060000}"/>
    <cellStyle name="60% - Accent4 2 2 2" xfId="1671" xr:uid="{00000000-0005-0000-0000-00007D060000}"/>
    <cellStyle name="60% - Accent4 2 3" xfId="1672" xr:uid="{00000000-0005-0000-0000-00007E060000}"/>
    <cellStyle name="60% - Accent4 2 3 2" xfId="1673" xr:uid="{00000000-0005-0000-0000-00007F060000}"/>
    <cellStyle name="60% - Accent4 2 4" xfId="1674" xr:uid="{00000000-0005-0000-0000-000080060000}"/>
    <cellStyle name="60% - Accent4 2 4 2" xfId="1675" xr:uid="{00000000-0005-0000-0000-000081060000}"/>
    <cellStyle name="60% - Accent4 2 5" xfId="1676" xr:uid="{00000000-0005-0000-0000-000082060000}"/>
    <cellStyle name="60% - Accent4 2 5 2" xfId="1677" xr:uid="{00000000-0005-0000-0000-000083060000}"/>
    <cellStyle name="60% - Accent4 2 6" xfId="1678" xr:uid="{00000000-0005-0000-0000-000084060000}"/>
    <cellStyle name="60% - Accent4 2 6 2" xfId="1679" xr:uid="{00000000-0005-0000-0000-000085060000}"/>
    <cellStyle name="60% - Accent4 2 7" xfId="1680" xr:uid="{00000000-0005-0000-0000-000086060000}"/>
    <cellStyle name="60% - Accent4 2 7 2" xfId="1681" xr:uid="{00000000-0005-0000-0000-000087060000}"/>
    <cellStyle name="60% - Accent4 2 8" xfId="1682" xr:uid="{00000000-0005-0000-0000-000088060000}"/>
    <cellStyle name="60% - Accent4 2 8 2" xfId="1683" xr:uid="{00000000-0005-0000-0000-000089060000}"/>
    <cellStyle name="60% - Accent4 2 9" xfId="1684" xr:uid="{00000000-0005-0000-0000-00008A060000}"/>
    <cellStyle name="60% - Accent4 2 9 2" xfId="1685" xr:uid="{00000000-0005-0000-0000-00008B060000}"/>
    <cellStyle name="60% - Accent4 3" xfId="1686" xr:uid="{00000000-0005-0000-0000-00008C060000}"/>
    <cellStyle name="60% - Accent4 3 10" xfId="1687" xr:uid="{00000000-0005-0000-0000-00008D060000}"/>
    <cellStyle name="60% - Accent4 3 10 2" xfId="1688" xr:uid="{00000000-0005-0000-0000-00008E060000}"/>
    <cellStyle name="60% - Accent4 3 11" xfId="1689" xr:uid="{00000000-0005-0000-0000-00008F060000}"/>
    <cellStyle name="60% - Accent4 3 11 2" xfId="1690" xr:uid="{00000000-0005-0000-0000-000090060000}"/>
    <cellStyle name="60% - Accent4 3 12" xfId="1691" xr:uid="{00000000-0005-0000-0000-000091060000}"/>
    <cellStyle name="60% - Accent4 3 12 2" xfId="1692" xr:uid="{00000000-0005-0000-0000-000092060000}"/>
    <cellStyle name="60% - Accent4 3 13" xfId="1693" xr:uid="{00000000-0005-0000-0000-000093060000}"/>
    <cellStyle name="60% - Accent4 3 2" xfId="1694" xr:uid="{00000000-0005-0000-0000-000094060000}"/>
    <cellStyle name="60% - Accent4 3 2 2" xfId="1695" xr:uid="{00000000-0005-0000-0000-000095060000}"/>
    <cellStyle name="60% - Accent4 3 3" xfId="1696" xr:uid="{00000000-0005-0000-0000-000096060000}"/>
    <cellStyle name="60% - Accent4 3 3 2" xfId="1697" xr:uid="{00000000-0005-0000-0000-000097060000}"/>
    <cellStyle name="60% - Accent4 3 4" xfId="1698" xr:uid="{00000000-0005-0000-0000-000098060000}"/>
    <cellStyle name="60% - Accent4 3 4 2" xfId="1699" xr:uid="{00000000-0005-0000-0000-000099060000}"/>
    <cellStyle name="60% - Accent4 3 5" xfId="1700" xr:uid="{00000000-0005-0000-0000-00009A060000}"/>
    <cellStyle name="60% - Accent4 3 5 2" xfId="1701" xr:uid="{00000000-0005-0000-0000-00009B060000}"/>
    <cellStyle name="60% - Accent4 3 6" xfId="1702" xr:uid="{00000000-0005-0000-0000-00009C060000}"/>
    <cellStyle name="60% - Accent4 3 6 2" xfId="1703" xr:uid="{00000000-0005-0000-0000-00009D060000}"/>
    <cellStyle name="60% - Accent4 3 7" xfId="1704" xr:uid="{00000000-0005-0000-0000-00009E060000}"/>
    <cellStyle name="60% - Accent4 3 7 2" xfId="1705" xr:uid="{00000000-0005-0000-0000-00009F060000}"/>
    <cellStyle name="60% - Accent4 3 8" xfId="1706" xr:uid="{00000000-0005-0000-0000-0000A0060000}"/>
    <cellStyle name="60% - Accent4 3 8 2" xfId="1707" xr:uid="{00000000-0005-0000-0000-0000A1060000}"/>
    <cellStyle name="60% - Accent4 3 9" xfId="1708" xr:uid="{00000000-0005-0000-0000-0000A2060000}"/>
    <cellStyle name="60% - Accent4 3 9 2" xfId="1709" xr:uid="{00000000-0005-0000-0000-0000A3060000}"/>
    <cellStyle name="60% - Accent4 4" xfId="1710" xr:uid="{00000000-0005-0000-0000-0000A4060000}"/>
    <cellStyle name="60% - Accent4 4 10" xfId="1711" xr:uid="{00000000-0005-0000-0000-0000A5060000}"/>
    <cellStyle name="60% - Accent4 4 10 2" xfId="1712" xr:uid="{00000000-0005-0000-0000-0000A6060000}"/>
    <cellStyle name="60% - Accent4 4 11" xfId="1713" xr:uid="{00000000-0005-0000-0000-0000A7060000}"/>
    <cellStyle name="60% - Accent4 4 11 2" xfId="1714" xr:uid="{00000000-0005-0000-0000-0000A8060000}"/>
    <cellStyle name="60% - Accent4 4 12" xfId="1715" xr:uid="{00000000-0005-0000-0000-0000A9060000}"/>
    <cellStyle name="60% - Accent4 4 12 2" xfId="1716" xr:uid="{00000000-0005-0000-0000-0000AA060000}"/>
    <cellStyle name="60% - Accent4 4 13" xfId="1717" xr:uid="{00000000-0005-0000-0000-0000AB060000}"/>
    <cellStyle name="60% - Accent4 4 2" xfId="1718" xr:uid="{00000000-0005-0000-0000-0000AC060000}"/>
    <cellStyle name="60% - Accent4 4 2 2" xfId="1719" xr:uid="{00000000-0005-0000-0000-0000AD060000}"/>
    <cellStyle name="60% - Accent4 4 3" xfId="1720" xr:uid="{00000000-0005-0000-0000-0000AE060000}"/>
    <cellStyle name="60% - Accent4 4 3 2" xfId="1721" xr:uid="{00000000-0005-0000-0000-0000AF060000}"/>
    <cellStyle name="60% - Accent4 4 4" xfId="1722" xr:uid="{00000000-0005-0000-0000-0000B0060000}"/>
    <cellStyle name="60% - Accent4 4 4 2" xfId="1723" xr:uid="{00000000-0005-0000-0000-0000B1060000}"/>
    <cellStyle name="60% - Accent4 4 5" xfId="1724" xr:uid="{00000000-0005-0000-0000-0000B2060000}"/>
    <cellStyle name="60% - Accent4 4 5 2" xfId="1725" xr:uid="{00000000-0005-0000-0000-0000B3060000}"/>
    <cellStyle name="60% - Accent4 4 6" xfId="1726" xr:uid="{00000000-0005-0000-0000-0000B4060000}"/>
    <cellStyle name="60% - Accent4 4 6 2" xfId="1727" xr:uid="{00000000-0005-0000-0000-0000B5060000}"/>
    <cellStyle name="60% - Accent4 4 7" xfId="1728" xr:uid="{00000000-0005-0000-0000-0000B6060000}"/>
    <cellStyle name="60% - Accent4 4 7 2" xfId="1729" xr:uid="{00000000-0005-0000-0000-0000B7060000}"/>
    <cellStyle name="60% - Accent4 4 8" xfId="1730" xr:uid="{00000000-0005-0000-0000-0000B8060000}"/>
    <cellStyle name="60% - Accent4 4 8 2" xfId="1731" xr:uid="{00000000-0005-0000-0000-0000B9060000}"/>
    <cellStyle name="60% - Accent4 4 9" xfId="1732" xr:uid="{00000000-0005-0000-0000-0000BA060000}"/>
    <cellStyle name="60% - Accent4 4 9 2" xfId="1733" xr:uid="{00000000-0005-0000-0000-0000BB060000}"/>
    <cellStyle name="60% - Accent4 5" xfId="1734" xr:uid="{00000000-0005-0000-0000-0000BC060000}"/>
    <cellStyle name="60% - Accent4 5 10" xfId="1735" xr:uid="{00000000-0005-0000-0000-0000BD060000}"/>
    <cellStyle name="60% - Accent4 5 10 2" xfId="1736" xr:uid="{00000000-0005-0000-0000-0000BE060000}"/>
    <cellStyle name="60% - Accent4 5 11" xfId="1737" xr:uid="{00000000-0005-0000-0000-0000BF060000}"/>
    <cellStyle name="60% - Accent4 5 11 2" xfId="1738" xr:uid="{00000000-0005-0000-0000-0000C0060000}"/>
    <cellStyle name="60% - Accent4 5 12" xfId="1739" xr:uid="{00000000-0005-0000-0000-0000C1060000}"/>
    <cellStyle name="60% - Accent4 5 12 2" xfId="1740" xr:uid="{00000000-0005-0000-0000-0000C2060000}"/>
    <cellStyle name="60% - Accent4 5 13" xfId="1741" xr:uid="{00000000-0005-0000-0000-0000C3060000}"/>
    <cellStyle name="60% - Accent4 5 2" xfId="1742" xr:uid="{00000000-0005-0000-0000-0000C4060000}"/>
    <cellStyle name="60% - Accent4 5 2 2" xfId="1743" xr:uid="{00000000-0005-0000-0000-0000C5060000}"/>
    <cellStyle name="60% - Accent4 5 3" xfId="1744" xr:uid="{00000000-0005-0000-0000-0000C6060000}"/>
    <cellStyle name="60% - Accent4 5 3 2" xfId="1745" xr:uid="{00000000-0005-0000-0000-0000C7060000}"/>
    <cellStyle name="60% - Accent4 5 4" xfId="1746" xr:uid="{00000000-0005-0000-0000-0000C8060000}"/>
    <cellStyle name="60% - Accent4 5 4 2" xfId="1747" xr:uid="{00000000-0005-0000-0000-0000C9060000}"/>
    <cellStyle name="60% - Accent4 5 5" xfId="1748" xr:uid="{00000000-0005-0000-0000-0000CA060000}"/>
    <cellStyle name="60% - Accent4 5 5 2" xfId="1749" xr:uid="{00000000-0005-0000-0000-0000CB060000}"/>
    <cellStyle name="60% - Accent4 5 6" xfId="1750" xr:uid="{00000000-0005-0000-0000-0000CC060000}"/>
    <cellStyle name="60% - Accent4 5 6 2" xfId="1751" xr:uid="{00000000-0005-0000-0000-0000CD060000}"/>
    <cellStyle name="60% - Accent4 5 7" xfId="1752" xr:uid="{00000000-0005-0000-0000-0000CE060000}"/>
    <cellStyle name="60% - Accent4 5 7 2" xfId="1753" xr:uid="{00000000-0005-0000-0000-0000CF060000}"/>
    <cellStyle name="60% - Accent4 5 8" xfId="1754" xr:uid="{00000000-0005-0000-0000-0000D0060000}"/>
    <cellStyle name="60% - Accent4 5 8 2" xfId="1755" xr:uid="{00000000-0005-0000-0000-0000D1060000}"/>
    <cellStyle name="60% - Accent4 5 9" xfId="1756" xr:uid="{00000000-0005-0000-0000-0000D2060000}"/>
    <cellStyle name="60% - Accent4 5 9 2" xfId="1757" xr:uid="{00000000-0005-0000-0000-0000D3060000}"/>
    <cellStyle name="60% - Accent4 6" xfId="1758" xr:uid="{00000000-0005-0000-0000-0000D4060000}"/>
    <cellStyle name="60% - Accent4 6 10" xfId="1759" xr:uid="{00000000-0005-0000-0000-0000D5060000}"/>
    <cellStyle name="60% - Accent4 6 11" xfId="1760" xr:uid="{00000000-0005-0000-0000-0000D6060000}"/>
    <cellStyle name="60% - Accent4 6 12" xfId="1761" xr:uid="{00000000-0005-0000-0000-0000D7060000}"/>
    <cellStyle name="60% - Accent4 6 2" xfId="1762" xr:uid="{00000000-0005-0000-0000-0000D8060000}"/>
    <cellStyle name="60% - Accent4 6 3" xfId="1763" xr:uid="{00000000-0005-0000-0000-0000D9060000}"/>
    <cellStyle name="60% - Accent4 6 4" xfId="1764" xr:uid="{00000000-0005-0000-0000-0000DA060000}"/>
    <cellStyle name="60% - Accent4 6 5" xfId="1765" xr:uid="{00000000-0005-0000-0000-0000DB060000}"/>
    <cellStyle name="60% - Accent4 6 6" xfId="1766" xr:uid="{00000000-0005-0000-0000-0000DC060000}"/>
    <cellStyle name="60% - Accent4 6 7" xfId="1767" xr:uid="{00000000-0005-0000-0000-0000DD060000}"/>
    <cellStyle name="60% - Accent4 6 8" xfId="1768" xr:uid="{00000000-0005-0000-0000-0000DE060000}"/>
    <cellStyle name="60% - Accent4 6 9" xfId="1769" xr:uid="{00000000-0005-0000-0000-0000DF060000}"/>
    <cellStyle name="60% - Accent4 7" xfId="1770" xr:uid="{00000000-0005-0000-0000-0000E0060000}"/>
    <cellStyle name="60% - Accent4 7 10" xfId="1771" xr:uid="{00000000-0005-0000-0000-0000E1060000}"/>
    <cellStyle name="60% - Accent4 7 11" xfId="1772" xr:uid="{00000000-0005-0000-0000-0000E2060000}"/>
    <cellStyle name="60% - Accent4 7 12" xfId="1773" xr:uid="{00000000-0005-0000-0000-0000E3060000}"/>
    <cellStyle name="60% - Accent4 7 2" xfId="1774" xr:uid="{00000000-0005-0000-0000-0000E4060000}"/>
    <cellStyle name="60% - Accent4 7 3" xfId="1775" xr:uid="{00000000-0005-0000-0000-0000E5060000}"/>
    <cellStyle name="60% - Accent4 7 4" xfId="1776" xr:uid="{00000000-0005-0000-0000-0000E6060000}"/>
    <cellStyle name="60% - Accent4 7 5" xfId="1777" xr:uid="{00000000-0005-0000-0000-0000E7060000}"/>
    <cellStyle name="60% - Accent4 7 6" xfId="1778" xr:uid="{00000000-0005-0000-0000-0000E8060000}"/>
    <cellStyle name="60% - Accent4 7 7" xfId="1779" xr:uid="{00000000-0005-0000-0000-0000E9060000}"/>
    <cellStyle name="60% - Accent4 7 8" xfId="1780" xr:uid="{00000000-0005-0000-0000-0000EA060000}"/>
    <cellStyle name="60% - Accent4 7 9" xfId="1781" xr:uid="{00000000-0005-0000-0000-0000EB060000}"/>
    <cellStyle name="60% - Accent4 8" xfId="1782" xr:uid="{00000000-0005-0000-0000-0000EC060000}"/>
    <cellStyle name="60% - Accent4 8 10" xfId="1783" xr:uid="{00000000-0005-0000-0000-0000ED060000}"/>
    <cellStyle name="60% - Accent4 8 11" xfId="1784" xr:uid="{00000000-0005-0000-0000-0000EE060000}"/>
    <cellStyle name="60% - Accent4 8 12" xfId="1785" xr:uid="{00000000-0005-0000-0000-0000EF060000}"/>
    <cellStyle name="60% - Accent4 8 2" xfId="1786" xr:uid="{00000000-0005-0000-0000-0000F0060000}"/>
    <cellStyle name="60% - Accent4 8 3" xfId="1787" xr:uid="{00000000-0005-0000-0000-0000F1060000}"/>
    <cellStyle name="60% - Accent4 8 4" xfId="1788" xr:uid="{00000000-0005-0000-0000-0000F2060000}"/>
    <cellStyle name="60% - Accent4 8 5" xfId="1789" xr:uid="{00000000-0005-0000-0000-0000F3060000}"/>
    <cellStyle name="60% - Accent4 8 6" xfId="1790" xr:uid="{00000000-0005-0000-0000-0000F4060000}"/>
    <cellStyle name="60% - Accent4 8 7" xfId="1791" xr:uid="{00000000-0005-0000-0000-0000F5060000}"/>
    <cellStyle name="60% - Accent4 8 8" xfId="1792" xr:uid="{00000000-0005-0000-0000-0000F6060000}"/>
    <cellStyle name="60% - Accent4 8 9" xfId="1793" xr:uid="{00000000-0005-0000-0000-0000F7060000}"/>
    <cellStyle name="60% - Accent4 9" xfId="1794" xr:uid="{00000000-0005-0000-0000-0000F8060000}"/>
    <cellStyle name="60% - Accent4 9 2" xfId="1795" xr:uid="{00000000-0005-0000-0000-0000F9060000}"/>
    <cellStyle name="60% - Accent5 2" xfId="1796" xr:uid="{00000000-0005-0000-0000-0000FA060000}"/>
    <cellStyle name="60% - Accent5 2 10" xfId="1797" xr:uid="{00000000-0005-0000-0000-0000FB060000}"/>
    <cellStyle name="60% - Accent5 2 10 2" xfId="1798" xr:uid="{00000000-0005-0000-0000-0000FC060000}"/>
    <cellStyle name="60% - Accent5 2 11" xfId="1799" xr:uid="{00000000-0005-0000-0000-0000FD060000}"/>
    <cellStyle name="60% - Accent5 2 11 2" xfId="1800" xr:uid="{00000000-0005-0000-0000-0000FE060000}"/>
    <cellStyle name="60% - Accent5 2 12" xfId="1801" xr:uid="{00000000-0005-0000-0000-0000FF060000}"/>
    <cellStyle name="60% - Accent5 2 12 2" xfId="1802" xr:uid="{00000000-0005-0000-0000-000000070000}"/>
    <cellStyle name="60% - Accent5 2 13" xfId="1803" xr:uid="{00000000-0005-0000-0000-000001070000}"/>
    <cellStyle name="60% - Accent5 2 2" xfId="1804" xr:uid="{00000000-0005-0000-0000-000002070000}"/>
    <cellStyle name="60% - Accent5 2 2 2" xfId="1805" xr:uid="{00000000-0005-0000-0000-000003070000}"/>
    <cellStyle name="60% - Accent5 2 3" xfId="1806" xr:uid="{00000000-0005-0000-0000-000004070000}"/>
    <cellStyle name="60% - Accent5 2 3 2" xfId="1807" xr:uid="{00000000-0005-0000-0000-000005070000}"/>
    <cellStyle name="60% - Accent5 2 4" xfId="1808" xr:uid="{00000000-0005-0000-0000-000006070000}"/>
    <cellStyle name="60% - Accent5 2 4 2" xfId="1809" xr:uid="{00000000-0005-0000-0000-000007070000}"/>
    <cellStyle name="60% - Accent5 2 5" xfId="1810" xr:uid="{00000000-0005-0000-0000-000008070000}"/>
    <cellStyle name="60% - Accent5 2 5 2" xfId="1811" xr:uid="{00000000-0005-0000-0000-000009070000}"/>
    <cellStyle name="60% - Accent5 2 6" xfId="1812" xr:uid="{00000000-0005-0000-0000-00000A070000}"/>
    <cellStyle name="60% - Accent5 2 6 2" xfId="1813" xr:uid="{00000000-0005-0000-0000-00000B070000}"/>
    <cellStyle name="60% - Accent5 2 7" xfId="1814" xr:uid="{00000000-0005-0000-0000-00000C070000}"/>
    <cellStyle name="60% - Accent5 2 7 2" xfId="1815" xr:uid="{00000000-0005-0000-0000-00000D070000}"/>
    <cellStyle name="60% - Accent5 2 8" xfId="1816" xr:uid="{00000000-0005-0000-0000-00000E070000}"/>
    <cellStyle name="60% - Accent5 2 8 2" xfId="1817" xr:uid="{00000000-0005-0000-0000-00000F070000}"/>
    <cellStyle name="60% - Accent5 2 9" xfId="1818" xr:uid="{00000000-0005-0000-0000-000010070000}"/>
    <cellStyle name="60% - Accent5 2 9 2" xfId="1819" xr:uid="{00000000-0005-0000-0000-000011070000}"/>
    <cellStyle name="60% - Accent5 3" xfId="1820" xr:uid="{00000000-0005-0000-0000-000012070000}"/>
    <cellStyle name="60% - Accent5 3 10" xfId="1821" xr:uid="{00000000-0005-0000-0000-000013070000}"/>
    <cellStyle name="60% - Accent5 3 10 2" xfId="1822" xr:uid="{00000000-0005-0000-0000-000014070000}"/>
    <cellStyle name="60% - Accent5 3 11" xfId="1823" xr:uid="{00000000-0005-0000-0000-000015070000}"/>
    <cellStyle name="60% - Accent5 3 11 2" xfId="1824" xr:uid="{00000000-0005-0000-0000-000016070000}"/>
    <cellStyle name="60% - Accent5 3 12" xfId="1825" xr:uid="{00000000-0005-0000-0000-000017070000}"/>
    <cellStyle name="60% - Accent5 3 12 2" xfId="1826" xr:uid="{00000000-0005-0000-0000-000018070000}"/>
    <cellStyle name="60% - Accent5 3 13" xfId="1827" xr:uid="{00000000-0005-0000-0000-000019070000}"/>
    <cellStyle name="60% - Accent5 3 2" xfId="1828" xr:uid="{00000000-0005-0000-0000-00001A070000}"/>
    <cellStyle name="60% - Accent5 3 2 2" xfId="1829" xr:uid="{00000000-0005-0000-0000-00001B070000}"/>
    <cellStyle name="60% - Accent5 3 3" xfId="1830" xr:uid="{00000000-0005-0000-0000-00001C070000}"/>
    <cellStyle name="60% - Accent5 3 3 2" xfId="1831" xr:uid="{00000000-0005-0000-0000-00001D070000}"/>
    <cellStyle name="60% - Accent5 3 4" xfId="1832" xr:uid="{00000000-0005-0000-0000-00001E070000}"/>
    <cellStyle name="60% - Accent5 3 4 2" xfId="1833" xr:uid="{00000000-0005-0000-0000-00001F070000}"/>
    <cellStyle name="60% - Accent5 3 5" xfId="1834" xr:uid="{00000000-0005-0000-0000-000020070000}"/>
    <cellStyle name="60% - Accent5 3 5 2" xfId="1835" xr:uid="{00000000-0005-0000-0000-000021070000}"/>
    <cellStyle name="60% - Accent5 3 6" xfId="1836" xr:uid="{00000000-0005-0000-0000-000022070000}"/>
    <cellStyle name="60% - Accent5 3 6 2" xfId="1837" xr:uid="{00000000-0005-0000-0000-000023070000}"/>
    <cellStyle name="60% - Accent5 3 7" xfId="1838" xr:uid="{00000000-0005-0000-0000-000024070000}"/>
    <cellStyle name="60% - Accent5 3 7 2" xfId="1839" xr:uid="{00000000-0005-0000-0000-000025070000}"/>
    <cellStyle name="60% - Accent5 3 8" xfId="1840" xr:uid="{00000000-0005-0000-0000-000026070000}"/>
    <cellStyle name="60% - Accent5 3 8 2" xfId="1841" xr:uid="{00000000-0005-0000-0000-000027070000}"/>
    <cellStyle name="60% - Accent5 3 9" xfId="1842" xr:uid="{00000000-0005-0000-0000-000028070000}"/>
    <cellStyle name="60% - Accent5 3 9 2" xfId="1843" xr:uid="{00000000-0005-0000-0000-000029070000}"/>
    <cellStyle name="60% - Accent5 4" xfId="1844" xr:uid="{00000000-0005-0000-0000-00002A070000}"/>
    <cellStyle name="60% - Accent5 4 10" xfId="1845" xr:uid="{00000000-0005-0000-0000-00002B070000}"/>
    <cellStyle name="60% - Accent5 4 10 2" xfId="1846" xr:uid="{00000000-0005-0000-0000-00002C070000}"/>
    <cellStyle name="60% - Accent5 4 11" xfId="1847" xr:uid="{00000000-0005-0000-0000-00002D070000}"/>
    <cellStyle name="60% - Accent5 4 11 2" xfId="1848" xr:uid="{00000000-0005-0000-0000-00002E070000}"/>
    <cellStyle name="60% - Accent5 4 12" xfId="1849" xr:uid="{00000000-0005-0000-0000-00002F070000}"/>
    <cellStyle name="60% - Accent5 4 12 2" xfId="1850" xr:uid="{00000000-0005-0000-0000-000030070000}"/>
    <cellStyle name="60% - Accent5 4 13" xfId="1851" xr:uid="{00000000-0005-0000-0000-000031070000}"/>
    <cellStyle name="60% - Accent5 4 2" xfId="1852" xr:uid="{00000000-0005-0000-0000-000032070000}"/>
    <cellStyle name="60% - Accent5 4 2 2" xfId="1853" xr:uid="{00000000-0005-0000-0000-000033070000}"/>
    <cellStyle name="60% - Accent5 4 3" xfId="1854" xr:uid="{00000000-0005-0000-0000-000034070000}"/>
    <cellStyle name="60% - Accent5 4 3 2" xfId="1855" xr:uid="{00000000-0005-0000-0000-000035070000}"/>
    <cellStyle name="60% - Accent5 4 4" xfId="1856" xr:uid="{00000000-0005-0000-0000-000036070000}"/>
    <cellStyle name="60% - Accent5 4 4 2" xfId="1857" xr:uid="{00000000-0005-0000-0000-000037070000}"/>
    <cellStyle name="60% - Accent5 4 5" xfId="1858" xr:uid="{00000000-0005-0000-0000-000038070000}"/>
    <cellStyle name="60% - Accent5 4 5 2" xfId="1859" xr:uid="{00000000-0005-0000-0000-000039070000}"/>
    <cellStyle name="60% - Accent5 4 6" xfId="1860" xr:uid="{00000000-0005-0000-0000-00003A070000}"/>
    <cellStyle name="60% - Accent5 4 6 2" xfId="1861" xr:uid="{00000000-0005-0000-0000-00003B070000}"/>
    <cellStyle name="60% - Accent5 4 7" xfId="1862" xr:uid="{00000000-0005-0000-0000-00003C070000}"/>
    <cellStyle name="60% - Accent5 4 7 2" xfId="1863" xr:uid="{00000000-0005-0000-0000-00003D070000}"/>
    <cellStyle name="60% - Accent5 4 8" xfId="1864" xr:uid="{00000000-0005-0000-0000-00003E070000}"/>
    <cellStyle name="60% - Accent5 4 8 2" xfId="1865" xr:uid="{00000000-0005-0000-0000-00003F070000}"/>
    <cellStyle name="60% - Accent5 4 9" xfId="1866" xr:uid="{00000000-0005-0000-0000-000040070000}"/>
    <cellStyle name="60% - Accent5 4 9 2" xfId="1867" xr:uid="{00000000-0005-0000-0000-000041070000}"/>
    <cellStyle name="60% - Accent5 5" xfId="1868" xr:uid="{00000000-0005-0000-0000-000042070000}"/>
    <cellStyle name="60% - Accent5 5 10" xfId="1869" xr:uid="{00000000-0005-0000-0000-000043070000}"/>
    <cellStyle name="60% - Accent5 5 10 2" xfId="1870" xr:uid="{00000000-0005-0000-0000-000044070000}"/>
    <cellStyle name="60% - Accent5 5 11" xfId="1871" xr:uid="{00000000-0005-0000-0000-000045070000}"/>
    <cellStyle name="60% - Accent5 5 11 2" xfId="1872" xr:uid="{00000000-0005-0000-0000-000046070000}"/>
    <cellStyle name="60% - Accent5 5 12" xfId="1873" xr:uid="{00000000-0005-0000-0000-000047070000}"/>
    <cellStyle name="60% - Accent5 5 12 2" xfId="1874" xr:uid="{00000000-0005-0000-0000-000048070000}"/>
    <cellStyle name="60% - Accent5 5 13" xfId="1875" xr:uid="{00000000-0005-0000-0000-000049070000}"/>
    <cellStyle name="60% - Accent5 5 2" xfId="1876" xr:uid="{00000000-0005-0000-0000-00004A070000}"/>
    <cellStyle name="60% - Accent5 5 2 2" xfId="1877" xr:uid="{00000000-0005-0000-0000-00004B070000}"/>
    <cellStyle name="60% - Accent5 5 3" xfId="1878" xr:uid="{00000000-0005-0000-0000-00004C070000}"/>
    <cellStyle name="60% - Accent5 5 3 2" xfId="1879" xr:uid="{00000000-0005-0000-0000-00004D070000}"/>
    <cellStyle name="60% - Accent5 5 4" xfId="1880" xr:uid="{00000000-0005-0000-0000-00004E070000}"/>
    <cellStyle name="60% - Accent5 5 4 2" xfId="1881" xr:uid="{00000000-0005-0000-0000-00004F070000}"/>
    <cellStyle name="60% - Accent5 5 5" xfId="1882" xr:uid="{00000000-0005-0000-0000-000050070000}"/>
    <cellStyle name="60% - Accent5 5 5 2" xfId="1883" xr:uid="{00000000-0005-0000-0000-000051070000}"/>
    <cellStyle name="60% - Accent5 5 6" xfId="1884" xr:uid="{00000000-0005-0000-0000-000052070000}"/>
    <cellStyle name="60% - Accent5 5 6 2" xfId="1885" xr:uid="{00000000-0005-0000-0000-000053070000}"/>
    <cellStyle name="60% - Accent5 5 7" xfId="1886" xr:uid="{00000000-0005-0000-0000-000054070000}"/>
    <cellStyle name="60% - Accent5 5 7 2" xfId="1887" xr:uid="{00000000-0005-0000-0000-000055070000}"/>
    <cellStyle name="60% - Accent5 5 8" xfId="1888" xr:uid="{00000000-0005-0000-0000-000056070000}"/>
    <cellStyle name="60% - Accent5 5 8 2" xfId="1889" xr:uid="{00000000-0005-0000-0000-000057070000}"/>
    <cellStyle name="60% - Accent5 5 9" xfId="1890" xr:uid="{00000000-0005-0000-0000-000058070000}"/>
    <cellStyle name="60% - Accent5 5 9 2" xfId="1891" xr:uid="{00000000-0005-0000-0000-000059070000}"/>
    <cellStyle name="60% - Accent5 6" xfId="1892" xr:uid="{00000000-0005-0000-0000-00005A070000}"/>
    <cellStyle name="60% - Accent5 6 10" xfId="1893" xr:uid="{00000000-0005-0000-0000-00005B070000}"/>
    <cellStyle name="60% - Accent5 6 11" xfId="1894" xr:uid="{00000000-0005-0000-0000-00005C070000}"/>
    <cellStyle name="60% - Accent5 6 12" xfId="1895" xr:uid="{00000000-0005-0000-0000-00005D070000}"/>
    <cellStyle name="60% - Accent5 6 2" xfId="1896" xr:uid="{00000000-0005-0000-0000-00005E070000}"/>
    <cellStyle name="60% - Accent5 6 3" xfId="1897" xr:uid="{00000000-0005-0000-0000-00005F070000}"/>
    <cellStyle name="60% - Accent5 6 4" xfId="1898" xr:uid="{00000000-0005-0000-0000-000060070000}"/>
    <cellStyle name="60% - Accent5 6 5" xfId="1899" xr:uid="{00000000-0005-0000-0000-000061070000}"/>
    <cellStyle name="60% - Accent5 6 6" xfId="1900" xr:uid="{00000000-0005-0000-0000-000062070000}"/>
    <cellStyle name="60% - Accent5 6 7" xfId="1901" xr:uid="{00000000-0005-0000-0000-000063070000}"/>
    <cellStyle name="60% - Accent5 6 8" xfId="1902" xr:uid="{00000000-0005-0000-0000-000064070000}"/>
    <cellStyle name="60% - Accent5 6 9" xfId="1903" xr:uid="{00000000-0005-0000-0000-000065070000}"/>
    <cellStyle name="60% - Accent5 7" xfId="1904" xr:uid="{00000000-0005-0000-0000-000066070000}"/>
    <cellStyle name="60% - Accent5 7 10" xfId="1905" xr:uid="{00000000-0005-0000-0000-000067070000}"/>
    <cellStyle name="60% - Accent5 7 11" xfId="1906" xr:uid="{00000000-0005-0000-0000-000068070000}"/>
    <cellStyle name="60% - Accent5 7 12" xfId="1907" xr:uid="{00000000-0005-0000-0000-000069070000}"/>
    <cellStyle name="60% - Accent5 7 2" xfId="1908" xr:uid="{00000000-0005-0000-0000-00006A070000}"/>
    <cellStyle name="60% - Accent5 7 3" xfId="1909" xr:uid="{00000000-0005-0000-0000-00006B070000}"/>
    <cellStyle name="60% - Accent5 7 4" xfId="1910" xr:uid="{00000000-0005-0000-0000-00006C070000}"/>
    <cellStyle name="60% - Accent5 7 5" xfId="1911" xr:uid="{00000000-0005-0000-0000-00006D070000}"/>
    <cellStyle name="60% - Accent5 7 6" xfId="1912" xr:uid="{00000000-0005-0000-0000-00006E070000}"/>
    <cellStyle name="60% - Accent5 7 7" xfId="1913" xr:uid="{00000000-0005-0000-0000-00006F070000}"/>
    <cellStyle name="60% - Accent5 7 8" xfId="1914" xr:uid="{00000000-0005-0000-0000-000070070000}"/>
    <cellStyle name="60% - Accent5 7 9" xfId="1915" xr:uid="{00000000-0005-0000-0000-000071070000}"/>
    <cellStyle name="60% - Accent5 8" xfId="1916" xr:uid="{00000000-0005-0000-0000-000072070000}"/>
    <cellStyle name="60% - Accent5 8 10" xfId="1917" xr:uid="{00000000-0005-0000-0000-000073070000}"/>
    <cellStyle name="60% - Accent5 8 11" xfId="1918" xr:uid="{00000000-0005-0000-0000-000074070000}"/>
    <cellStyle name="60% - Accent5 8 12" xfId="1919" xr:uid="{00000000-0005-0000-0000-000075070000}"/>
    <cellStyle name="60% - Accent5 8 2" xfId="1920" xr:uid="{00000000-0005-0000-0000-000076070000}"/>
    <cellStyle name="60% - Accent5 8 3" xfId="1921" xr:uid="{00000000-0005-0000-0000-000077070000}"/>
    <cellStyle name="60% - Accent5 8 4" xfId="1922" xr:uid="{00000000-0005-0000-0000-000078070000}"/>
    <cellStyle name="60% - Accent5 8 5" xfId="1923" xr:uid="{00000000-0005-0000-0000-000079070000}"/>
    <cellStyle name="60% - Accent5 8 6" xfId="1924" xr:uid="{00000000-0005-0000-0000-00007A070000}"/>
    <cellStyle name="60% - Accent5 8 7" xfId="1925" xr:uid="{00000000-0005-0000-0000-00007B070000}"/>
    <cellStyle name="60% - Accent5 8 8" xfId="1926" xr:uid="{00000000-0005-0000-0000-00007C070000}"/>
    <cellStyle name="60% - Accent5 8 9" xfId="1927" xr:uid="{00000000-0005-0000-0000-00007D070000}"/>
    <cellStyle name="60% - Accent5 9" xfId="1928" xr:uid="{00000000-0005-0000-0000-00007E070000}"/>
    <cellStyle name="60% - Accent5 9 2" xfId="1929" xr:uid="{00000000-0005-0000-0000-00007F070000}"/>
    <cellStyle name="60% - Accent6 10" xfId="1930" xr:uid="{00000000-0005-0000-0000-000080070000}"/>
    <cellStyle name="60% - Accent6 2" xfId="1931" xr:uid="{00000000-0005-0000-0000-000081070000}"/>
    <cellStyle name="60% - Accent6 2 10" xfId="1932" xr:uid="{00000000-0005-0000-0000-000082070000}"/>
    <cellStyle name="60% - Accent6 2 10 2" xfId="1933" xr:uid="{00000000-0005-0000-0000-000083070000}"/>
    <cellStyle name="60% - Accent6 2 11" xfId="1934" xr:uid="{00000000-0005-0000-0000-000084070000}"/>
    <cellStyle name="60% - Accent6 2 11 2" xfId="1935" xr:uid="{00000000-0005-0000-0000-000085070000}"/>
    <cellStyle name="60% - Accent6 2 12" xfId="1936" xr:uid="{00000000-0005-0000-0000-000086070000}"/>
    <cellStyle name="60% - Accent6 2 12 2" xfId="1937" xr:uid="{00000000-0005-0000-0000-000087070000}"/>
    <cellStyle name="60% - Accent6 2 13" xfId="1938" xr:uid="{00000000-0005-0000-0000-000088070000}"/>
    <cellStyle name="60% - Accent6 2 2" xfId="1939" xr:uid="{00000000-0005-0000-0000-000089070000}"/>
    <cellStyle name="60% - Accent6 2 2 2" xfId="1940" xr:uid="{00000000-0005-0000-0000-00008A070000}"/>
    <cellStyle name="60% - Accent6 2 3" xfId="1941" xr:uid="{00000000-0005-0000-0000-00008B070000}"/>
    <cellStyle name="60% - Accent6 2 3 2" xfId="1942" xr:uid="{00000000-0005-0000-0000-00008C070000}"/>
    <cellStyle name="60% - Accent6 2 4" xfId="1943" xr:uid="{00000000-0005-0000-0000-00008D070000}"/>
    <cellStyle name="60% - Accent6 2 4 2" xfId="1944" xr:uid="{00000000-0005-0000-0000-00008E070000}"/>
    <cellStyle name="60% - Accent6 2 5" xfId="1945" xr:uid="{00000000-0005-0000-0000-00008F070000}"/>
    <cellStyle name="60% - Accent6 2 5 2" xfId="1946" xr:uid="{00000000-0005-0000-0000-000090070000}"/>
    <cellStyle name="60% - Accent6 2 6" xfId="1947" xr:uid="{00000000-0005-0000-0000-000091070000}"/>
    <cellStyle name="60% - Accent6 2 6 2" xfId="1948" xr:uid="{00000000-0005-0000-0000-000092070000}"/>
    <cellStyle name="60% - Accent6 2 7" xfId="1949" xr:uid="{00000000-0005-0000-0000-000093070000}"/>
    <cellStyle name="60% - Accent6 2 7 2" xfId="1950" xr:uid="{00000000-0005-0000-0000-000094070000}"/>
    <cellStyle name="60% - Accent6 2 8" xfId="1951" xr:uid="{00000000-0005-0000-0000-000095070000}"/>
    <cellStyle name="60% - Accent6 2 8 2" xfId="1952" xr:uid="{00000000-0005-0000-0000-000096070000}"/>
    <cellStyle name="60% - Accent6 2 9" xfId="1953" xr:uid="{00000000-0005-0000-0000-000097070000}"/>
    <cellStyle name="60% - Accent6 2 9 2" xfId="1954" xr:uid="{00000000-0005-0000-0000-000098070000}"/>
    <cellStyle name="60% - Accent6 3" xfId="1955" xr:uid="{00000000-0005-0000-0000-000099070000}"/>
    <cellStyle name="60% - Accent6 3 10" xfId="1956" xr:uid="{00000000-0005-0000-0000-00009A070000}"/>
    <cellStyle name="60% - Accent6 3 10 2" xfId="1957" xr:uid="{00000000-0005-0000-0000-00009B070000}"/>
    <cellStyle name="60% - Accent6 3 11" xfId="1958" xr:uid="{00000000-0005-0000-0000-00009C070000}"/>
    <cellStyle name="60% - Accent6 3 11 2" xfId="1959" xr:uid="{00000000-0005-0000-0000-00009D070000}"/>
    <cellStyle name="60% - Accent6 3 12" xfId="1960" xr:uid="{00000000-0005-0000-0000-00009E070000}"/>
    <cellStyle name="60% - Accent6 3 12 2" xfId="1961" xr:uid="{00000000-0005-0000-0000-00009F070000}"/>
    <cellStyle name="60% - Accent6 3 13" xfId="1962" xr:uid="{00000000-0005-0000-0000-0000A0070000}"/>
    <cellStyle name="60% - Accent6 3 2" xfId="1963" xr:uid="{00000000-0005-0000-0000-0000A1070000}"/>
    <cellStyle name="60% - Accent6 3 2 2" xfId="1964" xr:uid="{00000000-0005-0000-0000-0000A2070000}"/>
    <cellStyle name="60% - Accent6 3 3" xfId="1965" xr:uid="{00000000-0005-0000-0000-0000A3070000}"/>
    <cellStyle name="60% - Accent6 3 3 2" xfId="1966" xr:uid="{00000000-0005-0000-0000-0000A4070000}"/>
    <cellStyle name="60% - Accent6 3 4" xfId="1967" xr:uid="{00000000-0005-0000-0000-0000A5070000}"/>
    <cellStyle name="60% - Accent6 3 4 2" xfId="1968" xr:uid="{00000000-0005-0000-0000-0000A6070000}"/>
    <cellStyle name="60% - Accent6 3 5" xfId="1969" xr:uid="{00000000-0005-0000-0000-0000A7070000}"/>
    <cellStyle name="60% - Accent6 3 5 2" xfId="1970" xr:uid="{00000000-0005-0000-0000-0000A8070000}"/>
    <cellStyle name="60% - Accent6 3 6" xfId="1971" xr:uid="{00000000-0005-0000-0000-0000A9070000}"/>
    <cellStyle name="60% - Accent6 3 6 2" xfId="1972" xr:uid="{00000000-0005-0000-0000-0000AA070000}"/>
    <cellStyle name="60% - Accent6 3 7" xfId="1973" xr:uid="{00000000-0005-0000-0000-0000AB070000}"/>
    <cellStyle name="60% - Accent6 3 7 2" xfId="1974" xr:uid="{00000000-0005-0000-0000-0000AC070000}"/>
    <cellStyle name="60% - Accent6 3 8" xfId="1975" xr:uid="{00000000-0005-0000-0000-0000AD070000}"/>
    <cellStyle name="60% - Accent6 3 8 2" xfId="1976" xr:uid="{00000000-0005-0000-0000-0000AE070000}"/>
    <cellStyle name="60% - Accent6 3 9" xfId="1977" xr:uid="{00000000-0005-0000-0000-0000AF070000}"/>
    <cellStyle name="60% - Accent6 3 9 2" xfId="1978" xr:uid="{00000000-0005-0000-0000-0000B0070000}"/>
    <cellStyle name="60% - Accent6 4" xfId="1979" xr:uid="{00000000-0005-0000-0000-0000B1070000}"/>
    <cellStyle name="60% - Accent6 4 10" xfId="1980" xr:uid="{00000000-0005-0000-0000-0000B2070000}"/>
    <cellStyle name="60% - Accent6 4 10 2" xfId="1981" xr:uid="{00000000-0005-0000-0000-0000B3070000}"/>
    <cellStyle name="60% - Accent6 4 11" xfId="1982" xr:uid="{00000000-0005-0000-0000-0000B4070000}"/>
    <cellStyle name="60% - Accent6 4 11 2" xfId="1983" xr:uid="{00000000-0005-0000-0000-0000B5070000}"/>
    <cellStyle name="60% - Accent6 4 12" xfId="1984" xr:uid="{00000000-0005-0000-0000-0000B6070000}"/>
    <cellStyle name="60% - Accent6 4 12 2" xfId="1985" xr:uid="{00000000-0005-0000-0000-0000B7070000}"/>
    <cellStyle name="60% - Accent6 4 13" xfId="1986" xr:uid="{00000000-0005-0000-0000-0000B8070000}"/>
    <cellStyle name="60% - Accent6 4 2" xfId="1987" xr:uid="{00000000-0005-0000-0000-0000B9070000}"/>
    <cellStyle name="60% - Accent6 4 2 2" xfId="1988" xr:uid="{00000000-0005-0000-0000-0000BA070000}"/>
    <cellStyle name="60% - Accent6 4 3" xfId="1989" xr:uid="{00000000-0005-0000-0000-0000BB070000}"/>
    <cellStyle name="60% - Accent6 4 3 2" xfId="1990" xr:uid="{00000000-0005-0000-0000-0000BC070000}"/>
    <cellStyle name="60% - Accent6 4 4" xfId="1991" xr:uid="{00000000-0005-0000-0000-0000BD070000}"/>
    <cellStyle name="60% - Accent6 4 4 2" xfId="1992" xr:uid="{00000000-0005-0000-0000-0000BE070000}"/>
    <cellStyle name="60% - Accent6 4 5" xfId="1993" xr:uid="{00000000-0005-0000-0000-0000BF070000}"/>
    <cellStyle name="60% - Accent6 4 5 2" xfId="1994" xr:uid="{00000000-0005-0000-0000-0000C0070000}"/>
    <cellStyle name="60% - Accent6 4 6" xfId="1995" xr:uid="{00000000-0005-0000-0000-0000C1070000}"/>
    <cellStyle name="60% - Accent6 4 6 2" xfId="1996" xr:uid="{00000000-0005-0000-0000-0000C2070000}"/>
    <cellStyle name="60% - Accent6 4 7" xfId="1997" xr:uid="{00000000-0005-0000-0000-0000C3070000}"/>
    <cellStyle name="60% - Accent6 4 7 2" xfId="1998" xr:uid="{00000000-0005-0000-0000-0000C4070000}"/>
    <cellStyle name="60% - Accent6 4 8" xfId="1999" xr:uid="{00000000-0005-0000-0000-0000C5070000}"/>
    <cellStyle name="60% - Accent6 4 8 2" xfId="2000" xr:uid="{00000000-0005-0000-0000-0000C6070000}"/>
    <cellStyle name="60% - Accent6 4 9" xfId="2001" xr:uid="{00000000-0005-0000-0000-0000C7070000}"/>
    <cellStyle name="60% - Accent6 4 9 2" xfId="2002" xr:uid="{00000000-0005-0000-0000-0000C8070000}"/>
    <cellStyle name="60% - Accent6 5" xfId="2003" xr:uid="{00000000-0005-0000-0000-0000C9070000}"/>
    <cellStyle name="60% - Accent6 5 10" xfId="2004" xr:uid="{00000000-0005-0000-0000-0000CA070000}"/>
    <cellStyle name="60% - Accent6 5 10 2" xfId="2005" xr:uid="{00000000-0005-0000-0000-0000CB070000}"/>
    <cellStyle name="60% - Accent6 5 11" xfId="2006" xr:uid="{00000000-0005-0000-0000-0000CC070000}"/>
    <cellStyle name="60% - Accent6 5 11 2" xfId="2007" xr:uid="{00000000-0005-0000-0000-0000CD070000}"/>
    <cellStyle name="60% - Accent6 5 12" xfId="2008" xr:uid="{00000000-0005-0000-0000-0000CE070000}"/>
    <cellStyle name="60% - Accent6 5 12 2" xfId="2009" xr:uid="{00000000-0005-0000-0000-0000CF070000}"/>
    <cellStyle name="60% - Accent6 5 13" xfId="2010" xr:uid="{00000000-0005-0000-0000-0000D0070000}"/>
    <cellStyle name="60% - Accent6 5 2" xfId="2011" xr:uid="{00000000-0005-0000-0000-0000D1070000}"/>
    <cellStyle name="60% - Accent6 5 2 2" xfId="2012" xr:uid="{00000000-0005-0000-0000-0000D2070000}"/>
    <cellStyle name="60% - Accent6 5 3" xfId="2013" xr:uid="{00000000-0005-0000-0000-0000D3070000}"/>
    <cellStyle name="60% - Accent6 5 3 2" xfId="2014" xr:uid="{00000000-0005-0000-0000-0000D4070000}"/>
    <cellStyle name="60% - Accent6 5 4" xfId="2015" xr:uid="{00000000-0005-0000-0000-0000D5070000}"/>
    <cellStyle name="60% - Accent6 5 4 2" xfId="2016" xr:uid="{00000000-0005-0000-0000-0000D6070000}"/>
    <cellStyle name="60% - Accent6 5 5" xfId="2017" xr:uid="{00000000-0005-0000-0000-0000D7070000}"/>
    <cellStyle name="60% - Accent6 5 5 2" xfId="2018" xr:uid="{00000000-0005-0000-0000-0000D8070000}"/>
    <cellStyle name="60% - Accent6 5 6" xfId="2019" xr:uid="{00000000-0005-0000-0000-0000D9070000}"/>
    <cellStyle name="60% - Accent6 5 6 2" xfId="2020" xr:uid="{00000000-0005-0000-0000-0000DA070000}"/>
    <cellStyle name="60% - Accent6 5 7" xfId="2021" xr:uid="{00000000-0005-0000-0000-0000DB070000}"/>
    <cellStyle name="60% - Accent6 5 7 2" xfId="2022" xr:uid="{00000000-0005-0000-0000-0000DC070000}"/>
    <cellStyle name="60% - Accent6 5 8" xfId="2023" xr:uid="{00000000-0005-0000-0000-0000DD070000}"/>
    <cellStyle name="60% - Accent6 5 8 2" xfId="2024" xr:uid="{00000000-0005-0000-0000-0000DE070000}"/>
    <cellStyle name="60% - Accent6 5 9" xfId="2025" xr:uid="{00000000-0005-0000-0000-0000DF070000}"/>
    <cellStyle name="60% - Accent6 5 9 2" xfId="2026" xr:uid="{00000000-0005-0000-0000-0000E0070000}"/>
    <cellStyle name="60% - Accent6 6" xfId="2027" xr:uid="{00000000-0005-0000-0000-0000E1070000}"/>
    <cellStyle name="60% - Accent6 6 10" xfId="2028" xr:uid="{00000000-0005-0000-0000-0000E2070000}"/>
    <cellStyle name="60% - Accent6 6 11" xfId="2029" xr:uid="{00000000-0005-0000-0000-0000E3070000}"/>
    <cellStyle name="60% - Accent6 6 12" xfId="2030" xr:uid="{00000000-0005-0000-0000-0000E4070000}"/>
    <cellStyle name="60% - Accent6 6 2" xfId="2031" xr:uid="{00000000-0005-0000-0000-0000E5070000}"/>
    <cellStyle name="60% - Accent6 6 3" xfId="2032" xr:uid="{00000000-0005-0000-0000-0000E6070000}"/>
    <cellStyle name="60% - Accent6 6 4" xfId="2033" xr:uid="{00000000-0005-0000-0000-0000E7070000}"/>
    <cellStyle name="60% - Accent6 6 5" xfId="2034" xr:uid="{00000000-0005-0000-0000-0000E8070000}"/>
    <cellStyle name="60% - Accent6 6 6" xfId="2035" xr:uid="{00000000-0005-0000-0000-0000E9070000}"/>
    <cellStyle name="60% - Accent6 6 7" xfId="2036" xr:uid="{00000000-0005-0000-0000-0000EA070000}"/>
    <cellStyle name="60% - Accent6 6 8" xfId="2037" xr:uid="{00000000-0005-0000-0000-0000EB070000}"/>
    <cellStyle name="60% - Accent6 6 9" xfId="2038" xr:uid="{00000000-0005-0000-0000-0000EC070000}"/>
    <cellStyle name="60% - Accent6 7" xfId="2039" xr:uid="{00000000-0005-0000-0000-0000ED070000}"/>
    <cellStyle name="60% - Accent6 7 10" xfId="2040" xr:uid="{00000000-0005-0000-0000-0000EE070000}"/>
    <cellStyle name="60% - Accent6 7 11" xfId="2041" xr:uid="{00000000-0005-0000-0000-0000EF070000}"/>
    <cellStyle name="60% - Accent6 7 12" xfId="2042" xr:uid="{00000000-0005-0000-0000-0000F0070000}"/>
    <cellStyle name="60% - Accent6 7 2" xfId="2043" xr:uid="{00000000-0005-0000-0000-0000F1070000}"/>
    <cellStyle name="60% - Accent6 7 3" xfId="2044" xr:uid="{00000000-0005-0000-0000-0000F2070000}"/>
    <cellStyle name="60% - Accent6 7 4" xfId="2045" xr:uid="{00000000-0005-0000-0000-0000F3070000}"/>
    <cellStyle name="60% - Accent6 7 5" xfId="2046" xr:uid="{00000000-0005-0000-0000-0000F4070000}"/>
    <cellStyle name="60% - Accent6 7 6" xfId="2047" xr:uid="{00000000-0005-0000-0000-0000F5070000}"/>
    <cellStyle name="60% - Accent6 7 7" xfId="2048" xr:uid="{00000000-0005-0000-0000-0000F6070000}"/>
    <cellStyle name="60% - Accent6 7 8" xfId="2049" xr:uid="{00000000-0005-0000-0000-0000F7070000}"/>
    <cellStyle name="60% - Accent6 7 9" xfId="2050" xr:uid="{00000000-0005-0000-0000-0000F8070000}"/>
    <cellStyle name="60% - Accent6 8" xfId="2051" xr:uid="{00000000-0005-0000-0000-0000F9070000}"/>
    <cellStyle name="60% - Accent6 8 10" xfId="2052" xr:uid="{00000000-0005-0000-0000-0000FA070000}"/>
    <cellStyle name="60% - Accent6 8 11" xfId="2053" xr:uid="{00000000-0005-0000-0000-0000FB070000}"/>
    <cellStyle name="60% - Accent6 8 12" xfId="2054" xr:uid="{00000000-0005-0000-0000-0000FC070000}"/>
    <cellStyle name="60% - Accent6 8 2" xfId="2055" xr:uid="{00000000-0005-0000-0000-0000FD070000}"/>
    <cellStyle name="60% - Accent6 8 3" xfId="2056" xr:uid="{00000000-0005-0000-0000-0000FE070000}"/>
    <cellStyle name="60% - Accent6 8 4" xfId="2057" xr:uid="{00000000-0005-0000-0000-0000FF070000}"/>
    <cellStyle name="60% - Accent6 8 5" xfId="2058" xr:uid="{00000000-0005-0000-0000-000000080000}"/>
    <cellStyle name="60% - Accent6 8 6" xfId="2059" xr:uid="{00000000-0005-0000-0000-000001080000}"/>
    <cellStyle name="60% - Accent6 8 7" xfId="2060" xr:uid="{00000000-0005-0000-0000-000002080000}"/>
    <cellStyle name="60% - Accent6 8 8" xfId="2061" xr:uid="{00000000-0005-0000-0000-000003080000}"/>
    <cellStyle name="60% - Accent6 8 9" xfId="2062" xr:uid="{00000000-0005-0000-0000-000004080000}"/>
    <cellStyle name="60% - Accent6 9" xfId="2063" xr:uid="{00000000-0005-0000-0000-000005080000}"/>
    <cellStyle name="60% - Accent6 9 2" xfId="2064" xr:uid="{00000000-0005-0000-0000-000006080000}"/>
    <cellStyle name="60% - Ênfase1 10" xfId="2065" xr:uid="{00000000-0005-0000-0000-000007080000}"/>
    <cellStyle name="60% - Ênfase1 11" xfId="2066" xr:uid="{00000000-0005-0000-0000-000008080000}"/>
    <cellStyle name="60% - Ênfase1 12" xfId="2067" xr:uid="{00000000-0005-0000-0000-000009080000}"/>
    <cellStyle name="60% - Ênfase1 13" xfId="2068" xr:uid="{00000000-0005-0000-0000-00000A080000}"/>
    <cellStyle name="60% - Ênfase1 14" xfId="2069" xr:uid="{00000000-0005-0000-0000-00000B080000}"/>
    <cellStyle name="60% - Ênfase1 15" xfId="2070" xr:uid="{00000000-0005-0000-0000-00000C080000}"/>
    <cellStyle name="60% - Ênfase1 16" xfId="2071" xr:uid="{00000000-0005-0000-0000-00000D080000}"/>
    <cellStyle name="60% - Ênfase1 2" xfId="2072" xr:uid="{00000000-0005-0000-0000-00000E080000}"/>
    <cellStyle name="60% - Ênfase1 3" xfId="2073" xr:uid="{00000000-0005-0000-0000-00000F080000}"/>
    <cellStyle name="60% - Ênfase1 4" xfId="2074" xr:uid="{00000000-0005-0000-0000-000010080000}"/>
    <cellStyle name="60% - Ênfase1 5" xfId="2075" xr:uid="{00000000-0005-0000-0000-000011080000}"/>
    <cellStyle name="60% - Ênfase1 6" xfId="2076" xr:uid="{00000000-0005-0000-0000-000012080000}"/>
    <cellStyle name="60% - Ênfase1 7" xfId="2077" xr:uid="{00000000-0005-0000-0000-000013080000}"/>
    <cellStyle name="60% - Ênfase1 8" xfId="2078" xr:uid="{00000000-0005-0000-0000-000014080000}"/>
    <cellStyle name="60% - Ênfase1 9" xfId="2079" xr:uid="{00000000-0005-0000-0000-000015080000}"/>
    <cellStyle name="60% - Ênfase2 10" xfId="2080" xr:uid="{00000000-0005-0000-0000-000016080000}"/>
    <cellStyle name="60% - Ênfase2 11" xfId="2081" xr:uid="{00000000-0005-0000-0000-000017080000}"/>
    <cellStyle name="60% - Ênfase2 12" xfId="2082" xr:uid="{00000000-0005-0000-0000-000018080000}"/>
    <cellStyle name="60% - Ênfase2 13" xfId="2083" xr:uid="{00000000-0005-0000-0000-000019080000}"/>
    <cellStyle name="60% - Ênfase2 14" xfId="2084" xr:uid="{00000000-0005-0000-0000-00001A080000}"/>
    <cellStyle name="60% - Ênfase2 15" xfId="2085" xr:uid="{00000000-0005-0000-0000-00001B080000}"/>
    <cellStyle name="60% - Ênfase2 16" xfId="2086" xr:uid="{00000000-0005-0000-0000-00001C080000}"/>
    <cellStyle name="60% - Ênfase2 2" xfId="2087" xr:uid="{00000000-0005-0000-0000-00001D080000}"/>
    <cellStyle name="60% - Ênfase2 3" xfId="2088" xr:uid="{00000000-0005-0000-0000-00001E080000}"/>
    <cellStyle name="60% - Ênfase2 4" xfId="2089" xr:uid="{00000000-0005-0000-0000-00001F080000}"/>
    <cellStyle name="60% - Ênfase2 5" xfId="2090" xr:uid="{00000000-0005-0000-0000-000020080000}"/>
    <cellStyle name="60% - Ênfase2 6" xfId="2091" xr:uid="{00000000-0005-0000-0000-000021080000}"/>
    <cellStyle name="60% - Ênfase2 7" xfId="2092" xr:uid="{00000000-0005-0000-0000-000022080000}"/>
    <cellStyle name="60% - Ênfase2 8" xfId="2093" xr:uid="{00000000-0005-0000-0000-000023080000}"/>
    <cellStyle name="60% - Ênfase2 9" xfId="2094" xr:uid="{00000000-0005-0000-0000-000024080000}"/>
    <cellStyle name="60% - Ênfase3 10" xfId="2095" xr:uid="{00000000-0005-0000-0000-000025080000}"/>
    <cellStyle name="60% - Ênfase3 11" xfId="2096" xr:uid="{00000000-0005-0000-0000-000026080000}"/>
    <cellStyle name="60% - Ênfase3 12" xfId="2097" xr:uid="{00000000-0005-0000-0000-000027080000}"/>
    <cellStyle name="60% - Ênfase3 13" xfId="2098" xr:uid="{00000000-0005-0000-0000-000028080000}"/>
    <cellStyle name="60% - Ênfase3 14" xfId="2099" xr:uid="{00000000-0005-0000-0000-000029080000}"/>
    <cellStyle name="60% - Ênfase3 15" xfId="2100" xr:uid="{00000000-0005-0000-0000-00002A080000}"/>
    <cellStyle name="60% - Ênfase3 16" xfId="2101" xr:uid="{00000000-0005-0000-0000-00002B080000}"/>
    <cellStyle name="60% - Ênfase3 2" xfId="2102" xr:uid="{00000000-0005-0000-0000-00002C080000}"/>
    <cellStyle name="60% - Ênfase3 3" xfId="2103" xr:uid="{00000000-0005-0000-0000-00002D080000}"/>
    <cellStyle name="60% - Ênfase3 4" xfId="2104" xr:uid="{00000000-0005-0000-0000-00002E080000}"/>
    <cellStyle name="60% - Ênfase3 5" xfId="2105" xr:uid="{00000000-0005-0000-0000-00002F080000}"/>
    <cellStyle name="60% - Ênfase3 6" xfId="2106" xr:uid="{00000000-0005-0000-0000-000030080000}"/>
    <cellStyle name="60% - Ênfase3 7" xfId="2107" xr:uid="{00000000-0005-0000-0000-000031080000}"/>
    <cellStyle name="60% - Ênfase3 8" xfId="2108" xr:uid="{00000000-0005-0000-0000-000032080000}"/>
    <cellStyle name="60% - Ênfase3 9" xfId="2109" xr:uid="{00000000-0005-0000-0000-000033080000}"/>
    <cellStyle name="60% - Ênfase4 10" xfId="2110" xr:uid="{00000000-0005-0000-0000-000034080000}"/>
    <cellStyle name="60% - Ênfase4 11" xfId="2111" xr:uid="{00000000-0005-0000-0000-000035080000}"/>
    <cellStyle name="60% - Ênfase4 12" xfId="2112" xr:uid="{00000000-0005-0000-0000-000036080000}"/>
    <cellStyle name="60% - Ênfase4 13" xfId="2113" xr:uid="{00000000-0005-0000-0000-000037080000}"/>
    <cellStyle name="60% - Ênfase4 14" xfId="2114" xr:uid="{00000000-0005-0000-0000-000038080000}"/>
    <cellStyle name="60% - Ênfase4 15" xfId="2115" xr:uid="{00000000-0005-0000-0000-000039080000}"/>
    <cellStyle name="60% - Ênfase4 16" xfId="2116" xr:uid="{00000000-0005-0000-0000-00003A080000}"/>
    <cellStyle name="60% - Ênfase4 2" xfId="2117" xr:uid="{00000000-0005-0000-0000-00003B080000}"/>
    <cellStyle name="60% - Ênfase4 3" xfId="2118" xr:uid="{00000000-0005-0000-0000-00003C080000}"/>
    <cellStyle name="60% - Ênfase4 4" xfId="2119" xr:uid="{00000000-0005-0000-0000-00003D080000}"/>
    <cellStyle name="60% - Ênfase4 5" xfId="2120" xr:uid="{00000000-0005-0000-0000-00003E080000}"/>
    <cellStyle name="60% - Ênfase4 6" xfId="2121" xr:uid="{00000000-0005-0000-0000-00003F080000}"/>
    <cellStyle name="60% - Ênfase4 7" xfId="2122" xr:uid="{00000000-0005-0000-0000-000040080000}"/>
    <cellStyle name="60% - Ênfase4 8" xfId="2123" xr:uid="{00000000-0005-0000-0000-000041080000}"/>
    <cellStyle name="60% - Ênfase4 9" xfId="2124" xr:uid="{00000000-0005-0000-0000-000042080000}"/>
    <cellStyle name="60% - Ênfase5 10" xfId="2125" xr:uid="{00000000-0005-0000-0000-000043080000}"/>
    <cellStyle name="60% - Ênfase5 11" xfId="2126" xr:uid="{00000000-0005-0000-0000-000044080000}"/>
    <cellStyle name="60% - Ênfase5 12" xfId="2127" xr:uid="{00000000-0005-0000-0000-000045080000}"/>
    <cellStyle name="60% - Ênfase5 13" xfId="2128" xr:uid="{00000000-0005-0000-0000-000046080000}"/>
    <cellStyle name="60% - Ênfase5 14" xfId="2129" xr:uid="{00000000-0005-0000-0000-000047080000}"/>
    <cellStyle name="60% - Ênfase5 15" xfId="2130" xr:uid="{00000000-0005-0000-0000-000048080000}"/>
    <cellStyle name="60% - Ênfase5 16" xfId="2131" xr:uid="{00000000-0005-0000-0000-000049080000}"/>
    <cellStyle name="60% - Ênfase5 2" xfId="2132" xr:uid="{00000000-0005-0000-0000-00004A080000}"/>
    <cellStyle name="60% - Ênfase5 3" xfId="2133" xr:uid="{00000000-0005-0000-0000-00004B080000}"/>
    <cellStyle name="60% - Ênfase5 4" xfId="2134" xr:uid="{00000000-0005-0000-0000-00004C080000}"/>
    <cellStyle name="60% - Ênfase5 5" xfId="2135" xr:uid="{00000000-0005-0000-0000-00004D080000}"/>
    <cellStyle name="60% - Ênfase5 6" xfId="2136" xr:uid="{00000000-0005-0000-0000-00004E080000}"/>
    <cellStyle name="60% - Ênfase5 7" xfId="2137" xr:uid="{00000000-0005-0000-0000-00004F080000}"/>
    <cellStyle name="60% - Ênfase5 8" xfId="2138" xr:uid="{00000000-0005-0000-0000-000050080000}"/>
    <cellStyle name="60% - Ênfase5 9" xfId="2139" xr:uid="{00000000-0005-0000-0000-000051080000}"/>
    <cellStyle name="60% - Ênfase6 10" xfId="2140" xr:uid="{00000000-0005-0000-0000-000052080000}"/>
    <cellStyle name="60% - Ênfase6 11" xfId="2141" xr:uid="{00000000-0005-0000-0000-000053080000}"/>
    <cellStyle name="60% - Ênfase6 12" xfId="2142" xr:uid="{00000000-0005-0000-0000-000054080000}"/>
    <cellStyle name="60% - Ênfase6 13" xfId="2143" xr:uid="{00000000-0005-0000-0000-000055080000}"/>
    <cellStyle name="60% - Ênfase6 14" xfId="2144" xr:uid="{00000000-0005-0000-0000-000056080000}"/>
    <cellStyle name="60% - Ênfase6 15" xfId="2145" xr:uid="{00000000-0005-0000-0000-000057080000}"/>
    <cellStyle name="60% - Ênfase6 16" xfId="2146" xr:uid="{00000000-0005-0000-0000-000058080000}"/>
    <cellStyle name="60% - Ênfase6 2" xfId="2147" xr:uid="{00000000-0005-0000-0000-000059080000}"/>
    <cellStyle name="60% - Ênfase6 3" xfId="2148" xr:uid="{00000000-0005-0000-0000-00005A080000}"/>
    <cellStyle name="60% - Ênfase6 4" xfId="2149" xr:uid="{00000000-0005-0000-0000-00005B080000}"/>
    <cellStyle name="60% - Ênfase6 5" xfId="2150" xr:uid="{00000000-0005-0000-0000-00005C080000}"/>
    <cellStyle name="60% - Ênfase6 6" xfId="2151" xr:uid="{00000000-0005-0000-0000-00005D080000}"/>
    <cellStyle name="60% - Ênfase6 7" xfId="2152" xr:uid="{00000000-0005-0000-0000-00005E080000}"/>
    <cellStyle name="60% - Ênfase6 8" xfId="2153" xr:uid="{00000000-0005-0000-0000-00005F080000}"/>
    <cellStyle name="60% - Ênfase6 9" xfId="2154" xr:uid="{00000000-0005-0000-0000-000060080000}"/>
    <cellStyle name="Accent1 10" xfId="2155" xr:uid="{00000000-0005-0000-0000-000061080000}"/>
    <cellStyle name="Accent1 2" xfId="2156" xr:uid="{00000000-0005-0000-0000-000062080000}"/>
    <cellStyle name="Accent1 2 10" xfId="2157" xr:uid="{00000000-0005-0000-0000-000063080000}"/>
    <cellStyle name="Accent1 2 10 2" xfId="2158" xr:uid="{00000000-0005-0000-0000-000064080000}"/>
    <cellStyle name="Accent1 2 11" xfId="2159" xr:uid="{00000000-0005-0000-0000-000065080000}"/>
    <cellStyle name="Accent1 2 11 2" xfId="2160" xr:uid="{00000000-0005-0000-0000-000066080000}"/>
    <cellStyle name="Accent1 2 12" xfId="2161" xr:uid="{00000000-0005-0000-0000-000067080000}"/>
    <cellStyle name="Accent1 2 12 2" xfId="2162" xr:uid="{00000000-0005-0000-0000-000068080000}"/>
    <cellStyle name="Accent1 2 13" xfId="2163" xr:uid="{00000000-0005-0000-0000-000069080000}"/>
    <cellStyle name="Accent1 2 2" xfId="2164" xr:uid="{00000000-0005-0000-0000-00006A080000}"/>
    <cellStyle name="Accent1 2 2 2" xfId="2165" xr:uid="{00000000-0005-0000-0000-00006B080000}"/>
    <cellStyle name="Accent1 2 3" xfId="2166" xr:uid="{00000000-0005-0000-0000-00006C080000}"/>
    <cellStyle name="Accent1 2 3 2" xfId="2167" xr:uid="{00000000-0005-0000-0000-00006D080000}"/>
    <cellStyle name="Accent1 2 4" xfId="2168" xr:uid="{00000000-0005-0000-0000-00006E080000}"/>
    <cellStyle name="Accent1 2 4 2" xfId="2169" xr:uid="{00000000-0005-0000-0000-00006F080000}"/>
    <cellStyle name="Accent1 2 5" xfId="2170" xr:uid="{00000000-0005-0000-0000-000070080000}"/>
    <cellStyle name="Accent1 2 5 2" xfId="2171" xr:uid="{00000000-0005-0000-0000-000071080000}"/>
    <cellStyle name="Accent1 2 6" xfId="2172" xr:uid="{00000000-0005-0000-0000-000072080000}"/>
    <cellStyle name="Accent1 2 6 2" xfId="2173" xr:uid="{00000000-0005-0000-0000-000073080000}"/>
    <cellStyle name="Accent1 2 7" xfId="2174" xr:uid="{00000000-0005-0000-0000-000074080000}"/>
    <cellStyle name="Accent1 2 7 2" xfId="2175" xr:uid="{00000000-0005-0000-0000-000075080000}"/>
    <cellStyle name="Accent1 2 8" xfId="2176" xr:uid="{00000000-0005-0000-0000-000076080000}"/>
    <cellStyle name="Accent1 2 8 2" xfId="2177" xr:uid="{00000000-0005-0000-0000-000077080000}"/>
    <cellStyle name="Accent1 2 9" xfId="2178" xr:uid="{00000000-0005-0000-0000-000078080000}"/>
    <cellStyle name="Accent1 2 9 2" xfId="2179" xr:uid="{00000000-0005-0000-0000-000079080000}"/>
    <cellStyle name="Accent1 3" xfId="2180" xr:uid="{00000000-0005-0000-0000-00007A080000}"/>
    <cellStyle name="Accent1 3 10" xfId="2181" xr:uid="{00000000-0005-0000-0000-00007B080000}"/>
    <cellStyle name="Accent1 3 10 2" xfId="2182" xr:uid="{00000000-0005-0000-0000-00007C080000}"/>
    <cellStyle name="Accent1 3 11" xfId="2183" xr:uid="{00000000-0005-0000-0000-00007D080000}"/>
    <cellStyle name="Accent1 3 11 2" xfId="2184" xr:uid="{00000000-0005-0000-0000-00007E080000}"/>
    <cellStyle name="Accent1 3 12" xfId="2185" xr:uid="{00000000-0005-0000-0000-00007F080000}"/>
    <cellStyle name="Accent1 3 12 2" xfId="2186" xr:uid="{00000000-0005-0000-0000-000080080000}"/>
    <cellStyle name="Accent1 3 13" xfId="2187" xr:uid="{00000000-0005-0000-0000-000081080000}"/>
    <cellStyle name="Accent1 3 2" xfId="2188" xr:uid="{00000000-0005-0000-0000-000082080000}"/>
    <cellStyle name="Accent1 3 2 2" xfId="2189" xr:uid="{00000000-0005-0000-0000-000083080000}"/>
    <cellStyle name="Accent1 3 3" xfId="2190" xr:uid="{00000000-0005-0000-0000-000084080000}"/>
    <cellStyle name="Accent1 3 3 2" xfId="2191" xr:uid="{00000000-0005-0000-0000-000085080000}"/>
    <cellStyle name="Accent1 3 4" xfId="2192" xr:uid="{00000000-0005-0000-0000-000086080000}"/>
    <cellStyle name="Accent1 3 4 2" xfId="2193" xr:uid="{00000000-0005-0000-0000-000087080000}"/>
    <cellStyle name="Accent1 3 5" xfId="2194" xr:uid="{00000000-0005-0000-0000-000088080000}"/>
    <cellStyle name="Accent1 3 5 2" xfId="2195" xr:uid="{00000000-0005-0000-0000-000089080000}"/>
    <cellStyle name="Accent1 3 6" xfId="2196" xr:uid="{00000000-0005-0000-0000-00008A080000}"/>
    <cellStyle name="Accent1 3 6 2" xfId="2197" xr:uid="{00000000-0005-0000-0000-00008B080000}"/>
    <cellStyle name="Accent1 3 7" xfId="2198" xr:uid="{00000000-0005-0000-0000-00008C080000}"/>
    <cellStyle name="Accent1 3 7 2" xfId="2199" xr:uid="{00000000-0005-0000-0000-00008D080000}"/>
    <cellStyle name="Accent1 3 8" xfId="2200" xr:uid="{00000000-0005-0000-0000-00008E080000}"/>
    <cellStyle name="Accent1 3 8 2" xfId="2201" xr:uid="{00000000-0005-0000-0000-00008F080000}"/>
    <cellStyle name="Accent1 3 9" xfId="2202" xr:uid="{00000000-0005-0000-0000-000090080000}"/>
    <cellStyle name="Accent1 3 9 2" xfId="2203" xr:uid="{00000000-0005-0000-0000-000091080000}"/>
    <cellStyle name="Accent1 4" xfId="2204" xr:uid="{00000000-0005-0000-0000-000092080000}"/>
    <cellStyle name="Accent1 4 10" xfId="2205" xr:uid="{00000000-0005-0000-0000-000093080000}"/>
    <cellStyle name="Accent1 4 10 2" xfId="2206" xr:uid="{00000000-0005-0000-0000-000094080000}"/>
    <cellStyle name="Accent1 4 11" xfId="2207" xr:uid="{00000000-0005-0000-0000-000095080000}"/>
    <cellStyle name="Accent1 4 11 2" xfId="2208" xr:uid="{00000000-0005-0000-0000-000096080000}"/>
    <cellStyle name="Accent1 4 12" xfId="2209" xr:uid="{00000000-0005-0000-0000-000097080000}"/>
    <cellStyle name="Accent1 4 12 2" xfId="2210" xr:uid="{00000000-0005-0000-0000-000098080000}"/>
    <cellStyle name="Accent1 4 13" xfId="2211" xr:uid="{00000000-0005-0000-0000-000099080000}"/>
    <cellStyle name="Accent1 4 2" xfId="2212" xr:uid="{00000000-0005-0000-0000-00009A080000}"/>
    <cellStyle name="Accent1 4 2 2" xfId="2213" xr:uid="{00000000-0005-0000-0000-00009B080000}"/>
    <cellStyle name="Accent1 4 3" xfId="2214" xr:uid="{00000000-0005-0000-0000-00009C080000}"/>
    <cellStyle name="Accent1 4 3 2" xfId="2215" xr:uid="{00000000-0005-0000-0000-00009D080000}"/>
    <cellStyle name="Accent1 4 4" xfId="2216" xr:uid="{00000000-0005-0000-0000-00009E080000}"/>
    <cellStyle name="Accent1 4 4 2" xfId="2217" xr:uid="{00000000-0005-0000-0000-00009F080000}"/>
    <cellStyle name="Accent1 4 5" xfId="2218" xr:uid="{00000000-0005-0000-0000-0000A0080000}"/>
    <cellStyle name="Accent1 4 5 2" xfId="2219" xr:uid="{00000000-0005-0000-0000-0000A1080000}"/>
    <cellStyle name="Accent1 4 6" xfId="2220" xr:uid="{00000000-0005-0000-0000-0000A2080000}"/>
    <cellStyle name="Accent1 4 6 2" xfId="2221" xr:uid="{00000000-0005-0000-0000-0000A3080000}"/>
    <cellStyle name="Accent1 4 7" xfId="2222" xr:uid="{00000000-0005-0000-0000-0000A4080000}"/>
    <cellStyle name="Accent1 4 7 2" xfId="2223" xr:uid="{00000000-0005-0000-0000-0000A5080000}"/>
    <cellStyle name="Accent1 4 8" xfId="2224" xr:uid="{00000000-0005-0000-0000-0000A6080000}"/>
    <cellStyle name="Accent1 4 8 2" xfId="2225" xr:uid="{00000000-0005-0000-0000-0000A7080000}"/>
    <cellStyle name="Accent1 4 9" xfId="2226" xr:uid="{00000000-0005-0000-0000-0000A8080000}"/>
    <cellStyle name="Accent1 4 9 2" xfId="2227" xr:uid="{00000000-0005-0000-0000-0000A9080000}"/>
    <cellStyle name="Accent1 5" xfId="2228" xr:uid="{00000000-0005-0000-0000-0000AA080000}"/>
    <cellStyle name="Accent1 5 10" xfId="2229" xr:uid="{00000000-0005-0000-0000-0000AB080000}"/>
    <cellStyle name="Accent1 5 10 2" xfId="2230" xr:uid="{00000000-0005-0000-0000-0000AC080000}"/>
    <cellStyle name="Accent1 5 11" xfId="2231" xr:uid="{00000000-0005-0000-0000-0000AD080000}"/>
    <cellStyle name="Accent1 5 11 2" xfId="2232" xr:uid="{00000000-0005-0000-0000-0000AE080000}"/>
    <cellStyle name="Accent1 5 12" xfId="2233" xr:uid="{00000000-0005-0000-0000-0000AF080000}"/>
    <cellStyle name="Accent1 5 12 2" xfId="2234" xr:uid="{00000000-0005-0000-0000-0000B0080000}"/>
    <cellStyle name="Accent1 5 13" xfId="2235" xr:uid="{00000000-0005-0000-0000-0000B1080000}"/>
    <cellStyle name="Accent1 5 2" xfId="2236" xr:uid="{00000000-0005-0000-0000-0000B2080000}"/>
    <cellStyle name="Accent1 5 2 2" xfId="2237" xr:uid="{00000000-0005-0000-0000-0000B3080000}"/>
    <cellStyle name="Accent1 5 3" xfId="2238" xr:uid="{00000000-0005-0000-0000-0000B4080000}"/>
    <cellStyle name="Accent1 5 3 2" xfId="2239" xr:uid="{00000000-0005-0000-0000-0000B5080000}"/>
    <cellStyle name="Accent1 5 4" xfId="2240" xr:uid="{00000000-0005-0000-0000-0000B6080000}"/>
    <cellStyle name="Accent1 5 4 2" xfId="2241" xr:uid="{00000000-0005-0000-0000-0000B7080000}"/>
    <cellStyle name="Accent1 5 5" xfId="2242" xr:uid="{00000000-0005-0000-0000-0000B8080000}"/>
    <cellStyle name="Accent1 5 5 2" xfId="2243" xr:uid="{00000000-0005-0000-0000-0000B9080000}"/>
    <cellStyle name="Accent1 5 6" xfId="2244" xr:uid="{00000000-0005-0000-0000-0000BA080000}"/>
    <cellStyle name="Accent1 5 6 2" xfId="2245" xr:uid="{00000000-0005-0000-0000-0000BB080000}"/>
    <cellStyle name="Accent1 5 7" xfId="2246" xr:uid="{00000000-0005-0000-0000-0000BC080000}"/>
    <cellStyle name="Accent1 5 7 2" xfId="2247" xr:uid="{00000000-0005-0000-0000-0000BD080000}"/>
    <cellStyle name="Accent1 5 8" xfId="2248" xr:uid="{00000000-0005-0000-0000-0000BE080000}"/>
    <cellStyle name="Accent1 5 8 2" xfId="2249" xr:uid="{00000000-0005-0000-0000-0000BF080000}"/>
    <cellStyle name="Accent1 5 9" xfId="2250" xr:uid="{00000000-0005-0000-0000-0000C0080000}"/>
    <cellStyle name="Accent1 5 9 2" xfId="2251" xr:uid="{00000000-0005-0000-0000-0000C1080000}"/>
    <cellStyle name="Accent1 6" xfId="2252" xr:uid="{00000000-0005-0000-0000-0000C2080000}"/>
    <cellStyle name="Accent1 6 10" xfId="2253" xr:uid="{00000000-0005-0000-0000-0000C3080000}"/>
    <cellStyle name="Accent1 6 11" xfId="2254" xr:uid="{00000000-0005-0000-0000-0000C4080000}"/>
    <cellStyle name="Accent1 6 12" xfId="2255" xr:uid="{00000000-0005-0000-0000-0000C5080000}"/>
    <cellStyle name="Accent1 6 2" xfId="2256" xr:uid="{00000000-0005-0000-0000-0000C6080000}"/>
    <cellStyle name="Accent1 6 3" xfId="2257" xr:uid="{00000000-0005-0000-0000-0000C7080000}"/>
    <cellStyle name="Accent1 6 4" xfId="2258" xr:uid="{00000000-0005-0000-0000-0000C8080000}"/>
    <cellStyle name="Accent1 6 5" xfId="2259" xr:uid="{00000000-0005-0000-0000-0000C9080000}"/>
    <cellStyle name="Accent1 6 6" xfId="2260" xr:uid="{00000000-0005-0000-0000-0000CA080000}"/>
    <cellStyle name="Accent1 6 7" xfId="2261" xr:uid="{00000000-0005-0000-0000-0000CB080000}"/>
    <cellStyle name="Accent1 6 8" xfId="2262" xr:uid="{00000000-0005-0000-0000-0000CC080000}"/>
    <cellStyle name="Accent1 6 9" xfId="2263" xr:uid="{00000000-0005-0000-0000-0000CD080000}"/>
    <cellStyle name="Accent1 7" xfId="2264" xr:uid="{00000000-0005-0000-0000-0000CE080000}"/>
    <cellStyle name="Accent1 7 10" xfId="2265" xr:uid="{00000000-0005-0000-0000-0000CF080000}"/>
    <cellStyle name="Accent1 7 11" xfId="2266" xr:uid="{00000000-0005-0000-0000-0000D0080000}"/>
    <cellStyle name="Accent1 7 12" xfId="2267" xr:uid="{00000000-0005-0000-0000-0000D1080000}"/>
    <cellStyle name="Accent1 7 2" xfId="2268" xr:uid="{00000000-0005-0000-0000-0000D2080000}"/>
    <cellStyle name="Accent1 7 3" xfId="2269" xr:uid="{00000000-0005-0000-0000-0000D3080000}"/>
    <cellStyle name="Accent1 7 4" xfId="2270" xr:uid="{00000000-0005-0000-0000-0000D4080000}"/>
    <cellStyle name="Accent1 7 5" xfId="2271" xr:uid="{00000000-0005-0000-0000-0000D5080000}"/>
    <cellStyle name="Accent1 7 6" xfId="2272" xr:uid="{00000000-0005-0000-0000-0000D6080000}"/>
    <cellStyle name="Accent1 7 7" xfId="2273" xr:uid="{00000000-0005-0000-0000-0000D7080000}"/>
    <cellStyle name="Accent1 7 8" xfId="2274" xr:uid="{00000000-0005-0000-0000-0000D8080000}"/>
    <cellStyle name="Accent1 7 9" xfId="2275" xr:uid="{00000000-0005-0000-0000-0000D9080000}"/>
    <cellStyle name="Accent1 8" xfId="2276" xr:uid="{00000000-0005-0000-0000-0000DA080000}"/>
    <cellStyle name="Accent1 8 10" xfId="2277" xr:uid="{00000000-0005-0000-0000-0000DB080000}"/>
    <cellStyle name="Accent1 8 11" xfId="2278" xr:uid="{00000000-0005-0000-0000-0000DC080000}"/>
    <cellStyle name="Accent1 8 12" xfId="2279" xr:uid="{00000000-0005-0000-0000-0000DD080000}"/>
    <cellStyle name="Accent1 8 2" xfId="2280" xr:uid="{00000000-0005-0000-0000-0000DE080000}"/>
    <cellStyle name="Accent1 8 3" xfId="2281" xr:uid="{00000000-0005-0000-0000-0000DF080000}"/>
    <cellStyle name="Accent1 8 4" xfId="2282" xr:uid="{00000000-0005-0000-0000-0000E0080000}"/>
    <cellStyle name="Accent1 8 5" xfId="2283" xr:uid="{00000000-0005-0000-0000-0000E1080000}"/>
    <cellStyle name="Accent1 8 6" xfId="2284" xr:uid="{00000000-0005-0000-0000-0000E2080000}"/>
    <cellStyle name="Accent1 8 7" xfId="2285" xr:uid="{00000000-0005-0000-0000-0000E3080000}"/>
    <cellStyle name="Accent1 8 8" xfId="2286" xr:uid="{00000000-0005-0000-0000-0000E4080000}"/>
    <cellStyle name="Accent1 8 9" xfId="2287" xr:uid="{00000000-0005-0000-0000-0000E5080000}"/>
    <cellStyle name="Accent1 9" xfId="2288" xr:uid="{00000000-0005-0000-0000-0000E6080000}"/>
    <cellStyle name="Accent1 9 2" xfId="2289" xr:uid="{00000000-0005-0000-0000-0000E7080000}"/>
    <cellStyle name="Accent2 10" xfId="2290" xr:uid="{00000000-0005-0000-0000-0000E8080000}"/>
    <cellStyle name="Accent2 2" xfId="2291" xr:uid="{00000000-0005-0000-0000-0000E9080000}"/>
    <cellStyle name="Accent2 2 10" xfId="2292" xr:uid="{00000000-0005-0000-0000-0000EA080000}"/>
    <cellStyle name="Accent2 2 10 2" xfId="2293" xr:uid="{00000000-0005-0000-0000-0000EB080000}"/>
    <cellStyle name="Accent2 2 11" xfId="2294" xr:uid="{00000000-0005-0000-0000-0000EC080000}"/>
    <cellStyle name="Accent2 2 11 2" xfId="2295" xr:uid="{00000000-0005-0000-0000-0000ED080000}"/>
    <cellStyle name="Accent2 2 12" xfId="2296" xr:uid="{00000000-0005-0000-0000-0000EE080000}"/>
    <cellStyle name="Accent2 2 12 2" xfId="2297" xr:uid="{00000000-0005-0000-0000-0000EF080000}"/>
    <cellStyle name="Accent2 2 13" xfId="2298" xr:uid="{00000000-0005-0000-0000-0000F0080000}"/>
    <cellStyle name="Accent2 2 2" xfId="2299" xr:uid="{00000000-0005-0000-0000-0000F1080000}"/>
    <cellStyle name="Accent2 2 2 2" xfId="2300" xr:uid="{00000000-0005-0000-0000-0000F2080000}"/>
    <cellStyle name="Accent2 2 3" xfId="2301" xr:uid="{00000000-0005-0000-0000-0000F3080000}"/>
    <cellStyle name="Accent2 2 3 2" xfId="2302" xr:uid="{00000000-0005-0000-0000-0000F4080000}"/>
    <cellStyle name="Accent2 2 4" xfId="2303" xr:uid="{00000000-0005-0000-0000-0000F5080000}"/>
    <cellStyle name="Accent2 2 4 2" xfId="2304" xr:uid="{00000000-0005-0000-0000-0000F6080000}"/>
    <cellStyle name="Accent2 2 5" xfId="2305" xr:uid="{00000000-0005-0000-0000-0000F7080000}"/>
    <cellStyle name="Accent2 2 5 2" xfId="2306" xr:uid="{00000000-0005-0000-0000-0000F8080000}"/>
    <cellStyle name="Accent2 2 6" xfId="2307" xr:uid="{00000000-0005-0000-0000-0000F9080000}"/>
    <cellStyle name="Accent2 2 6 2" xfId="2308" xr:uid="{00000000-0005-0000-0000-0000FA080000}"/>
    <cellStyle name="Accent2 2 7" xfId="2309" xr:uid="{00000000-0005-0000-0000-0000FB080000}"/>
    <cellStyle name="Accent2 2 7 2" xfId="2310" xr:uid="{00000000-0005-0000-0000-0000FC080000}"/>
    <cellStyle name="Accent2 2 8" xfId="2311" xr:uid="{00000000-0005-0000-0000-0000FD080000}"/>
    <cellStyle name="Accent2 2 8 2" xfId="2312" xr:uid="{00000000-0005-0000-0000-0000FE080000}"/>
    <cellStyle name="Accent2 2 9" xfId="2313" xr:uid="{00000000-0005-0000-0000-0000FF080000}"/>
    <cellStyle name="Accent2 2 9 2" xfId="2314" xr:uid="{00000000-0005-0000-0000-000000090000}"/>
    <cellStyle name="Accent2 3" xfId="2315" xr:uid="{00000000-0005-0000-0000-000001090000}"/>
    <cellStyle name="Accent2 3 10" xfId="2316" xr:uid="{00000000-0005-0000-0000-000002090000}"/>
    <cellStyle name="Accent2 3 10 2" xfId="2317" xr:uid="{00000000-0005-0000-0000-000003090000}"/>
    <cellStyle name="Accent2 3 11" xfId="2318" xr:uid="{00000000-0005-0000-0000-000004090000}"/>
    <cellStyle name="Accent2 3 11 2" xfId="2319" xr:uid="{00000000-0005-0000-0000-000005090000}"/>
    <cellStyle name="Accent2 3 12" xfId="2320" xr:uid="{00000000-0005-0000-0000-000006090000}"/>
    <cellStyle name="Accent2 3 12 2" xfId="2321" xr:uid="{00000000-0005-0000-0000-000007090000}"/>
    <cellStyle name="Accent2 3 13" xfId="2322" xr:uid="{00000000-0005-0000-0000-000008090000}"/>
    <cellStyle name="Accent2 3 2" xfId="2323" xr:uid="{00000000-0005-0000-0000-000009090000}"/>
    <cellStyle name="Accent2 3 2 2" xfId="2324" xr:uid="{00000000-0005-0000-0000-00000A090000}"/>
    <cellStyle name="Accent2 3 3" xfId="2325" xr:uid="{00000000-0005-0000-0000-00000B090000}"/>
    <cellStyle name="Accent2 3 3 2" xfId="2326" xr:uid="{00000000-0005-0000-0000-00000C090000}"/>
    <cellStyle name="Accent2 3 4" xfId="2327" xr:uid="{00000000-0005-0000-0000-00000D090000}"/>
    <cellStyle name="Accent2 3 4 2" xfId="2328" xr:uid="{00000000-0005-0000-0000-00000E090000}"/>
    <cellStyle name="Accent2 3 5" xfId="2329" xr:uid="{00000000-0005-0000-0000-00000F090000}"/>
    <cellStyle name="Accent2 3 5 2" xfId="2330" xr:uid="{00000000-0005-0000-0000-000010090000}"/>
    <cellStyle name="Accent2 3 6" xfId="2331" xr:uid="{00000000-0005-0000-0000-000011090000}"/>
    <cellStyle name="Accent2 3 6 2" xfId="2332" xr:uid="{00000000-0005-0000-0000-000012090000}"/>
    <cellStyle name="Accent2 3 7" xfId="2333" xr:uid="{00000000-0005-0000-0000-000013090000}"/>
    <cellStyle name="Accent2 3 7 2" xfId="2334" xr:uid="{00000000-0005-0000-0000-000014090000}"/>
    <cellStyle name="Accent2 3 8" xfId="2335" xr:uid="{00000000-0005-0000-0000-000015090000}"/>
    <cellStyle name="Accent2 3 8 2" xfId="2336" xr:uid="{00000000-0005-0000-0000-000016090000}"/>
    <cellStyle name="Accent2 3 9" xfId="2337" xr:uid="{00000000-0005-0000-0000-000017090000}"/>
    <cellStyle name="Accent2 3 9 2" xfId="2338" xr:uid="{00000000-0005-0000-0000-000018090000}"/>
    <cellStyle name="Accent2 4" xfId="2339" xr:uid="{00000000-0005-0000-0000-000019090000}"/>
    <cellStyle name="Accent2 4 10" xfId="2340" xr:uid="{00000000-0005-0000-0000-00001A090000}"/>
    <cellStyle name="Accent2 4 10 2" xfId="2341" xr:uid="{00000000-0005-0000-0000-00001B090000}"/>
    <cellStyle name="Accent2 4 11" xfId="2342" xr:uid="{00000000-0005-0000-0000-00001C090000}"/>
    <cellStyle name="Accent2 4 11 2" xfId="2343" xr:uid="{00000000-0005-0000-0000-00001D090000}"/>
    <cellStyle name="Accent2 4 12" xfId="2344" xr:uid="{00000000-0005-0000-0000-00001E090000}"/>
    <cellStyle name="Accent2 4 12 2" xfId="2345" xr:uid="{00000000-0005-0000-0000-00001F090000}"/>
    <cellStyle name="Accent2 4 13" xfId="2346" xr:uid="{00000000-0005-0000-0000-000020090000}"/>
    <cellStyle name="Accent2 4 2" xfId="2347" xr:uid="{00000000-0005-0000-0000-000021090000}"/>
    <cellStyle name="Accent2 4 2 2" xfId="2348" xr:uid="{00000000-0005-0000-0000-000022090000}"/>
    <cellStyle name="Accent2 4 3" xfId="2349" xr:uid="{00000000-0005-0000-0000-000023090000}"/>
    <cellStyle name="Accent2 4 3 2" xfId="2350" xr:uid="{00000000-0005-0000-0000-000024090000}"/>
    <cellStyle name="Accent2 4 4" xfId="2351" xr:uid="{00000000-0005-0000-0000-000025090000}"/>
    <cellStyle name="Accent2 4 4 2" xfId="2352" xr:uid="{00000000-0005-0000-0000-000026090000}"/>
    <cellStyle name="Accent2 4 5" xfId="2353" xr:uid="{00000000-0005-0000-0000-000027090000}"/>
    <cellStyle name="Accent2 4 5 2" xfId="2354" xr:uid="{00000000-0005-0000-0000-000028090000}"/>
    <cellStyle name="Accent2 4 6" xfId="2355" xr:uid="{00000000-0005-0000-0000-000029090000}"/>
    <cellStyle name="Accent2 4 6 2" xfId="2356" xr:uid="{00000000-0005-0000-0000-00002A090000}"/>
    <cellStyle name="Accent2 4 7" xfId="2357" xr:uid="{00000000-0005-0000-0000-00002B090000}"/>
    <cellStyle name="Accent2 4 7 2" xfId="2358" xr:uid="{00000000-0005-0000-0000-00002C090000}"/>
    <cellStyle name="Accent2 4 8" xfId="2359" xr:uid="{00000000-0005-0000-0000-00002D090000}"/>
    <cellStyle name="Accent2 4 8 2" xfId="2360" xr:uid="{00000000-0005-0000-0000-00002E090000}"/>
    <cellStyle name="Accent2 4 9" xfId="2361" xr:uid="{00000000-0005-0000-0000-00002F090000}"/>
    <cellStyle name="Accent2 4 9 2" xfId="2362" xr:uid="{00000000-0005-0000-0000-000030090000}"/>
    <cellStyle name="Accent2 5" xfId="2363" xr:uid="{00000000-0005-0000-0000-000031090000}"/>
    <cellStyle name="Accent2 5 10" xfId="2364" xr:uid="{00000000-0005-0000-0000-000032090000}"/>
    <cellStyle name="Accent2 5 10 2" xfId="2365" xr:uid="{00000000-0005-0000-0000-000033090000}"/>
    <cellStyle name="Accent2 5 11" xfId="2366" xr:uid="{00000000-0005-0000-0000-000034090000}"/>
    <cellStyle name="Accent2 5 11 2" xfId="2367" xr:uid="{00000000-0005-0000-0000-000035090000}"/>
    <cellStyle name="Accent2 5 12" xfId="2368" xr:uid="{00000000-0005-0000-0000-000036090000}"/>
    <cellStyle name="Accent2 5 12 2" xfId="2369" xr:uid="{00000000-0005-0000-0000-000037090000}"/>
    <cellStyle name="Accent2 5 13" xfId="2370" xr:uid="{00000000-0005-0000-0000-000038090000}"/>
    <cellStyle name="Accent2 5 2" xfId="2371" xr:uid="{00000000-0005-0000-0000-000039090000}"/>
    <cellStyle name="Accent2 5 2 2" xfId="2372" xr:uid="{00000000-0005-0000-0000-00003A090000}"/>
    <cellStyle name="Accent2 5 3" xfId="2373" xr:uid="{00000000-0005-0000-0000-00003B090000}"/>
    <cellStyle name="Accent2 5 3 2" xfId="2374" xr:uid="{00000000-0005-0000-0000-00003C090000}"/>
    <cellStyle name="Accent2 5 4" xfId="2375" xr:uid="{00000000-0005-0000-0000-00003D090000}"/>
    <cellStyle name="Accent2 5 4 2" xfId="2376" xr:uid="{00000000-0005-0000-0000-00003E090000}"/>
    <cellStyle name="Accent2 5 5" xfId="2377" xr:uid="{00000000-0005-0000-0000-00003F090000}"/>
    <cellStyle name="Accent2 5 5 2" xfId="2378" xr:uid="{00000000-0005-0000-0000-000040090000}"/>
    <cellStyle name="Accent2 5 6" xfId="2379" xr:uid="{00000000-0005-0000-0000-000041090000}"/>
    <cellStyle name="Accent2 5 6 2" xfId="2380" xr:uid="{00000000-0005-0000-0000-000042090000}"/>
    <cellStyle name="Accent2 5 7" xfId="2381" xr:uid="{00000000-0005-0000-0000-000043090000}"/>
    <cellStyle name="Accent2 5 7 2" xfId="2382" xr:uid="{00000000-0005-0000-0000-000044090000}"/>
    <cellStyle name="Accent2 5 8" xfId="2383" xr:uid="{00000000-0005-0000-0000-000045090000}"/>
    <cellStyle name="Accent2 5 8 2" xfId="2384" xr:uid="{00000000-0005-0000-0000-000046090000}"/>
    <cellStyle name="Accent2 5 9" xfId="2385" xr:uid="{00000000-0005-0000-0000-000047090000}"/>
    <cellStyle name="Accent2 5 9 2" xfId="2386" xr:uid="{00000000-0005-0000-0000-000048090000}"/>
    <cellStyle name="Accent2 6" xfId="2387" xr:uid="{00000000-0005-0000-0000-000049090000}"/>
    <cellStyle name="Accent2 6 10" xfId="2388" xr:uid="{00000000-0005-0000-0000-00004A090000}"/>
    <cellStyle name="Accent2 6 11" xfId="2389" xr:uid="{00000000-0005-0000-0000-00004B090000}"/>
    <cellStyle name="Accent2 6 12" xfId="2390" xr:uid="{00000000-0005-0000-0000-00004C090000}"/>
    <cellStyle name="Accent2 6 2" xfId="2391" xr:uid="{00000000-0005-0000-0000-00004D090000}"/>
    <cellStyle name="Accent2 6 3" xfId="2392" xr:uid="{00000000-0005-0000-0000-00004E090000}"/>
    <cellStyle name="Accent2 6 4" xfId="2393" xr:uid="{00000000-0005-0000-0000-00004F090000}"/>
    <cellStyle name="Accent2 6 5" xfId="2394" xr:uid="{00000000-0005-0000-0000-000050090000}"/>
    <cellStyle name="Accent2 6 6" xfId="2395" xr:uid="{00000000-0005-0000-0000-000051090000}"/>
    <cellStyle name="Accent2 6 7" xfId="2396" xr:uid="{00000000-0005-0000-0000-000052090000}"/>
    <cellStyle name="Accent2 6 8" xfId="2397" xr:uid="{00000000-0005-0000-0000-000053090000}"/>
    <cellStyle name="Accent2 6 9" xfId="2398" xr:uid="{00000000-0005-0000-0000-000054090000}"/>
    <cellStyle name="Accent2 7" xfId="2399" xr:uid="{00000000-0005-0000-0000-000055090000}"/>
    <cellStyle name="Accent2 7 10" xfId="2400" xr:uid="{00000000-0005-0000-0000-000056090000}"/>
    <cellStyle name="Accent2 7 11" xfId="2401" xr:uid="{00000000-0005-0000-0000-000057090000}"/>
    <cellStyle name="Accent2 7 12" xfId="2402" xr:uid="{00000000-0005-0000-0000-000058090000}"/>
    <cellStyle name="Accent2 7 2" xfId="2403" xr:uid="{00000000-0005-0000-0000-000059090000}"/>
    <cellStyle name="Accent2 7 3" xfId="2404" xr:uid="{00000000-0005-0000-0000-00005A090000}"/>
    <cellStyle name="Accent2 7 4" xfId="2405" xr:uid="{00000000-0005-0000-0000-00005B090000}"/>
    <cellStyle name="Accent2 7 5" xfId="2406" xr:uid="{00000000-0005-0000-0000-00005C090000}"/>
    <cellStyle name="Accent2 7 6" xfId="2407" xr:uid="{00000000-0005-0000-0000-00005D090000}"/>
    <cellStyle name="Accent2 7 7" xfId="2408" xr:uid="{00000000-0005-0000-0000-00005E090000}"/>
    <cellStyle name="Accent2 7 8" xfId="2409" xr:uid="{00000000-0005-0000-0000-00005F090000}"/>
    <cellStyle name="Accent2 7 9" xfId="2410" xr:uid="{00000000-0005-0000-0000-000060090000}"/>
    <cellStyle name="Accent2 8" xfId="2411" xr:uid="{00000000-0005-0000-0000-000061090000}"/>
    <cellStyle name="Accent2 8 10" xfId="2412" xr:uid="{00000000-0005-0000-0000-000062090000}"/>
    <cellStyle name="Accent2 8 11" xfId="2413" xr:uid="{00000000-0005-0000-0000-000063090000}"/>
    <cellStyle name="Accent2 8 12" xfId="2414" xr:uid="{00000000-0005-0000-0000-000064090000}"/>
    <cellStyle name="Accent2 8 2" xfId="2415" xr:uid="{00000000-0005-0000-0000-000065090000}"/>
    <cellStyle name="Accent2 8 3" xfId="2416" xr:uid="{00000000-0005-0000-0000-000066090000}"/>
    <cellStyle name="Accent2 8 4" xfId="2417" xr:uid="{00000000-0005-0000-0000-000067090000}"/>
    <cellStyle name="Accent2 8 5" xfId="2418" xr:uid="{00000000-0005-0000-0000-000068090000}"/>
    <cellStyle name="Accent2 8 6" xfId="2419" xr:uid="{00000000-0005-0000-0000-000069090000}"/>
    <cellStyle name="Accent2 8 7" xfId="2420" xr:uid="{00000000-0005-0000-0000-00006A090000}"/>
    <cellStyle name="Accent2 8 8" xfId="2421" xr:uid="{00000000-0005-0000-0000-00006B090000}"/>
    <cellStyle name="Accent2 8 9" xfId="2422" xr:uid="{00000000-0005-0000-0000-00006C090000}"/>
    <cellStyle name="Accent2 9" xfId="2423" xr:uid="{00000000-0005-0000-0000-00006D090000}"/>
    <cellStyle name="Accent2 9 2" xfId="2424" xr:uid="{00000000-0005-0000-0000-00006E090000}"/>
    <cellStyle name="Accent3 10" xfId="2425" xr:uid="{00000000-0005-0000-0000-00006F090000}"/>
    <cellStyle name="Accent3 2" xfId="2426" xr:uid="{00000000-0005-0000-0000-000070090000}"/>
    <cellStyle name="Accent3 2 10" xfId="2427" xr:uid="{00000000-0005-0000-0000-000071090000}"/>
    <cellStyle name="Accent3 2 10 2" xfId="2428" xr:uid="{00000000-0005-0000-0000-000072090000}"/>
    <cellStyle name="Accent3 2 11" xfId="2429" xr:uid="{00000000-0005-0000-0000-000073090000}"/>
    <cellStyle name="Accent3 2 11 2" xfId="2430" xr:uid="{00000000-0005-0000-0000-000074090000}"/>
    <cellStyle name="Accent3 2 12" xfId="2431" xr:uid="{00000000-0005-0000-0000-000075090000}"/>
    <cellStyle name="Accent3 2 12 2" xfId="2432" xr:uid="{00000000-0005-0000-0000-000076090000}"/>
    <cellStyle name="Accent3 2 13" xfId="2433" xr:uid="{00000000-0005-0000-0000-000077090000}"/>
    <cellStyle name="Accent3 2 2" xfId="2434" xr:uid="{00000000-0005-0000-0000-000078090000}"/>
    <cellStyle name="Accent3 2 2 2" xfId="2435" xr:uid="{00000000-0005-0000-0000-000079090000}"/>
    <cellStyle name="Accent3 2 3" xfId="2436" xr:uid="{00000000-0005-0000-0000-00007A090000}"/>
    <cellStyle name="Accent3 2 3 2" xfId="2437" xr:uid="{00000000-0005-0000-0000-00007B090000}"/>
    <cellStyle name="Accent3 2 4" xfId="2438" xr:uid="{00000000-0005-0000-0000-00007C090000}"/>
    <cellStyle name="Accent3 2 4 2" xfId="2439" xr:uid="{00000000-0005-0000-0000-00007D090000}"/>
    <cellStyle name="Accent3 2 5" xfId="2440" xr:uid="{00000000-0005-0000-0000-00007E090000}"/>
    <cellStyle name="Accent3 2 5 2" xfId="2441" xr:uid="{00000000-0005-0000-0000-00007F090000}"/>
    <cellStyle name="Accent3 2 6" xfId="2442" xr:uid="{00000000-0005-0000-0000-000080090000}"/>
    <cellStyle name="Accent3 2 6 2" xfId="2443" xr:uid="{00000000-0005-0000-0000-000081090000}"/>
    <cellStyle name="Accent3 2 7" xfId="2444" xr:uid="{00000000-0005-0000-0000-000082090000}"/>
    <cellStyle name="Accent3 2 7 2" xfId="2445" xr:uid="{00000000-0005-0000-0000-000083090000}"/>
    <cellStyle name="Accent3 2 8" xfId="2446" xr:uid="{00000000-0005-0000-0000-000084090000}"/>
    <cellStyle name="Accent3 2 8 2" xfId="2447" xr:uid="{00000000-0005-0000-0000-000085090000}"/>
    <cellStyle name="Accent3 2 9" xfId="2448" xr:uid="{00000000-0005-0000-0000-000086090000}"/>
    <cellStyle name="Accent3 2 9 2" xfId="2449" xr:uid="{00000000-0005-0000-0000-000087090000}"/>
    <cellStyle name="Accent3 3" xfId="2450" xr:uid="{00000000-0005-0000-0000-000088090000}"/>
    <cellStyle name="Accent3 3 10" xfId="2451" xr:uid="{00000000-0005-0000-0000-000089090000}"/>
    <cellStyle name="Accent3 3 10 2" xfId="2452" xr:uid="{00000000-0005-0000-0000-00008A090000}"/>
    <cellStyle name="Accent3 3 11" xfId="2453" xr:uid="{00000000-0005-0000-0000-00008B090000}"/>
    <cellStyle name="Accent3 3 11 2" xfId="2454" xr:uid="{00000000-0005-0000-0000-00008C090000}"/>
    <cellStyle name="Accent3 3 12" xfId="2455" xr:uid="{00000000-0005-0000-0000-00008D090000}"/>
    <cellStyle name="Accent3 3 12 2" xfId="2456" xr:uid="{00000000-0005-0000-0000-00008E090000}"/>
    <cellStyle name="Accent3 3 13" xfId="2457" xr:uid="{00000000-0005-0000-0000-00008F090000}"/>
    <cellStyle name="Accent3 3 2" xfId="2458" xr:uid="{00000000-0005-0000-0000-000090090000}"/>
    <cellStyle name="Accent3 3 2 2" xfId="2459" xr:uid="{00000000-0005-0000-0000-000091090000}"/>
    <cellStyle name="Accent3 3 3" xfId="2460" xr:uid="{00000000-0005-0000-0000-000092090000}"/>
    <cellStyle name="Accent3 3 3 2" xfId="2461" xr:uid="{00000000-0005-0000-0000-000093090000}"/>
    <cellStyle name="Accent3 3 4" xfId="2462" xr:uid="{00000000-0005-0000-0000-000094090000}"/>
    <cellStyle name="Accent3 3 4 2" xfId="2463" xr:uid="{00000000-0005-0000-0000-000095090000}"/>
    <cellStyle name="Accent3 3 5" xfId="2464" xr:uid="{00000000-0005-0000-0000-000096090000}"/>
    <cellStyle name="Accent3 3 5 2" xfId="2465" xr:uid="{00000000-0005-0000-0000-000097090000}"/>
    <cellStyle name="Accent3 3 6" xfId="2466" xr:uid="{00000000-0005-0000-0000-000098090000}"/>
    <cellStyle name="Accent3 3 6 2" xfId="2467" xr:uid="{00000000-0005-0000-0000-000099090000}"/>
    <cellStyle name="Accent3 3 7" xfId="2468" xr:uid="{00000000-0005-0000-0000-00009A090000}"/>
    <cellStyle name="Accent3 3 7 2" xfId="2469" xr:uid="{00000000-0005-0000-0000-00009B090000}"/>
    <cellStyle name="Accent3 3 8" xfId="2470" xr:uid="{00000000-0005-0000-0000-00009C090000}"/>
    <cellStyle name="Accent3 3 8 2" xfId="2471" xr:uid="{00000000-0005-0000-0000-00009D090000}"/>
    <cellStyle name="Accent3 3 9" xfId="2472" xr:uid="{00000000-0005-0000-0000-00009E090000}"/>
    <cellStyle name="Accent3 3 9 2" xfId="2473" xr:uid="{00000000-0005-0000-0000-00009F090000}"/>
    <cellStyle name="Accent3 4" xfId="2474" xr:uid="{00000000-0005-0000-0000-0000A0090000}"/>
    <cellStyle name="Accent3 4 10" xfId="2475" xr:uid="{00000000-0005-0000-0000-0000A1090000}"/>
    <cellStyle name="Accent3 4 10 2" xfId="2476" xr:uid="{00000000-0005-0000-0000-0000A2090000}"/>
    <cellStyle name="Accent3 4 11" xfId="2477" xr:uid="{00000000-0005-0000-0000-0000A3090000}"/>
    <cellStyle name="Accent3 4 11 2" xfId="2478" xr:uid="{00000000-0005-0000-0000-0000A4090000}"/>
    <cellStyle name="Accent3 4 12" xfId="2479" xr:uid="{00000000-0005-0000-0000-0000A5090000}"/>
    <cellStyle name="Accent3 4 12 2" xfId="2480" xr:uid="{00000000-0005-0000-0000-0000A6090000}"/>
    <cellStyle name="Accent3 4 13" xfId="2481" xr:uid="{00000000-0005-0000-0000-0000A7090000}"/>
    <cellStyle name="Accent3 4 2" xfId="2482" xr:uid="{00000000-0005-0000-0000-0000A8090000}"/>
    <cellStyle name="Accent3 4 2 2" xfId="2483" xr:uid="{00000000-0005-0000-0000-0000A9090000}"/>
    <cellStyle name="Accent3 4 3" xfId="2484" xr:uid="{00000000-0005-0000-0000-0000AA090000}"/>
    <cellStyle name="Accent3 4 3 2" xfId="2485" xr:uid="{00000000-0005-0000-0000-0000AB090000}"/>
    <cellStyle name="Accent3 4 4" xfId="2486" xr:uid="{00000000-0005-0000-0000-0000AC090000}"/>
    <cellStyle name="Accent3 4 4 2" xfId="2487" xr:uid="{00000000-0005-0000-0000-0000AD090000}"/>
    <cellStyle name="Accent3 4 5" xfId="2488" xr:uid="{00000000-0005-0000-0000-0000AE090000}"/>
    <cellStyle name="Accent3 4 5 2" xfId="2489" xr:uid="{00000000-0005-0000-0000-0000AF090000}"/>
    <cellStyle name="Accent3 4 6" xfId="2490" xr:uid="{00000000-0005-0000-0000-0000B0090000}"/>
    <cellStyle name="Accent3 4 6 2" xfId="2491" xr:uid="{00000000-0005-0000-0000-0000B1090000}"/>
    <cellStyle name="Accent3 4 7" xfId="2492" xr:uid="{00000000-0005-0000-0000-0000B2090000}"/>
    <cellStyle name="Accent3 4 7 2" xfId="2493" xr:uid="{00000000-0005-0000-0000-0000B3090000}"/>
    <cellStyle name="Accent3 4 8" xfId="2494" xr:uid="{00000000-0005-0000-0000-0000B4090000}"/>
    <cellStyle name="Accent3 4 8 2" xfId="2495" xr:uid="{00000000-0005-0000-0000-0000B5090000}"/>
    <cellStyle name="Accent3 4 9" xfId="2496" xr:uid="{00000000-0005-0000-0000-0000B6090000}"/>
    <cellStyle name="Accent3 4 9 2" xfId="2497" xr:uid="{00000000-0005-0000-0000-0000B7090000}"/>
    <cellStyle name="Accent3 5" xfId="2498" xr:uid="{00000000-0005-0000-0000-0000B8090000}"/>
    <cellStyle name="Accent3 5 10" xfId="2499" xr:uid="{00000000-0005-0000-0000-0000B9090000}"/>
    <cellStyle name="Accent3 5 10 2" xfId="2500" xr:uid="{00000000-0005-0000-0000-0000BA090000}"/>
    <cellStyle name="Accent3 5 11" xfId="2501" xr:uid="{00000000-0005-0000-0000-0000BB090000}"/>
    <cellStyle name="Accent3 5 11 2" xfId="2502" xr:uid="{00000000-0005-0000-0000-0000BC090000}"/>
    <cellStyle name="Accent3 5 12" xfId="2503" xr:uid="{00000000-0005-0000-0000-0000BD090000}"/>
    <cellStyle name="Accent3 5 12 2" xfId="2504" xr:uid="{00000000-0005-0000-0000-0000BE090000}"/>
    <cellStyle name="Accent3 5 13" xfId="2505" xr:uid="{00000000-0005-0000-0000-0000BF090000}"/>
    <cellStyle name="Accent3 5 2" xfId="2506" xr:uid="{00000000-0005-0000-0000-0000C0090000}"/>
    <cellStyle name="Accent3 5 2 2" xfId="2507" xr:uid="{00000000-0005-0000-0000-0000C1090000}"/>
    <cellStyle name="Accent3 5 3" xfId="2508" xr:uid="{00000000-0005-0000-0000-0000C2090000}"/>
    <cellStyle name="Accent3 5 3 2" xfId="2509" xr:uid="{00000000-0005-0000-0000-0000C3090000}"/>
    <cellStyle name="Accent3 5 4" xfId="2510" xr:uid="{00000000-0005-0000-0000-0000C4090000}"/>
    <cellStyle name="Accent3 5 4 2" xfId="2511" xr:uid="{00000000-0005-0000-0000-0000C5090000}"/>
    <cellStyle name="Accent3 5 5" xfId="2512" xr:uid="{00000000-0005-0000-0000-0000C6090000}"/>
    <cellStyle name="Accent3 5 5 2" xfId="2513" xr:uid="{00000000-0005-0000-0000-0000C7090000}"/>
    <cellStyle name="Accent3 5 6" xfId="2514" xr:uid="{00000000-0005-0000-0000-0000C8090000}"/>
    <cellStyle name="Accent3 5 6 2" xfId="2515" xr:uid="{00000000-0005-0000-0000-0000C9090000}"/>
    <cellStyle name="Accent3 5 7" xfId="2516" xr:uid="{00000000-0005-0000-0000-0000CA090000}"/>
    <cellStyle name="Accent3 5 7 2" xfId="2517" xr:uid="{00000000-0005-0000-0000-0000CB090000}"/>
    <cellStyle name="Accent3 5 8" xfId="2518" xr:uid="{00000000-0005-0000-0000-0000CC090000}"/>
    <cellStyle name="Accent3 5 8 2" xfId="2519" xr:uid="{00000000-0005-0000-0000-0000CD090000}"/>
    <cellStyle name="Accent3 5 9" xfId="2520" xr:uid="{00000000-0005-0000-0000-0000CE090000}"/>
    <cellStyle name="Accent3 5 9 2" xfId="2521" xr:uid="{00000000-0005-0000-0000-0000CF090000}"/>
    <cellStyle name="Accent3 6" xfId="2522" xr:uid="{00000000-0005-0000-0000-0000D0090000}"/>
    <cellStyle name="Accent3 6 10" xfId="2523" xr:uid="{00000000-0005-0000-0000-0000D1090000}"/>
    <cellStyle name="Accent3 6 11" xfId="2524" xr:uid="{00000000-0005-0000-0000-0000D2090000}"/>
    <cellStyle name="Accent3 6 12" xfId="2525" xr:uid="{00000000-0005-0000-0000-0000D3090000}"/>
    <cellStyle name="Accent3 6 2" xfId="2526" xr:uid="{00000000-0005-0000-0000-0000D4090000}"/>
    <cellStyle name="Accent3 6 3" xfId="2527" xr:uid="{00000000-0005-0000-0000-0000D5090000}"/>
    <cellStyle name="Accent3 6 4" xfId="2528" xr:uid="{00000000-0005-0000-0000-0000D6090000}"/>
    <cellStyle name="Accent3 6 5" xfId="2529" xr:uid="{00000000-0005-0000-0000-0000D7090000}"/>
    <cellStyle name="Accent3 6 6" xfId="2530" xr:uid="{00000000-0005-0000-0000-0000D8090000}"/>
    <cellStyle name="Accent3 6 7" xfId="2531" xr:uid="{00000000-0005-0000-0000-0000D9090000}"/>
    <cellStyle name="Accent3 6 8" xfId="2532" xr:uid="{00000000-0005-0000-0000-0000DA090000}"/>
    <cellStyle name="Accent3 6 9" xfId="2533" xr:uid="{00000000-0005-0000-0000-0000DB090000}"/>
    <cellStyle name="Accent3 7" xfId="2534" xr:uid="{00000000-0005-0000-0000-0000DC090000}"/>
    <cellStyle name="Accent3 7 10" xfId="2535" xr:uid="{00000000-0005-0000-0000-0000DD090000}"/>
    <cellStyle name="Accent3 7 11" xfId="2536" xr:uid="{00000000-0005-0000-0000-0000DE090000}"/>
    <cellStyle name="Accent3 7 12" xfId="2537" xr:uid="{00000000-0005-0000-0000-0000DF090000}"/>
    <cellStyle name="Accent3 7 2" xfId="2538" xr:uid="{00000000-0005-0000-0000-0000E0090000}"/>
    <cellStyle name="Accent3 7 3" xfId="2539" xr:uid="{00000000-0005-0000-0000-0000E1090000}"/>
    <cellStyle name="Accent3 7 4" xfId="2540" xr:uid="{00000000-0005-0000-0000-0000E2090000}"/>
    <cellStyle name="Accent3 7 5" xfId="2541" xr:uid="{00000000-0005-0000-0000-0000E3090000}"/>
    <cellStyle name="Accent3 7 6" xfId="2542" xr:uid="{00000000-0005-0000-0000-0000E4090000}"/>
    <cellStyle name="Accent3 7 7" xfId="2543" xr:uid="{00000000-0005-0000-0000-0000E5090000}"/>
    <cellStyle name="Accent3 7 8" xfId="2544" xr:uid="{00000000-0005-0000-0000-0000E6090000}"/>
    <cellStyle name="Accent3 7 9" xfId="2545" xr:uid="{00000000-0005-0000-0000-0000E7090000}"/>
    <cellStyle name="Accent3 8" xfId="2546" xr:uid="{00000000-0005-0000-0000-0000E8090000}"/>
    <cellStyle name="Accent3 8 10" xfId="2547" xr:uid="{00000000-0005-0000-0000-0000E9090000}"/>
    <cellStyle name="Accent3 8 11" xfId="2548" xr:uid="{00000000-0005-0000-0000-0000EA090000}"/>
    <cellStyle name="Accent3 8 12" xfId="2549" xr:uid="{00000000-0005-0000-0000-0000EB090000}"/>
    <cellStyle name="Accent3 8 2" xfId="2550" xr:uid="{00000000-0005-0000-0000-0000EC090000}"/>
    <cellStyle name="Accent3 8 3" xfId="2551" xr:uid="{00000000-0005-0000-0000-0000ED090000}"/>
    <cellStyle name="Accent3 8 4" xfId="2552" xr:uid="{00000000-0005-0000-0000-0000EE090000}"/>
    <cellStyle name="Accent3 8 5" xfId="2553" xr:uid="{00000000-0005-0000-0000-0000EF090000}"/>
    <cellStyle name="Accent3 8 6" xfId="2554" xr:uid="{00000000-0005-0000-0000-0000F0090000}"/>
    <cellStyle name="Accent3 8 7" xfId="2555" xr:uid="{00000000-0005-0000-0000-0000F1090000}"/>
    <cellStyle name="Accent3 8 8" xfId="2556" xr:uid="{00000000-0005-0000-0000-0000F2090000}"/>
    <cellStyle name="Accent3 8 9" xfId="2557" xr:uid="{00000000-0005-0000-0000-0000F3090000}"/>
    <cellStyle name="Accent3 9" xfId="2558" xr:uid="{00000000-0005-0000-0000-0000F4090000}"/>
    <cellStyle name="Accent3 9 2" xfId="2559" xr:uid="{00000000-0005-0000-0000-0000F5090000}"/>
    <cellStyle name="Accent4 10" xfId="2560" xr:uid="{00000000-0005-0000-0000-0000F6090000}"/>
    <cellStyle name="Accent4 2" xfId="2561" xr:uid="{00000000-0005-0000-0000-0000F7090000}"/>
    <cellStyle name="Accent4 2 10" xfId="2562" xr:uid="{00000000-0005-0000-0000-0000F8090000}"/>
    <cellStyle name="Accent4 2 10 2" xfId="2563" xr:uid="{00000000-0005-0000-0000-0000F9090000}"/>
    <cellStyle name="Accent4 2 11" xfId="2564" xr:uid="{00000000-0005-0000-0000-0000FA090000}"/>
    <cellStyle name="Accent4 2 11 2" xfId="2565" xr:uid="{00000000-0005-0000-0000-0000FB090000}"/>
    <cellStyle name="Accent4 2 12" xfId="2566" xr:uid="{00000000-0005-0000-0000-0000FC090000}"/>
    <cellStyle name="Accent4 2 12 2" xfId="2567" xr:uid="{00000000-0005-0000-0000-0000FD090000}"/>
    <cellStyle name="Accent4 2 13" xfId="2568" xr:uid="{00000000-0005-0000-0000-0000FE090000}"/>
    <cellStyle name="Accent4 2 2" xfId="2569" xr:uid="{00000000-0005-0000-0000-0000FF090000}"/>
    <cellStyle name="Accent4 2 2 2" xfId="2570" xr:uid="{00000000-0005-0000-0000-0000000A0000}"/>
    <cellStyle name="Accent4 2 3" xfId="2571" xr:uid="{00000000-0005-0000-0000-0000010A0000}"/>
    <cellStyle name="Accent4 2 3 2" xfId="2572" xr:uid="{00000000-0005-0000-0000-0000020A0000}"/>
    <cellStyle name="Accent4 2 4" xfId="2573" xr:uid="{00000000-0005-0000-0000-0000030A0000}"/>
    <cellStyle name="Accent4 2 4 2" xfId="2574" xr:uid="{00000000-0005-0000-0000-0000040A0000}"/>
    <cellStyle name="Accent4 2 5" xfId="2575" xr:uid="{00000000-0005-0000-0000-0000050A0000}"/>
    <cellStyle name="Accent4 2 5 2" xfId="2576" xr:uid="{00000000-0005-0000-0000-0000060A0000}"/>
    <cellStyle name="Accent4 2 6" xfId="2577" xr:uid="{00000000-0005-0000-0000-0000070A0000}"/>
    <cellStyle name="Accent4 2 6 2" xfId="2578" xr:uid="{00000000-0005-0000-0000-0000080A0000}"/>
    <cellStyle name="Accent4 2 7" xfId="2579" xr:uid="{00000000-0005-0000-0000-0000090A0000}"/>
    <cellStyle name="Accent4 2 7 2" xfId="2580" xr:uid="{00000000-0005-0000-0000-00000A0A0000}"/>
    <cellStyle name="Accent4 2 8" xfId="2581" xr:uid="{00000000-0005-0000-0000-00000B0A0000}"/>
    <cellStyle name="Accent4 2 8 2" xfId="2582" xr:uid="{00000000-0005-0000-0000-00000C0A0000}"/>
    <cellStyle name="Accent4 2 9" xfId="2583" xr:uid="{00000000-0005-0000-0000-00000D0A0000}"/>
    <cellStyle name="Accent4 2 9 2" xfId="2584" xr:uid="{00000000-0005-0000-0000-00000E0A0000}"/>
    <cellStyle name="Accent4 3" xfId="2585" xr:uid="{00000000-0005-0000-0000-00000F0A0000}"/>
    <cellStyle name="Accent4 3 10" xfId="2586" xr:uid="{00000000-0005-0000-0000-0000100A0000}"/>
    <cellStyle name="Accent4 3 10 2" xfId="2587" xr:uid="{00000000-0005-0000-0000-0000110A0000}"/>
    <cellStyle name="Accent4 3 11" xfId="2588" xr:uid="{00000000-0005-0000-0000-0000120A0000}"/>
    <cellStyle name="Accent4 3 11 2" xfId="2589" xr:uid="{00000000-0005-0000-0000-0000130A0000}"/>
    <cellStyle name="Accent4 3 12" xfId="2590" xr:uid="{00000000-0005-0000-0000-0000140A0000}"/>
    <cellStyle name="Accent4 3 12 2" xfId="2591" xr:uid="{00000000-0005-0000-0000-0000150A0000}"/>
    <cellStyle name="Accent4 3 13" xfId="2592" xr:uid="{00000000-0005-0000-0000-0000160A0000}"/>
    <cellStyle name="Accent4 3 2" xfId="2593" xr:uid="{00000000-0005-0000-0000-0000170A0000}"/>
    <cellStyle name="Accent4 3 2 2" xfId="2594" xr:uid="{00000000-0005-0000-0000-0000180A0000}"/>
    <cellStyle name="Accent4 3 3" xfId="2595" xr:uid="{00000000-0005-0000-0000-0000190A0000}"/>
    <cellStyle name="Accent4 3 3 2" xfId="2596" xr:uid="{00000000-0005-0000-0000-00001A0A0000}"/>
    <cellStyle name="Accent4 3 4" xfId="2597" xr:uid="{00000000-0005-0000-0000-00001B0A0000}"/>
    <cellStyle name="Accent4 3 4 2" xfId="2598" xr:uid="{00000000-0005-0000-0000-00001C0A0000}"/>
    <cellStyle name="Accent4 3 5" xfId="2599" xr:uid="{00000000-0005-0000-0000-00001D0A0000}"/>
    <cellStyle name="Accent4 3 5 2" xfId="2600" xr:uid="{00000000-0005-0000-0000-00001E0A0000}"/>
    <cellStyle name="Accent4 3 6" xfId="2601" xr:uid="{00000000-0005-0000-0000-00001F0A0000}"/>
    <cellStyle name="Accent4 3 6 2" xfId="2602" xr:uid="{00000000-0005-0000-0000-0000200A0000}"/>
    <cellStyle name="Accent4 3 7" xfId="2603" xr:uid="{00000000-0005-0000-0000-0000210A0000}"/>
    <cellStyle name="Accent4 3 7 2" xfId="2604" xr:uid="{00000000-0005-0000-0000-0000220A0000}"/>
    <cellStyle name="Accent4 3 8" xfId="2605" xr:uid="{00000000-0005-0000-0000-0000230A0000}"/>
    <cellStyle name="Accent4 3 8 2" xfId="2606" xr:uid="{00000000-0005-0000-0000-0000240A0000}"/>
    <cellStyle name="Accent4 3 9" xfId="2607" xr:uid="{00000000-0005-0000-0000-0000250A0000}"/>
    <cellStyle name="Accent4 3 9 2" xfId="2608" xr:uid="{00000000-0005-0000-0000-0000260A0000}"/>
    <cellStyle name="Accent4 4" xfId="2609" xr:uid="{00000000-0005-0000-0000-0000270A0000}"/>
    <cellStyle name="Accent4 4 10" xfId="2610" xr:uid="{00000000-0005-0000-0000-0000280A0000}"/>
    <cellStyle name="Accent4 4 10 2" xfId="2611" xr:uid="{00000000-0005-0000-0000-0000290A0000}"/>
    <cellStyle name="Accent4 4 11" xfId="2612" xr:uid="{00000000-0005-0000-0000-00002A0A0000}"/>
    <cellStyle name="Accent4 4 11 2" xfId="2613" xr:uid="{00000000-0005-0000-0000-00002B0A0000}"/>
    <cellStyle name="Accent4 4 12" xfId="2614" xr:uid="{00000000-0005-0000-0000-00002C0A0000}"/>
    <cellStyle name="Accent4 4 12 2" xfId="2615" xr:uid="{00000000-0005-0000-0000-00002D0A0000}"/>
    <cellStyle name="Accent4 4 13" xfId="2616" xr:uid="{00000000-0005-0000-0000-00002E0A0000}"/>
    <cellStyle name="Accent4 4 2" xfId="2617" xr:uid="{00000000-0005-0000-0000-00002F0A0000}"/>
    <cellStyle name="Accent4 4 2 2" xfId="2618" xr:uid="{00000000-0005-0000-0000-0000300A0000}"/>
    <cellStyle name="Accent4 4 3" xfId="2619" xr:uid="{00000000-0005-0000-0000-0000310A0000}"/>
    <cellStyle name="Accent4 4 3 2" xfId="2620" xr:uid="{00000000-0005-0000-0000-0000320A0000}"/>
    <cellStyle name="Accent4 4 4" xfId="2621" xr:uid="{00000000-0005-0000-0000-0000330A0000}"/>
    <cellStyle name="Accent4 4 4 2" xfId="2622" xr:uid="{00000000-0005-0000-0000-0000340A0000}"/>
    <cellStyle name="Accent4 4 5" xfId="2623" xr:uid="{00000000-0005-0000-0000-0000350A0000}"/>
    <cellStyle name="Accent4 4 5 2" xfId="2624" xr:uid="{00000000-0005-0000-0000-0000360A0000}"/>
    <cellStyle name="Accent4 4 6" xfId="2625" xr:uid="{00000000-0005-0000-0000-0000370A0000}"/>
    <cellStyle name="Accent4 4 6 2" xfId="2626" xr:uid="{00000000-0005-0000-0000-0000380A0000}"/>
    <cellStyle name="Accent4 4 7" xfId="2627" xr:uid="{00000000-0005-0000-0000-0000390A0000}"/>
    <cellStyle name="Accent4 4 7 2" xfId="2628" xr:uid="{00000000-0005-0000-0000-00003A0A0000}"/>
    <cellStyle name="Accent4 4 8" xfId="2629" xr:uid="{00000000-0005-0000-0000-00003B0A0000}"/>
    <cellStyle name="Accent4 4 8 2" xfId="2630" xr:uid="{00000000-0005-0000-0000-00003C0A0000}"/>
    <cellStyle name="Accent4 4 9" xfId="2631" xr:uid="{00000000-0005-0000-0000-00003D0A0000}"/>
    <cellStyle name="Accent4 4 9 2" xfId="2632" xr:uid="{00000000-0005-0000-0000-00003E0A0000}"/>
    <cellStyle name="Accent4 5" xfId="2633" xr:uid="{00000000-0005-0000-0000-00003F0A0000}"/>
    <cellStyle name="Accent4 5 10" xfId="2634" xr:uid="{00000000-0005-0000-0000-0000400A0000}"/>
    <cellStyle name="Accent4 5 10 2" xfId="2635" xr:uid="{00000000-0005-0000-0000-0000410A0000}"/>
    <cellStyle name="Accent4 5 11" xfId="2636" xr:uid="{00000000-0005-0000-0000-0000420A0000}"/>
    <cellStyle name="Accent4 5 11 2" xfId="2637" xr:uid="{00000000-0005-0000-0000-0000430A0000}"/>
    <cellStyle name="Accent4 5 12" xfId="2638" xr:uid="{00000000-0005-0000-0000-0000440A0000}"/>
    <cellStyle name="Accent4 5 12 2" xfId="2639" xr:uid="{00000000-0005-0000-0000-0000450A0000}"/>
    <cellStyle name="Accent4 5 13" xfId="2640" xr:uid="{00000000-0005-0000-0000-0000460A0000}"/>
    <cellStyle name="Accent4 5 2" xfId="2641" xr:uid="{00000000-0005-0000-0000-0000470A0000}"/>
    <cellStyle name="Accent4 5 2 2" xfId="2642" xr:uid="{00000000-0005-0000-0000-0000480A0000}"/>
    <cellStyle name="Accent4 5 3" xfId="2643" xr:uid="{00000000-0005-0000-0000-0000490A0000}"/>
    <cellStyle name="Accent4 5 3 2" xfId="2644" xr:uid="{00000000-0005-0000-0000-00004A0A0000}"/>
    <cellStyle name="Accent4 5 4" xfId="2645" xr:uid="{00000000-0005-0000-0000-00004B0A0000}"/>
    <cellStyle name="Accent4 5 4 2" xfId="2646" xr:uid="{00000000-0005-0000-0000-00004C0A0000}"/>
    <cellStyle name="Accent4 5 5" xfId="2647" xr:uid="{00000000-0005-0000-0000-00004D0A0000}"/>
    <cellStyle name="Accent4 5 5 2" xfId="2648" xr:uid="{00000000-0005-0000-0000-00004E0A0000}"/>
    <cellStyle name="Accent4 5 6" xfId="2649" xr:uid="{00000000-0005-0000-0000-00004F0A0000}"/>
    <cellStyle name="Accent4 5 6 2" xfId="2650" xr:uid="{00000000-0005-0000-0000-0000500A0000}"/>
    <cellStyle name="Accent4 5 7" xfId="2651" xr:uid="{00000000-0005-0000-0000-0000510A0000}"/>
    <cellStyle name="Accent4 5 7 2" xfId="2652" xr:uid="{00000000-0005-0000-0000-0000520A0000}"/>
    <cellStyle name="Accent4 5 8" xfId="2653" xr:uid="{00000000-0005-0000-0000-0000530A0000}"/>
    <cellStyle name="Accent4 5 8 2" xfId="2654" xr:uid="{00000000-0005-0000-0000-0000540A0000}"/>
    <cellStyle name="Accent4 5 9" xfId="2655" xr:uid="{00000000-0005-0000-0000-0000550A0000}"/>
    <cellStyle name="Accent4 5 9 2" xfId="2656" xr:uid="{00000000-0005-0000-0000-0000560A0000}"/>
    <cellStyle name="Accent4 6" xfId="2657" xr:uid="{00000000-0005-0000-0000-0000570A0000}"/>
    <cellStyle name="Accent4 6 10" xfId="2658" xr:uid="{00000000-0005-0000-0000-0000580A0000}"/>
    <cellStyle name="Accent4 6 11" xfId="2659" xr:uid="{00000000-0005-0000-0000-0000590A0000}"/>
    <cellStyle name="Accent4 6 12" xfId="2660" xr:uid="{00000000-0005-0000-0000-00005A0A0000}"/>
    <cellStyle name="Accent4 6 2" xfId="2661" xr:uid="{00000000-0005-0000-0000-00005B0A0000}"/>
    <cellStyle name="Accent4 6 3" xfId="2662" xr:uid="{00000000-0005-0000-0000-00005C0A0000}"/>
    <cellStyle name="Accent4 6 4" xfId="2663" xr:uid="{00000000-0005-0000-0000-00005D0A0000}"/>
    <cellStyle name="Accent4 6 5" xfId="2664" xr:uid="{00000000-0005-0000-0000-00005E0A0000}"/>
    <cellStyle name="Accent4 6 6" xfId="2665" xr:uid="{00000000-0005-0000-0000-00005F0A0000}"/>
    <cellStyle name="Accent4 6 7" xfId="2666" xr:uid="{00000000-0005-0000-0000-0000600A0000}"/>
    <cellStyle name="Accent4 6 8" xfId="2667" xr:uid="{00000000-0005-0000-0000-0000610A0000}"/>
    <cellStyle name="Accent4 6 9" xfId="2668" xr:uid="{00000000-0005-0000-0000-0000620A0000}"/>
    <cellStyle name="Accent4 7" xfId="2669" xr:uid="{00000000-0005-0000-0000-0000630A0000}"/>
    <cellStyle name="Accent4 7 10" xfId="2670" xr:uid="{00000000-0005-0000-0000-0000640A0000}"/>
    <cellStyle name="Accent4 7 11" xfId="2671" xr:uid="{00000000-0005-0000-0000-0000650A0000}"/>
    <cellStyle name="Accent4 7 12" xfId="2672" xr:uid="{00000000-0005-0000-0000-0000660A0000}"/>
    <cellStyle name="Accent4 7 2" xfId="2673" xr:uid="{00000000-0005-0000-0000-0000670A0000}"/>
    <cellStyle name="Accent4 7 3" xfId="2674" xr:uid="{00000000-0005-0000-0000-0000680A0000}"/>
    <cellStyle name="Accent4 7 4" xfId="2675" xr:uid="{00000000-0005-0000-0000-0000690A0000}"/>
    <cellStyle name="Accent4 7 5" xfId="2676" xr:uid="{00000000-0005-0000-0000-00006A0A0000}"/>
    <cellStyle name="Accent4 7 6" xfId="2677" xr:uid="{00000000-0005-0000-0000-00006B0A0000}"/>
    <cellStyle name="Accent4 7 7" xfId="2678" xr:uid="{00000000-0005-0000-0000-00006C0A0000}"/>
    <cellStyle name="Accent4 7 8" xfId="2679" xr:uid="{00000000-0005-0000-0000-00006D0A0000}"/>
    <cellStyle name="Accent4 7 9" xfId="2680" xr:uid="{00000000-0005-0000-0000-00006E0A0000}"/>
    <cellStyle name="Accent4 8" xfId="2681" xr:uid="{00000000-0005-0000-0000-00006F0A0000}"/>
    <cellStyle name="Accent4 8 10" xfId="2682" xr:uid="{00000000-0005-0000-0000-0000700A0000}"/>
    <cellStyle name="Accent4 8 11" xfId="2683" xr:uid="{00000000-0005-0000-0000-0000710A0000}"/>
    <cellStyle name="Accent4 8 12" xfId="2684" xr:uid="{00000000-0005-0000-0000-0000720A0000}"/>
    <cellStyle name="Accent4 8 2" xfId="2685" xr:uid="{00000000-0005-0000-0000-0000730A0000}"/>
    <cellStyle name="Accent4 8 3" xfId="2686" xr:uid="{00000000-0005-0000-0000-0000740A0000}"/>
    <cellStyle name="Accent4 8 4" xfId="2687" xr:uid="{00000000-0005-0000-0000-0000750A0000}"/>
    <cellStyle name="Accent4 8 5" xfId="2688" xr:uid="{00000000-0005-0000-0000-0000760A0000}"/>
    <cellStyle name="Accent4 8 6" xfId="2689" xr:uid="{00000000-0005-0000-0000-0000770A0000}"/>
    <cellStyle name="Accent4 8 7" xfId="2690" xr:uid="{00000000-0005-0000-0000-0000780A0000}"/>
    <cellStyle name="Accent4 8 8" xfId="2691" xr:uid="{00000000-0005-0000-0000-0000790A0000}"/>
    <cellStyle name="Accent4 8 9" xfId="2692" xr:uid="{00000000-0005-0000-0000-00007A0A0000}"/>
    <cellStyle name="Accent4 9" xfId="2693" xr:uid="{00000000-0005-0000-0000-00007B0A0000}"/>
    <cellStyle name="Accent4 9 2" xfId="2694" xr:uid="{00000000-0005-0000-0000-00007C0A0000}"/>
    <cellStyle name="Accent5 2" xfId="2695" xr:uid="{00000000-0005-0000-0000-00007D0A0000}"/>
    <cellStyle name="Accent5 2 10" xfId="2696" xr:uid="{00000000-0005-0000-0000-00007E0A0000}"/>
    <cellStyle name="Accent5 2 10 2" xfId="2697" xr:uid="{00000000-0005-0000-0000-00007F0A0000}"/>
    <cellStyle name="Accent5 2 11" xfId="2698" xr:uid="{00000000-0005-0000-0000-0000800A0000}"/>
    <cellStyle name="Accent5 2 11 2" xfId="2699" xr:uid="{00000000-0005-0000-0000-0000810A0000}"/>
    <cellStyle name="Accent5 2 12" xfId="2700" xr:uid="{00000000-0005-0000-0000-0000820A0000}"/>
    <cellStyle name="Accent5 2 12 2" xfId="2701" xr:uid="{00000000-0005-0000-0000-0000830A0000}"/>
    <cellStyle name="Accent5 2 13" xfId="2702" xr:uid="{00000000-0005-0000-0000-0000840A0000}"/>
    <cellStyle name="Accent5 2 2" xfId="2703" xr:uid="{00000000-0005-0000-0000-0000850A0000}"/>
    <cellStyle name="Accent5 2 2 2" xfId="2704" xr:uid="{00000000-0005-0000-0000-0000860A0000}"/>
    <cellStyle name="Accent5 2 3" xfId="2705" xr:uid="{00000000-0005-0000-0000-0000870A0000}"/>
    <cellStyle name="Accent5 2 3 2" xfId="2706" xr:uid="{00000000-0005-0000-0000-0000880A0000}"/>
    <cellStyle name="Accent5 2 4" xfId="2707" xr:uid="{00000000-0005-0000-0000-0000890A0000}"/>
    <cellStyle name="Accent5 2 4 2" xfId="2708" xr:uid="{00000000-0005-0000-0000-00008A0A0000}"/>
    <cellStyle name="Accent5 2 5" xfId="2709" xr:uid="{00000000-0005-0000-0000-00008B0A0000}"/>
    <cellStyle name="Accent5 2 5 2" xfId="2710" xr:uid="{00000000-0005-0000-0000-00008C0A0000}"/>
    <cellStyle name="Accent5 2 6" xfId="2711" xr:uid="{00000000-0005-0000-0000-00008D0A0000}"/>
    <cellStyle name="Accent5 2 6 2" xfId="2712" xr:uid="{00000000-0005-0000-0000-00008E0A0000}"/>
    <cellStyle name="Accent5 2 7" xfId="2713" xr:uid="{00000000-0005-0000-0000-00008F0A0000}"/>
    <cellStyle name="Accent5 2 7 2" xfId="2714" xr:uid="{00000000-0005-0000-0000-0000900A0000}"/>
    <cellStyle name="Accent5 2 8" xfId="2715" xr:uid="{00000000-0005-0000-0000-0000910A0000}"/>
    <cellStyle name="Accent5 2 8 2" xfId="2716" xr:uid="{00000000-0005-0000-0000-0000920A0000}"/>
    <cellStyle name="Accent5 2 9" xfId="2717" xr:uid="{00000000-0005-0000-0000-0000930A0000}"/>
    <cellStyle name="Accent5 2 9 2" xfId="2718" xr:uid="{00000000-0005-0000-0000-0000940A0000}"/>
    <cellStyle name="Accent5 3" xfId="2719" xr:uid="{00000000-0005-0000-0000-0000950A0000}"/>
    <cellStyle name="Accent5 3 10" xfId="2720" xr:uid="{00000000-0005-0000-0000-0000960A0000}"/>
    <cellStyle name="Accent5 3 10 2" xfId="2721" xr:uid="{00000000-0005-0000-0000-0000970A0000}"/>
    <cellStyle name="Accent5 3 11" xfId="2722" xr:uid="{00000000-0005-0000-0000-0000980A0000}"/>
    <cellStyle name="Accent5 3 11 2" xfId="2723" xr:uid="{00000000-0005-0000-0000-0000990A0000}"/>
    <cellStyle name="Accent5 3 12" xfId="2724" xr:uid="{00000000-0005-0000-0000-00009A0A0000}"/>
    <cellStyle name="Accent5 3 12 2" xfId="2725" xr:uid="{00000000-0005-0000-0000-00009B0A0000}"/>
    <cellStyle name="Accent5 3 13" xfId="2726" xr:uid="{00000000-0005-0000-0000-00009C0A0000}"/>
    <cellStyle name="Accent5 3 2" xfId="2727" xr:uid="{00000000-0005-0000-0000-00009D0A0000}"/>
    <cellStyle name="Accent5 3 2 2" xfId="2728" xr:uid="{00000000-0005-0000-0000-00009E0A0000}"/>
    <cellStyle name="Accent5 3 3" xfId="2729" xr:uid="{00000000-0005-0000-0000-00009F0A0000}"/>
    <cellStyle name="Accent5 3 3 2" xfId="2730" xr:uid="{00000000-0005-0000-0000-0000A00A0000}"/>
    <cellStyle name="Accent5 3 4" xfId="2731" xr:uid="{00000000-0005-0000-0000-0000A10A0000}"/>
    <cellStyle name="Accent5 3 4 2" xfId="2732" xr:uid="{00000000-0005-0000-0000-0000A20A0000}"/>
    <cellStyle name="Accent5 3 5" xfId="2733" xr:uid="{00000000-0005-0000-0000-0000A30A0000}"/>
    <cellStyle name="Accent5 3 5 2" xfId="2734" xr:uid="{00000000-0005-0000-0000-0000A40A0000}"/>
    <cellStyle name="Accent5 3 6" xfId="2735" xr:uid="{00000000-0005-0000-0000-0000A50A0000}"/>
    <cellStyle name="Accent5 3 6 2" xfId="2736" xr:uid="{00000000-0005-0000-0000-0000A60A0000}"/>
    <cellStyle name="Accent5 3 7" xfId="2737" xr:uid="{00000000-0005-0000-0000-0000A70A0000}"/>
    <cellStyle name="Accent5 3 7 2" xfId="2738" xr:uid="{00000000-0005-0000-0000-0000A80A0000}"/>
    <cellStyle name="Accent5 3 8" xfId="2739" xr:uid="{00000000-0005-0000-0000-0000A90A0000}"/>
    <cellStyle name="Accent5 3 8 2" xfId="2740" xr:uid="{00000000-0005-0000-0000-0000AA0A0000}"/>
    <cellStyle name="Accent5 3 9" xfId="2741" xr:uid="{00000000-0005-0000-0000-0000AB0A0000}"/>
    <cellStyle name="Accent5 3 9 2" xfId="2742" xr:uid="{00000000-0005-0000-0000-0000AC0A0000}"/>
    <cellStyle name="Accent5 4" xfId="2743" xr:uid="{00000000-0005-0000-0000-0000AD0A0000}"/>
    <cellStyle name="Accent5 4 10" xfId="2744" xr:uid="{00000000-0005-0000-0000-0000AE0A0000}"/>
    <cellStyle name="Accent5 4 10 2" xfId="2745" xr:uid="{00000000-0005-0000-0000-0000AF0A0000}"/>
    <cellStyle name="Accent5 4 11" xfId="2746" xr:uid="{00000000-0005-0000-0000-0000B00A0000}"/>
    <cellStyle name="Accent5 4 11 2" xfId="2747" xr:uid="{00000000-0005-0000-0000-0000B10A0000}"/>
    <cellStyle name="Accent5 4 12" xfId="2748" xr:uid="{00000000-0005-0000-0000-0000B20A0000}"/>
    <cellStyle name="Accent5 4 12 2" xfId="2749" xr:uid="{00000000-0005-0000-0000-0000B30A0000}"/>
    <cellStyle name="Accent5 4 13" xfId="2750" xr:uid="{00000000-0005-0000-0000-0000B40A0000}"/>
    <cellStyle name="Accent5 4 2" xfId="2751" xr:uid="{00000000-0005-0000-0000-0000B50A0000}"/>
    <cellStyle name="Accent5 4 2 2" xfId="2752" xr:uid="{00000000-0005-0000-0000-0000B60A0000}"/>
    <cellStyle name="Accent5 4 3" xfId="2753" xr:uid="{00000000-0005-0000-0000-0000B70A0000}"/>
    <cellStyle name="Accent5 4 3 2" xfId="2754" xr:uid="{00000000-0005-0000-0000-0000B80A0000}"/>
    <cellStyle name="Accent5 4 4" xfId="2755" xr:uid="{00000000-0005-0000-0000-0000B90A0000}"/>
    <cellStyle name="Accent5 4 4 2" xfId="2756" xr:uid="{00000000-0005-0000-0000-0000BA0A0000}"/>
    <cellStyle name="Accent5 4 5" xfId="2757" xr:uid="{00000000-0005-0000-0000-0000BB0A0000}"/>
    <cellStyle name="Accent5 4 5 2" xfId="2758" xr:uid="{00000000-0005-0000-0000-0000BC0A0000}"/>
    <cellStyle name="Accent5 4 6" xfId="2759" xr:uid="{00000000-0005-0000-0000-0000BD0A0000}"/>
    <cellStyle name="Accent5 4 6 2" xfId="2760" xr:uid="{00000000-0005-0000-0000-0000BE0A0000}"/>
    <cellStyle name="Accent5 4 7" xfId="2761" xr:uid="{00000000-0005-0000-0000-0000BF0A0000}"/>
    <cellStyle name="Accent5 4 7 2" xfId="2762" xr:uid="{00000000-0005-0000-0000-0000C00A0000}"/>
    <cellStyle name="Accent5 4 8" xfId="2763" xr:uid="{00000000-0005-0000-0000-0000C10A0000}"/>
    <cellStyle name="Accent5 4 8 2" xfId="2764" xr:uid="{00000000-0005-0000-0000-0000C20A0000}"/>
    <cellStyle name="Accent5 4 9" xfId="2765" xr:uid="{00000000-0005-0000-0000-0000C30A0000}"/>
    <cellStyle name="Accent5 4 9 2" xfId="2766" xr:uid="{00000000-0005-0000-0000-0000C40A0000}"/>
    <cellStyle name="Accent5 5" xfId="2767" xr:uid="{00000000-0005-0000-0000-0000C50A0000}"/>
    <cellStyle name="Accent5 5 10" xfId="2768" xr:uid="{00000000-0005-0000-0000-0000C60A0000}"/>
    <cellStyle name="Accent5 5 10 2" xfId="2769" xr:uid="{00000000-0005-0000-0000-0000C70A0000}"/>
    <cellStyle name="Accent5 5 11" xfId="2770" xr:uid="{00000000-0005-0000-0000-0000C80A0000}"/>
    <cellStyle name="Accent5 5 11 2" xfId="2771" xr:uid="{00000000-0005-0000-0000-0000C90A0000}"/>
    <cellStyle name="Accent5 5 12" xfId="2772" xr:uid="{00000000-0005-0000-0000-0000CA0A0000}"/>
    <cellStyle name="Accent5 5 12 2" xfId="2773" xr:uid="{00000000-0005-0000-0000-0000CB0A0000}"/>
    <cellStyle name="Accent5 5 13" xfId="2774" xr:uid="{00000000-0005-0000-0000-0000CC0A0000}"/>
    <cellStyle name="Accent5 5 2" xfId="2775" xr:uid="{00000000-0005-0000-0000-0000CD0A0000}"/>
    <cellStyle name="Accent5 5 2 2" xfId="2776" xr:uid="{00000000-0005-0000-0000-0000CE0A0000}"/>
    <cellStyle name="Accent5 5 3" xfId="2777" xr:uid="{00000000-0005-0000-0000-0000CF0A0000}"/>
    <cellStyle name="Accent5 5 3 2" xfId="2778" xr:uid="{00000000-0005-0000-0000-0000D00A0000}"/>
    <cellStyle name="Accent5 5 4" xfId="2779" xr:uid="{00000000-0005-0000-0000-0000D10A0000}"/>
    <cellStyle name="Accent5 5 4 2" xfId="2780" xr:uid="{00000000-0005-0000-0000-0000D20A0000}"/>
    <cellStyle name="Accent5 5 5" xfId="2781" xr:uid="{00000000-0005-0000-0000-0000D30A0000}"/>
    <cellStyle name="Accent5 5 5 2" xfId="2782" xr:uid="{00000000-0005-0000-0000-0000D40A0000}"/>
    <cellStyle name="Accent5 5 6" xfId="2783" xr:uid="{00000000-0005-0000-0000-0000D50A0000}"/>
    <cellStyle name="Accent5 5 6 2" xfId="2784" xr:uid="{00000000-0005-0000-0000-0000D60A0000}"/>
    <cellStyle name="Accent5 5 7" xfId="2785" xr:uid="{00000000-0005-0000-0000-0000D70A0000}"/>
    <cellStyle name="Accent5 5 7 2" xfId="2786" xr:uid="{00000000-0005-0000-0000-0000D80A0000}"/>
    <cellStyle name="Accent5 5 8" xfId="2787" xr:uid="{00000000-0005-0000-0000-0000D90A0000}"/>
    <cellStyle name="Accent5 5 8 2" xfId="2788" xr:uid="{00000000-0005-0000-0000-0000DA0A0000}"/>
    <cellStyle name="Accent5 5 9" xfId="2789" xr:uid="{00000000-0005-0000-0000-0000DB0A0000}"/>
    <cellStyle name="Accent5 5 9 2" xfId="2790" xr:uid="{00000000-0005-0000-0000-0000DC0A0000}"/>
    <cellStyle name="Accent5 6" xfId="2791" xr:uid="{00000000-0005-0000-0000-0000DD0A0000}"/>
    <cellStyle name="Accent5 6 2" xfId="2792" xr:uid="{00000000-0005-0000-0000-0000DE0A0000}"/>
    <cellStyle name="Accent5 7" xfId="2793" xr:uid="{00000000-0005-0000-0000-0000DF0A0000}"/>
    <cellStyle name="Accent6 2" xfId="2794" xr:uid="{00000000-0005-0000-0000-0000E00A0000}"/>
    <cellStyle name="Accent6 2 10" xfId="2795" xr:uid="{00000000-0005-0000-0000-0000E10A0000}"/>
    <cellStyle name="Accent6 2 10 2" xfId="2796" xr:uid="{00000000-0005-0000-0000-0000E20A0000}"/>
    <cellStyle name="Accent6 2 11" xfId="2797" xr:uid="{00000000-0005-0000-0000-0000E30A0000}"/>
    <cellStyle name="Accent6 2 11 2" xfId="2798" xr:uid="{00000000-0005-0000-0000-0000E40A0000}"/>
    <cellStyle name="Accent6 2 12" xfId="2799" xr:uid="{00000000-0005-0000-0000-0000E50A0000}"/>
    <cellStyle name="Accent6 2 12 2" xfId="2800" xr:uid="{00000000-0005-0000-0000-0000E60A0000}"/>
    <cellStyle name="Accent6 2 13" xfId="2801" xr:uid="{00000000-0005-0000-0000-0000E70A0000}"/>
    <cellStyle name="Accent6 2 2" xfId="2802" xr:uid="{00000000-0005-0000-0000-0000E80A0000}"/>
    <cellStyle name="Accent6 2 2 2" xfId="2803" xr:uid="{00000000-0005-0000-0000-0000E90A0000}"/>
    <cellStyle name="Accent6 2 3" xfId="2804" xr:uid="{00000000-0005-0000-0000-0000EA0A0000}"/>
    <cellStyle name="Accent6 2 3 2" xfId="2805" xr:uid="{00000000-0005-0000-0000-0000EB0A0000}"/>
    <cellStyle name="Accent6 2 4" xfId="2806" xr:uid="{00000000-0005-0000-0000-0000EC0A0000}"/>
    <cellStyle name="Accent6 2 4 2" xfId="2807" xr:uid="{00000000-0005-0000-0000-0000ED0A0000}"/>
    <cellStyle name="Accent6 2 5" xfId="2808" xr:uid="{00000000-0005-0000-0000-0000EE0A0000}"/>
    <cellStyle name="Accent6 2 5 2" xfId="2809" xr:uid="{00000000-0005-0000-0000-0000EF0A0000}"/>
    <cellStyle name="Accent6 2 6" xfId="2810" xr:uid="{00000000-0005-0000-0000-0000F00A0000}"/>
    <cellStyle name="Accent6 2 6 2" xfId="2811" xr:uid="{00000000-0005-0000-0000-0000F10A0000}"/>
    <cellStyle name="Accent6 2 7" xfId="2812" xr:uid="{00000000-0005-0000-0000-0000F20A0000}"/>
    <cellStyle name="Accent6 2 7 2" xfId="2813" xr:uid="{00000000-0005-0000-0000-0000F30A0000}"/>
    <cellStyle name="Accent6 2 8" xfId="2814" xr:uid="{00000000-0005-0000-0000-0000F40A0000}"/>
    <cellStyle name="Accent6 2 8 2" xfId="2815" xr:uid="{00000000-0005-0000-0000-0000F50A0000}"/>
    <cellStyle name="Accent6 2 9" xfId="2816" xr:uid="{00000000-0005-0000-0000-0000F60A0000}"/>
    <cellStyle name="Accent6 2 9 2" xfId="2817" xr:uid="{00000000-0005-0000-0000-0000F70A0000}"/>
    <cellStyle name="Accent6 3" xfId="2818" xr:uid="{00000000-0005-0000-0000-0000F80A0000}"/>
    <cellStyle name="Accent6 3 10" xfId="2819" xr:uid="{00000000-0005-0000-0000-0000F90A0000}"/>
    <cellStyle name="Accent6 3 10 2" xfId="2820" xr:uid="{00000000-0005-0000-0000-0000FA0A0000}"/>
    <cellStyle name="Accent6 3 11" xfId="2821" xr:uid="{00000000-0005-0000-0000-0000FB0A0000}"/>
    <cellStyle name="Accent6 3 11 2" xfId="2822" xr:uid="{00000000-0005-0000-0000-0000FC0A0000}"/>
    <cellStyle name="Accent6 3 12" xfId="2823" xr:uid="{00000000-0005-0000-0000-0000FD0A0000}"/>
    <cellStyle name="Accent6 3 12 2" xfId="2824" xr:uid="{00000000-0005-0000-0000-0000FE0A0000}"/>
    <cellStyle name="Accent6 3 13" xfId="2825" xr:uid="{00000000-0005-0000-0000-0000FF0A0000}"/>
    <cellStyle name="Accent6 3 2" xfId="2826" xr:uid="{00000000-0005-0000-0000-0000000B0000}"/>
    <cellStyle name="Accent6 3 2 2" xfId="2827" xr:uid="{00000000-0005-0000-0000-0000010B0000}"/>
    <cellStyle name="Accent6 3 3" xfId="2828" xr:uid="{00000000-0005-0000-0000-0000020B0000}"/>
    <cellStyle name="Accent6 3 3 2" xfId="2829" xr:uid="{00000000-0005-0000-0000-0000030B0000}"/>
    <cellStyle name="Accent6 3 4" xfId="2830" xr:uid="{00000000-0005-0000-0000-0000040B0000}"/>
    <cellStyle name="Accent6 3 4 2" xfId="2831" xr:uid="{00000000-0005-0000-0000-0000050B0000}"/>
    <cellStyle name="Accent6 3 5" xfId="2832" xr:uid="{00000000-0005-0000-0000-0000060B0000}"/>
    <cellStyle name="Accent6 3 5 2" xfId="2833" xr:uid="{00000000-0005-0000-0000-0000070B0000}"/>
    <cellStyle name="Accent6 3 6" xfId="2834" xr:uid="{00000000-0005-0000-0000-0000080B0000}"/>
    <cellStyle name="Accent6 3 6 2" xfId="2835" xr:uid="{00000000-0005-0000-0000-0000090B0000}"/>
    <cellStyle name="Accent6 3 7" xfId="2836" xr:uid="{00000000-0005-0000-0000-00000A0B0000}"/>
    <cellStyle name="Accent6 3 7 2" xfId="2837" xr:uid="{00000000-0005-0000-0000-00000B0B0000}"/>
    <cellStyle name="Accent6 3 8" xfId="2838" xr:uid="{00000000-0005-0000-0000-00000C0B0000}"/>
    <cellStyle name="Accent6 3 8 2" xfId="2839" xr:uid="{00000000-0005-0000-0000-00000D0B0000}"/>
    <cellStyle name="Accent6 3 9" xfId="2840" xr:uid="{00000000-0005-0000-0000-00000E0B0000}"/>
    <cellStyle name="Accent6 3 9 2" xfId="2841" xr:uid="{00000000-0005-0000-0000-00000F0B0000}"/>
    <cellStyle name="Accent6 4" xfId="2842" xr:uid="{00000000-0005-0000-0000-0000100B0000}"/>
    <cellStyle name="Accent6 4 10" xfId="2843" xr:uid="{00000000-0005-0000-0000-0000110B0000}"/>
    <cellStyle name="Accent6 4 10 2" xfId="2844" xr:uid="{00000000-0005-0000-0000-0000120B0000}"/>
    <cellStyle name="Accent6 4 11" xfId="2845" xr:uid="{00000000-0005-0000-0000-0000130B0000}"/>
    <cellStyle name="Accent6 4 11 2" xfId="2846" xr:uid="{00000000-0005-0000-0000-0000140B0000}"/>
    <cellStyle name="Accent6 4 12" xfId="2847" xr:uid="{00000000-0005-0000-0000-0000150B0000}"/>
    <cellStyle name="Accent6 4 12 2" xfId="2848" xr:uid="{00000000-0005-0000-0000-0000160B0000}"/>
    <cellStyle name="Accent6 4 13" xfId="2849" xr:uid="{00000000-0005-0000-0000-0000170B0000}"/>
    <cellStyle name="Accent6 4 2" xfId="2850" xr:uid="{00000000-0005-0000-0000-0000180B0000}"/>
    <cellStyle name="Accent6 4 2 2" xfId="2851" xr:uid="{00000000-0005-0000-0000-0000190B0000}"/>
    <cellStyle name="Accent6 4 3" xfId="2852" xr:uid="{00000000-0005-0000-0000-00001A0B0000}"/>
    <cellStyle name="Accent6 4 3 2" xfId="2853" xr:uid="{00000000-0005-0000-0000-00001B0B0000}"/>
    <cellStyle name="Accent6 4 4" xfId="2854" xr:uid="{00000000-0005-0000-0000-00001C0B0000}"/>
    <cellStyle name="Accent6 4 4 2" xfId="2855" xr:uid="{00000000-0005-0000-0000-00001D0B0000}"/>
    <cellStyle name="Accent6 4 5" xfId="2856" xr:uid="{00000000-0005-0000-0000-00001E0B0000}"/>
    <cellStyle name="Accent6 4 5 2" xfId="2857" xr:uid="{00000000-0005-0000-0000-00001F0B0000}"/>
    <cellStyle name="Accent6 4 6" xfId="2858" xr:uid="{00000000-0005-0000-0000-0000200B0000}"/>
    <cellStyle name="Accent6 4 6 2" xfId="2859" xr:uid="{00000000-0005-0000-0000-0000210B0000}"/>
    <cellStyle name="Accent6 4 7" xfId="2860" xr:uid="{00000000-0005-0000-0000-0000220B0000}"/>
    <cellStyle name="Accent6 4 7 2" xfId="2861" xr:uid="{00000000-0005-0000-0000-0000230B0000}"/>
    <cellStyle name="Accent6 4 8" xfId="2862" xr:uid="{00000000-0005-0000-0000-0000240B0000}"/>
    <cellStyle name="Accent6 4 8 2" xfId="2863" xr:uid="{00000000-0005-0000-0000-0000250B0000}"/>
    <cellStyle name="Accent6 4 9" xfId="2864" xr:uid="{00000000-0005-0000-0000-0000260B0000}"/>
    <cellStyle name="Accent6 4 9 2" xfId="2865" xr:uid="{00000000-0005-0000-0000-0000270B0000}"/>
    <cellStyle name="Accent6 5" xfId="2866" xr:uid="{00000000-0005-0000-0000-0000280B0000}"/>
    <cellStyle name="Accent6 5 10" xfId="2867" xr:uid="{00000000-0005-0000-0000-0000290B0000}"/>
    <cellStyle name="Accent6 5 10 2" xfId="2868" xr:uid="{00000000-0005-0000-0000-00002A0B0000}"/>
    <cellStyle name="Accent6 5 11" xfId="2869" xr:uid="{00000000-0005-0000-0000-00002B0B0000}"/>
    <cellStyle name="Accent6 5 11 2" xfId="2870" xr:uid="{00000000-0005-0000-0000-00002C0B0000}"/>
    <cellStyle name="Accent6 5 12" xfId="2871" xr:uid="{00000000-0005-0000-0000-00002D0B0000}"/>
    <cellStyle name="Accent6 5 12 2" xfId="2872" xr:uid="{00000000-0005-0000-0000-00002E0B0000}"/>
    <cellStyle name="Accent6 5 13" xfId="2873" xr:uid="{00000000-0005-0000-0000-00002F0B0000}"/>
    <cellStyle name="Accent6 5 2" xfId="2874" xr:uid="{00000000-0005-0000-0000-0000300B0000}"/>
    <cellStyle name="Accent6 5 2 2" xfId="2875" xr:uid="{00000000-0005-0000-0000-0000310B0000}"/>
    <cellStyle name="Accent6 5 3" xfId="2876" xr:uid="{00000000-0005-0000-0000-0000320B0000}"/>
    <cellStyle name="Accent6 5 3 2" xfId="2877" xr:uid="{00000000-0005-0000-0000-0000330B0000}"/>
    <cellStyle name="Accent6 5 4" xfId="2878" xr:uid="{00000000-0005-0000-0000-0000340B0000}"/>
    <cellStyle name="Accent6 5 4 2" xfId="2879" xr:uid="{00000000-0005-0000-0000-0000350B0000}"/>
    <cellStyle name="Accent6 5 5" xfId="2880" xr:uid="{00000000-0005-0000-0000-0000360B0000}"/>
    <cellStyle name="Accent6 5 5 2" xfId="2881" xr:uid="{00000000-0005-0000-0000-0000370B0000}"/>
    <cellStyle name="Accent6 5 6" xfId="2882" xr:uid="{00000000-0005-0000-0000-0000380B0000}"/>
    <cellStyle name="Accent6 5 6 2" xfId="2883" xr:uid="{00000000-0005-0000-0000-0000390B0000}"/>
    <cellStyle name="Accent6 5 7" xfId="2884" xr:uid="{00000000-0005-0000-0000-00003A0B0000}"/>
    <cellStyle name="Accent6 5 7 2" xfId="2885" xr:uid="{00000000-0005-0000-0000-00003B0B0000}"/>
    <cellStyle name="Accent6 5 8" xfId="2886" xr:uid="{00000000-0005-0000-0000-00003C0B0000}"/>
    <cellStyle name="Accent6 5 8 2" xfId="2887" xr:uid="{00000000-0005-0000-0000-00003D0B0000}"/>
    <cellStyle name="Accent6 5 9" xfId="2888" xr:uid="{00000000-0005-0000-0000-00003E0B0000}"/>
    <cellStyle name="Accent6 5 9 2" xfId="2889" xr:uid="{00000000-0005-0000-0000-00003F0B0000}"/>
    <cellStyle name="Accent6 6" xfId="2890" xr:uid="{00000000-0005-0000-0000-0000400B0000}"/>
    <cellStyle name="Accent6 6 10" xfId="2891" xr:uid="{00000000-0005-0000-0000-0000410B0000}"/>
    <cellStyle name="Accent6 6 11" xfId="2892" xr:uid="{00000000-0005-0000-0000-0000420B0000}"/>
    <cellStyle name="Accent6 6 12" xfId="2893" xr:uid="{00000000-0005-0000-0000-0000430B0000}"/>
    <cellStyle name="Accent6 6 2" xfId="2894" xr:uid="{00000000-0005-0000-0000-0000440B0000}"/>
    <cellStyle name="Accent6 6 3" xfId="2895" xr:uid="{00000000-0005-0000-0000-0000450B0000}"/>
    <cellStyle name="Accent6 6 4" xfId="2896" xr:uid="{00000000-0005-0000-0000-0000460B0000}"/>
    <cellStyle name="Accent6 6 5" xfId="2897" xr:uid="{00000000-0005-0000-0000-0000470B0000}"/>
    <cellStyle name="Accent6 6 6" xfId="2898" xr:uid="{00000000-0005-0000-0000-0000480B0000}"/>
    <cellStyle name="Accent6 6 7" xfId="2899" xr:uid="{00000000-0005-0000-0000-0000490B0000}"/>
    <cellStyle name="Accent6 6 8" xfId="2900" xr:uid="{00000000-0005-0000-0000-00004A0B0000}"/>
    <cellStyle name="Accent6 6 9" xfId="2901" xr:uid="{00000000-0005-0000-0000-00004B0B0000}"/>
    <cellStyle name="Accent6 7" xfId="2902" xr:uid="{00000000-0005-0000-0000-00004C0B0000}"/>
    <cellStyle name="Accent6 7 10" xfId="2903" xr:uid="{00000000-0005-0000-0000-00004D0B0000}"/>
    <cellStyle name="Accent6 7 11" xfId="2904" xr:uid="{00000000-0005-0000-0000-00004E0B0000}"/>
    <cellStyle name="Accent6 7 12" xfId="2905" xr:uid="{00000000-0005-0000-0000-00004F0B0000}"/>
    <cellStyle name="Accent6 7 2" xfId="2906" xr:uid="{00000000-0005-0000-0000-0000500B0000}"/>
    <cellStyle name="Accent6 7 3" xfId="2907" xr:uid="{00000000-0005-0000-0000-0000510B0000}"/>
    <cellStyle name="Accent6 7 4" xfId="2908" xr:uid="{00000000-0005-0000-0000-0000520B0000}"/>
    <cellStyle name="Accent6 7 5" xfId="2909" xr:uid="{00000000-0005-0000-0000-0000530B0000}"/>
    <cellStyle name="Accent6 7 6" xfId="2910" xr:uid="{00000000-0005-0000-0000-0000540B0000}"/>
    <cellStyle name="Accent6 7 7" xfId="2911" xr:uid="{00000000-0005-0000-0000-0000550B0000}"/>
    <cellStyle name="Accent6 7 8" xfId="2912" xr:uid="{00000000-0005-0000-0000-0000560B0000}"/>
    <cellStyle name="Accent6 7 9" xfId="2913" xr:uid="{00000000-0005-0000-0000-0000570B0000}"/>
    <cellStyle name="Accent6 8" xfId="2914" xr:uid="{00000000-0005-0000-0000-0000580B0000}"/>
    <cellStyle name="Accent6 8 10" xfId="2915" xr:uid="{00000000-0005-0000-0000-0000590B0000}"/>
    <cellStyle name="Accent6 8 11" xfId="2916" xr:uid="{00000000-0005-0000-0000-00005A0B0000}"/>
    <cellStyle name="Accent6 8 12" xfId="2917" xr:uid="{00000000-0005-0000-0000-00005B0B0000}"/>
    <cellStyle name="Accent6 8 2" xfId="2918" xr:uid="{00000000-0005-0000-0000-00005C0B0000}"/>
    <cellStyle name="Accent6 8 3" xfId="2919" xr:uid="{00000000-0005-0000-0000-00005D0B0000}"/>
    <cellStyle name="Accent6 8 4" xfId="2920" xr:uid="{00000000-0005-0000-0000-00005E0B0000}"/>
    <cellStyle name="Accent6 8 5" xfId="2921" xr:uid="{00000000-0005-0000-0000-00005F0B0000}"/>
    <cellStyle name="Accent6 8 6" xfId="2922" xr:uid="{00000000-0005-0000-0000-0000600B0000}"/>
    <cellStyle name="Accent6 8 7" xfId="2923" xr:uid="{00000000-0005-0000-0000-0000610B0000}"/>
    <cellStyle name="Accent6 8 8" xfId="2924" xr:uid="{00000000-0005-0000-0000-0000620B0000}"/>
    <cellStyle name="Accent6 8 9" xfId="2925" xr:uid="{00000000-0005-0000-0000-0000630B0000}"/>
    <cellStyle name="Accent6 9" xfId="2926" xr:uid="{00000000-0005-0000-0000-0000640B0000}"/>
    <cellStyle name="Accent6 9 2" xfId="2927" xr:uid="{00000000-0005-0000-0000-0000650B0000}"/>
    <cellStyle name="b0let" xfId="2928" xr:uid="{00000000-0005-0000-0000-0000660B0000}"/>
    <cellStyle name="Bad 2" xfId="2929" xr:uid="{00000000-0005-0000-0000-0000670B0000}"/>
    <cellStyle name="Bad 2 10" xfId="2930" xr:uid="{00000000-0005-0000-0000-0000680B0000}"/>
    <cellStyle name="Bad 2 11" xfId="2931" xr:uid="{00000000-0005-0000-0000-0000690B0000}"/>
    <cellStyle name="Bad 2 12" xfId="2932" xr:uid="{00000000-0005-0000-0000-00006A0B0000}"/>
    <cellStyle name="Bad 2 2" xfId="2933" xr:uid="{00000000-0005-0000-0000-00006B0B0000}"/>
    <cellStyle name="Bad 2 3" xfId="2934" xr:uid="{00000000-0005-0000-0000-00006C0B0000}"/>
    <cellStyle name="Bad 2 4" xfId="2935" xr:uid="{00000000-0005-0000-0000-00006D0B0000}"/>
    <cellStyle name="Bad 2 5" xfId="2936" xr:uid="{00000000-0005-0000-0000-00006E0B0000}"/>
    <cellStyle name="Bad 2 6" xfId="2937" xr:uid="{00000000-0005-0000-0000-00006F0B0000}"/>
    <cellStyle name="Bad 2 7" xfId="2938" xr:uid="{00000000-0005-0000-0000-0000700B0000}"/>
    <cellStyle name="Bad 2 8" xfId="2939" xr:uid="{00000000-0005-0000-0000-0000710B0000}"/>
    <cellStyle name="Bad 2 9" xfId="2940" xr:uid="{00000000-0005-0000-0000-0000720B0000}"/>
    <cellStyle name="Bad 3" xfId="2941" xr:uid="{00000000-0005-0000-0000-0000730B0000}"/>
    <cellStyle name="Bad 3 10" xfId="2942" xr:uid="{00000000-0005-0000-0000-0000740B0000}"/>
    <cellStyle name="Bad 3 11" xfId="2943" xr:uid="{00000000-0005-0000-0000-0000750B0000}"/>
    <cellStyle name="Bad 3 12" xfId="2944" xr:uid="{00000000-0005-0000-0000-0000760B0000}"/>
    <cellStyle name="Bad 3 2" xfId="2945" xr:uid="{00000000-0005-0000-0000-0000770B0000}"/>
    <cellStyle name="Bad 3 3" xfId="2946" xr:uid="{00000000-0005-0000-0000-0000780B0000}"/>
    <cellStyle name="Bad 3 4" xfId="2947" xr:uid="{00000000-0005-0000-0000-0000790B0000}"/>
    <cellStyle name="Bad 3 5" xfId="2948" xr:uid="{00000000-0005-0000-0000-00007A0B0000}"/>
    <cellStyle name="Bad 3 6" xfId="2949" xr:uid="{00000000-0005-0000-0000-00007B0B0000}"/>
    <cellStyle name="Bad 3 7" xfId="2950" xr:uid="{00000000-0005-0000-0000-00007C0B0000}"/>
    <cellStyle name="Bad 3 8" xfId="2951" xr:uid="{00000000-0005-0000-0000-00007D0B0000}"/>
    <cellStyle name="Bad 3 9" xfId="2952" xr:uid="{00000000-0005-0000-0000-00007E0B0000}"/>
    <cellStyle name="Bad 4" xfId="2953" xr:uid="{00000000-0005-0000-0000-00007F0B0000}"/>
    <cellStyle name="Bad 4 10" xfId="2954" xr:uid="{00000000-0005-0000-0000-0000800B0000}"/>
    <cellStyle name="Bad 4 11" xfId="2955" xr:uid="{00000000-0005-0000-0000-0000810B0000}"/>
    <cellStyle name="Bad 4 12" xfId="2956" xr:uid="{00000000-0005-0000-0000-0000820B0000}"/>
    <cellStyle name="Bad 4 2" xfId="2957" xr:uid="{00000000-0005-0000-0000-0000830B0000}"/>
    <cellStyle name="Bad 4 3" xfId="2958" xr:uid="{00000000-0005-0000-0000-0000840B0000}"/>
    <cellStyle name="Bad 4 4" xfId="2959" xr:uid="{00000000-0005-0000-0000-0000850B0000}"/>
    <cellStyle name="Bad 4 5" xfId="2960" xr:uid="{00000000-0005-0000-0000-0000860B0000}"/>
    <cellStyle name="Bad 4 6" xfId="2961" xr:uid="{00000000-0005-0000-0000-0000870B0000}"/>
    <cellStyle name="Bad 4 7" xfId="2962" xr:uid="{00000000-0005-0000-0000-0000880B0000}"/>
    <cellStyle name="Bad 4 8" xfId="2963" xr:uid="{00000000-0005-0000-0000-0000890B0000}"/>
    <cellStyle name="Bad 4 9" xfId="2964" xr:uid="{00000000-0005-0000-0000-00008A0B0000}"/>
    <cellStyle name="Bad 5" xfId="2965" xr:uid="{00000000-0005-0000-0000-00008B0B0000}"/>
    <cellStyle name="Bad 5 10" xfId="2966" xr:uid="{00000000-0005-0000-0000-00008C0B0000}"/>
    <cellStyle name="Bad 5 11" xfId="2967" xr:uid="{00000000-0005-0000-0000-00008D0B0000}"/>
    <cellStyle name="Bad 5 12" xfId="2968" xr:uid="{00000000-0005-0000-0000-00008E0B0000}"/>
    <cellStyle name="Bad 5 2" xfId="2969" xr:uid="{00000000-0005-0000-0000-00008F0B0000}"/>
    <cellStyle name="Bad 5 3" xfId="2970" xr:uid="{00000000-0005-0000-0000-0000900B0000}"/>
    <cellStyle name="Bad 5 4" xfId="2971" xr:uid="{00000000-0005-0000-0000-0000910B0000}"/>
    <cellStyle name="Bad 5 5" xfId="2972" xr:uid="{00000000-0005-0000-0000-0000920B0000}"/>
    <cellStyle name="Bad 5 6" xfId="2973" xr:uid="{00000000-0005-0000-0000-0000930B0000}"/>
    <cellStyle name="Bad 5 7" xfId="2974" xr:uid="{00000000-0005-0000-0000-0000940B0000}"/>
    <cellStyle name="Bad 5 8" xfId="2975" xr:uid="{00000000-0005-0000-0000-0000950B0000}"/>
    <cellStyle name="Bad 5 9" xfId="2976" xr:uid="{00000000-0005-0000-0000-0000960B0000}"/>
    <cellStyle name="Bad 6" xfId="2977" xr:uid="{00000000-0005-0000-0000-0000970B0000}"/>
    <cellStyle name="Bad 6 10" xfId="2978" xr:uid="{00000000-0005-0000-0000-0000980B0000}"/>
    <cellStyle name="Bad 6 11" xfId="2979" xr:uid="{00000000-0005-0000-0000-0000990B0000}"/>
    <cellStyle name="Bad 6 12" xfId="2980" xr:uid="{00000000-0005-0000-0000-00009A0B0000}"/>
    <cellStyle name="Bad 6 2" xfId="2981" xr:uid="{00000000-0005-0000-0000-00009B0B0000}"/>
    <cellStyle name="Bad 6 3" xfId="2982" xr:uid="{00000000-0005-0000-0000-00009C0B0000}"/>
    <cellStyle name="Bad 6 4" xfId="2983" xr:uid="{00000000-0005-0000-0000-00009D0B0000}"/>
    <cellStyle name="Bad 6 5" xfId="2984" xr:uid="{00000000-0005-0000-0000-00009E0B0000}"/>
    <cellStyle name="Bad 6 6" xfId="2985" xr:uid="{00000000-0005-0000-0000-00009F0B0000}"/>
    <cellStyle name="Bad 6 7" xfId="2986" xr:uid="{00000000-0005-0000-0000-0000A00B0000}"/>
    <cellStyle name="Bad 6 8" xfId="2987" xr:uid="{00000000-0005-0000-0000-0000A10B0000}"/>
    <cellStyle name="Bad 6 9" xfId="2988" xr:uid="{00000000-0005-0000-0000-0000A20B0000}"/>
    <cellStyle name="Bad 7" xfId="2989" xr:uid="{00000000-0005-0000-0000-0000A30B0000}"/>
    <cellStyle name="Bad 7 10" xfId="2990" xr:uid="{00000000-0005-0000-0000-0000A40B0000}"/>
    <cellStyle name="Bad 7 11" xfId="2991" xr:uid="{00000000-0005-0000-0000-0000A50B0000}"/>
    <cellStyle name="Bad 7 12" xfId="2992" xr:uid="{00000000-0005-0000-0000-0000A60B0000}"/>
    <cellStyle name="Bad 7 2" xfId="2993" xr:uid="{00000000-0005-0000-0000-0000A70B0000}"/>
    <cellStyle name="Bad 7 3" xfId="2994" xr:uid="{00000000-0005-0000-0000-0000A80B0000}"/>
    <cellStyle name="Bad 7 4" xfId="2995" xr:uid="{00000000-0005-0000-0000-0000A90B0000}"/>
    <cellStyle name="Bad 7 5" xfId="2996" xr:uid="{00000000-0005-0000-0000-0000AA0B0000}"/>
    <cellStyle name="Bad 7 6" xfId="2997" xr:uid="{00000000-0005-0000-0000-0000AB0B0000}"/>
    <cellStyle name="Bad 7 7" xfId="2998" xr:uid="{00000000-0005-0000-0000-0000AC0B0000}"/>
    <cellStyle name="Bad 7 8" xfId="2999" xr:uid="{00000000-0005-0000-0000-0000AD0B0000}"/>
    <cellStyle name="Bad 7 9" xfId="3000" xr:uid="{00000000-0005-0000-0000-0000AE0B0000}"/>
    <cellStyle name="Bad 8" xfId="3001" xr:uid="{00000000-0005-0000-0000-0000AF0B0000}"/>
    <cellStyle name="Bad 8 10" xfId="3002" xr:uid="{00000000-0005-0000-0000-0000B00B0000}"/>
    <cellStyle name="Bad 8 11" xfId="3003" xr:uid="{00000000-0005-0000-0000-0000B10B0000}"/>
    <cellStyle name="Bad 8 12" xfId="3004" xr:uid="{00000000-0005-0000-0000-0000B20B0000}"/>
    <cellStyle name="Bad 8 2" xfId="3005" xr:uid="{00000000-0005-0000-0000-0000B30B0000}"/>
    <cellStyle name="Bad 8 3" xfId="3006" xr:uid="{00000000-0005-0000-0000-0000B40B0000}"/>
    <cellStyle name="Bad 8 4" xfId="3007" xr:uid="{00000000-0005-0000-0000-0000B50B0000}"/>
    <cellStyle name="Bad 8 5" xfId="3008" xr:uid="{00000000-0005-0000-0000-0000B60B0000}"/>
    <cellStyle name="Bad 8 6" xfId="3009" xr:uid="{00000000-0005-0000-0000-0000B70B0000}"/>
    <cellStyle name="Bad 8 7" xfId="3010" xr:uid="{00000000-0005-0000-0000-0000B80B0000}"/>
    <cellStyle name="Bad 8 8" xfId="3011" xr:uid="{00000000-0005-0000-0000-0000B90B0000}"/>
    <cellStyle name="Bad 8 9" xfId="3012" xr:uid="{00000000-0005-0000-0000-0000BA0B0000}"/>
    <cellStyle name="Bad 9" xfId="3013" xr:uid="{00000000-0005-0000-0000-0000BB0B0000}"/>
    <cellStyle name="Bold" xfId="3014" xr:uid="{00000000-0005-0000-0000-0000BC0B0000}"/>
    <cellStyle name="Bol-Data" xfId="3015" xr:uid="{00000000-0005-0000-0000-0000BD0B0000}"/>
    <cellStyle name="BoldRight" xfId="3016" xr:uid="{00000000-0005-0000-0000-0000BE0B0000}"/>
    <cellStyle name="bolet" xfId="3017" xr:uid="{00000000-0005-0000-0000-0000BF0B0000}"/>
    <cellStyle name="bolet 2" xfId="3018" xr:uid="{00000000-0005-0000-0000-0000C00B0000}"/>
    <cellStyle name="Boletim" xfId="3019" xr:uid="{00000000-0005-0000-0000-0000C10B0000}"/>
    <cellStyle name="Boletim 2" xfId="3020" xr:uid="{00000000-0005-0000-0000-0000C20B0000}"/>
    <cellStyle name="Bom 10" xfId="3021" xr:uid="{00000000-0005-0000-0000-0000C30B0000}"/>
    <cellStyle name="Bom 11" xfId="3022" xr:uid="{00000000-0005-0000-0000-0000C40B0000}"/>
    <cellStyle name="Bom 12" xfId="3023" xr:uid="{00000000-0005-0000-0000-0000C50B0000}"/>
    <cellStyle name="Bom 13" xfId="3024" xr:uid="{00000000-0005-0000-0000-0000C60B0000}"/>
    <cellStyle name="Bom 14" xfId="3025" xr:uid="{00000000-0005-0000-0000-0000C70B0000}"/>
    <cellStyle name="Bom 15" xfId="3026" xr:uid="{00000000-0005-0000-0000-0000C80B0000}"/>
    <cellStyle name="Bom 16" xfId="3027" xr:uid="{00000000-0005-0000-0000-0000C90B0000}"/>
    <cellStyle name="Bom 2" xfId="3028" xr:uid="{00000000-0005-0000-0000-0000CA0B0000}"/>
    <cellStyle name="Bom 3" xfId="3029" xr:uid="{00000000-0005-0000-0000-0000CB0B0000}"/>
    <cellStyle name="Bom 4" xfId="3030" xr:uid="{00000000-0005-0000-0000-0000CC0B0000}"/>
    <cellStyle name="Bom 5" xfId="3031" xr:uid="{00000000-0005-0000-0000-0000CD0B0000}"/>
    <cellStyle name="Bom 6" xfId="3032" xr:uid="{00000000-0005-0000-0000-0000CE0B0000}"/>
    <cellStyle name="Bom 7" xfId="3033" xr:uid="{00000000-0005-0000-0000-0000CF0B0000}"/>
    <cellStyle name="Bom 8" xfId="3034" xr:uid="{00000000-0005-0000-0000-0000D00B0000}"/>
    <cellStyle name="Bom 9" xfId="3035" xr:uid="{00000000-0005-0000-0000-0000D10B0000}"/>
    <cellStyle name="Cabe‡alho 1" xfId="3036" xr:uid="{00000000-0005-0000-0000-0000D20B0000}"/>
    <cellStyle name="Cabe‡alho 2" xfId="3037" xr:uid="{00000000-0005-0000-0000-0000D30B0000}"/>
    <cellStyle name="Cabeçalho 1" xfId="3038" xr:uid="{00000000-0005-0000-0000-0000D40B0000}"/>
    <cellStyle name="Cabeçalho 2" xfId="3039" xr:uid="{00000000-0005-0000-0000-0000D50B0000}"/>
    <cellStyle name="Cabeçalho 6 2" xfId="3040" xr:uid="{00000000-0005-0000-0000-0000D60B0000}"/>
    <cellStyle name="Calculation 10" xfId="3041" xr:uid="{00000000-0005-0000-0000-0000D70B0000}"/>
    <cellStyle name="Calculation 2" xfId="3042" xr:uid="{00000000-0005-0000-0000-0000D80B0000}"/>
    <cellStyle name="Calculation 2 10" xfId="3043" xr:uid="{00000000-0005-0000-0000-0000D90B0000}"/>
    <cellStyle name="Calculation 2 11" xfId="3044" xr:uid="{00000000-0005-0000-0000-0000DA0B0000}"/>
    <cellStyle name="Calculation 2 12" xfId="3045" xr:uid="{00000000-0005-0000-0000-0000DB0B0000}"/>
    <cellStyle name="Calculation 2 2" xfId="3046" xr:uid="{00000000-0005-0000-0000-0000DC0B0000}"/>
    <cellStyle name="Calculation 2 3" xfId="3047" xr:uid="{00000000-0005-0000-0000-0000DD0B0000}"/>
    <cellStyle name="Calculation 2 4" xfId="3048" xr:uid="{00000000-0005-0000-0000-0000DE0B0000}"/>
    <cellStyle name="Calculation 2 5" xfId="3049" xr:uid="{00000000-0005-0000-0000-0000DF0B0000}"/>
    <cellStyle name="Calculation 2 6" xfId="3050" xr:uid="{00000000-0005-0000-0000-0000E00B0000}"/>
    <cellStyle name="Calculation 2 7" xfId="3051" xr:uid="{00000000-0005-0000-0000-0000E10B0000}"/>
    <cellStyle name="Calculation 2 8" xfId="3052" xr:uid="{00000000-0005-0000-0000-0000E20B0000}"/>
    <cellStyle name="Calculation 2 9" xfId="3053" xr:uid="{00000000-0005-0000-0000-0000E30B0000}"/>
    <cellStyle name="Calculation 3" xfId="3054" xr:uid="{00000000-0005-0000-0000-0000E40B0000}"/>
    <cellStyle name="Calculation 3 10" xfId="3055" xr:uid="{00000000-0005-0000-0000-0000E50B0000}"/>
    <cellStyle name="Calculation 3 11" xfId="3056" xr:uid="{00000000-0005-0000-0000-0000E60B0000}"/>
    <cellStyle name="Calculation 3 12" xfId="3057" xr:uid="{00000000-0005-0000-0000-0000E70B0000}"/>
    <cellStyle name="Calculation 3 2" xfId="3058" xr:uid="{00000000-0005-0000-0000-0000E80B0000}"/>
    <cellStyle name="Calculation 3 3" xfId="3059" xr:uid="{00000000-0005-0000-0000-0000E90B0000}"/>
    <cellStyle name="Calculation 3 4" xfId="3060" xr:uid="{00000000-0005-0000-0000-0000EA0B0000}"/>
    <cellStyle name="Calculation 3 5" xfId="3061" xr:uid="{00000000-0005-0000-0000-0000EB0B0000}"/>
    <cellStyle name="Calculation 3 6" xfId="3062" xr:uid="{00000000-0005-0000-0000-0000EC0B0000}"/>
    <cellStyle name="Calculation 3 7" xfId="3063" xr:uid="{00000000-0005-0000-0000-0000ED0B0000}"/>
    <cellStyle name="Calculation 3 8" xfId="3064" xr:uid="{00000000-0005-0000-0000-0000EE0B0000}"/>
    <cellStyle name="Calculation 3 9" xfId="3065" xr:uid="{00000000-0005-0000-0000-0000EF0B0000}"/>
    <cellStyle name="Calculation 4" xfId="3066" xr:uid="{00000000-0005-0000-0000-0000F00B0000}"/>
    <cellStyle name="Calculation 4 10" xfId="3067" xr:uid="{00000000-0005-0000-0000-0000F10B0000}"/>
    <cellStyle name="Calculation 4 11" xfId="3068" xr:uid="{00000000-0005-0000-0000-0000F20B0000}"/>
    <cellStyle name="Calculation 4 12" xfId="3069" xr:uid="{00000000-0005-0000-0000-0000F30B0000}"/>
    <cellStyle name="Calculation 4 2" xfId="3070" xr:uid="{00000000-0005-0000-0000-0000F40B0000}"/>
    <cellStyle name="Calculation 4 3" xfId="3071" xr:uid="{00000000-0005-0000-0000-0000F50B0000}"/>
    <cellStyle name="Calculation 4 4" xfId="3072" xr:uid="{00000000-0005-0000-0000-0000F60B0000}"/>
    <cellStyle name="Calculation 4 5" xfId="3073" xr:uid="{00000000-0005-0000-0000-0000F70B0000}"/>
    <cellStyle name="Calculation 4 6" xfId="3074" xr:uid="{00000000-0005-0000-0000-0000F80B0000}"/>
    <cellStyle name="Calculation 4 7" xfId="3075" xr:uid="{00000000-0005-0000-0000-0000F90B0000}"/>
    <cellStyle name="Calculation 4 8" xfId="3076" xr:uid="{00000000-0005-0000-0000-0000FA0B0000}"/>
    <cellStyle name="Calculation 4 9" xfId="3077" xr:uid="{00000000-0005-0000-0000-0000FB0B0000}"/>
    <cellStyle name="Calculation 5" xfId="3078" xr:uid="{00000000-0005-0000-0000-0000FC0B0000}"/>
    <cellStyle name="Calculation 5 10" xfId="3079" xr:uid="{00000000-0005-0000-0000-0000FD0B0000}"/>
    <cellStyle name="Calculation 5 11" xfId="3080" xr:uid="{00000000-0005-0000-0000-0000FE0B0000}"/>
    <cellStyle name="Calculation 5 12" xfId="3081" xr:uid="{00000000-0005-0000-0000-0000FF0B0000}"/>
    <cellStyle name="Calculation 5 2" xfId="3082" xr:uid="{00000000-0005-0000-0000-0000000C0000}"/>
    <cellStyle name="Calculation 5 3" xfId="3083" xr:uid="{00000000-0005-0000-0000-0000010C0000}"/>
    <cellStyle name="Calculation 5 4" xfId="3084" xr:uid="{00000000-0005-0000-0000-0000020C0000}"/>
    <cellStyle name="Calculation 5 5" xfId="3085" xr:uid="{00000000-0005-0000-0000-0000030C0000}"/>
    <cellStyle name="Calculation 5 6" xfId="3086" xr:uid="{00000000-0005-0000-0000-0000040C0000}"/>
    <cellStyle name="Calculation 5 7" xfId="3087" xr:uid="{00000000-0005-0000-0000-0000050C0000}"/>
    <cellStyle name="Calculation 5 8" xfId="3088" xr:uid="{00000000-0005-0000-0000-0000060C0000}"/>
    <cellStyle name="Calculation 5 9" xfId="3089" xr:uid="{00000000-0005-0000-0000-0000070C0000}"/>
    <cellStyle name="Calculation 6" xfId="3090" xr:uid="{00000000-0005-0000-0000-0000080C0000}"/>
    <cellStyle name="Calculation 6 10" xfId="3091" xr:uid="{00000000-0005-0000-0000-0000090C0000}"/>
    <cellStyle name="Calculation 6 11" xfId="3092" xr:uid="{00000000-0005-0000-0000-00000A0C0000}"/>
    <cellStyle name="Calculation 6 12" xfId="3093" xr:uid="{00000000-0005-0000-0000-00000B0C0000}"/>
    <cellStyle name="Calculation 6 2" xfId="3094" xr:uid="{00000000-0005-0000-0000-00000C0C0000}"/>
    <cellStyle name="Calculation 6 3" xfId="3095" xr:uid="{00000000-0005-0000-0000-00000D0C0000}"/>
    <cellStyle name="Calculation 6 4" xfId="3096" xr:uid="{00000000-0005-0000-0000-00000E0C0000}"/>
    <cellStyle name="Calculation 6 5" xfId="3097" xr:uid="{00000000-0005-0000-0000-00000F0C0000}"/>
    <cellStyle name="Calculation 6 6" xfId="3098" xr:uid="{00000000-0005-0000-0000-0000100C0000}"/>
    <cellStyle name="Calculation 6 7" xfId="3099" xr:uid="{00000000-0005-0000-0000-0000110C0000}"/>
    <cellStyle name="Calculation 6 8" xfId="3100" xr:uid="{00000000-0005-0000-0000-0000120C0000}"/>
    <cellStyle name="Calculation 6 9" xfId="3101" xr:uid="{00000000-0005-0000-0000-0000130C0000}"/>
    <cellStyle name="Calculation 7" xfId="3102" xr:uid="{00000000-0005-0000-0000-0000140C0000}"/>
    <cellStyle name="Calculation 7 10" xfId="3103" xr:uid="{00000000-0005-0000-0000-0000150C0000}"/>
    <cellStyle name="Calculation 7 11" xfId="3104" xr:uid="{00000000-0005-0000-0000-0000160C0000}"/>
    <cellStyle name="Calculation 7 12" xfId="3105" xr:uid="{00000000-0005-0000-0000-0000170C0000}"/>
    <cellStyle name="Calculation 7 2" xfId="3106" xr:uid="{00000000-0005-0000-0000-0000180C0000}"/>
    <cellStyle name="Calculation 7 3" xfId="3107" xr:uid="{00000000-0005-0000-0000-0000190C0000}"/>
    <cellStyle name="Calculation 7 4" xfId="3108" xr:uid="{00000000-0005-0000-0000-00001A0C0000}"/>
    <cellStyle name="Calculation 7 5" xfId="3109" xr:uid="{00000000-0005-0000-0000-00001B0C0000}"/>
    <cellStyle name="Calculation 7 6" xfId="3110" xr:uid="{00000000-0005-0000-0000-00001C0C0000}"/>
    <cellStyle name="Calculation 7 7" xfId="3111" xr:uid="{00000000-0005-0000-0000-00001D0C0000}"/>
    <cellStyle name="Calculation 7 8" xfId="3112" xr:uid="{00000000-0005-0000-0000-00001E0C0000}"/>
    <cellStyle name="Calculation 7 9" xfId="3113" xr:uid="{00000000-0005-0000-0000-00001F0C0000}"/>
    <cellStyle name="Calculation 8" xfId="3114" xr:uid="{00000000-0005-0000-0000-0000200C0000}"/>
    <cellStyle name="Calculation 8 10" xfId="3115" xr:uid="{00000000-0005-0000-0000-0000210C0000}"/>
    <cellStyle name="Calculation 8 11" xfId="3116" xr:uid="{00000000-0005-0000-0000-0000220C0000}"/>
    <cellStyle name="Calculation 8 12" xfId="3117" xr:uid="{00000000-0005-0000-0000-0000230C0000}"/>
    <cellStyle name="Calculation 8 2" xfId="3118" xr:uid="{00000000-0005-0000-0000-0000240C0000}"/>
    <cellStyle name="Calculation 8 3" xfId="3119" xr:uid="{00000000-0005-0000-0000-0000250C0000}"/>
    <cellStyle name="Calculation 8 4" xfId="3120" xr:uid="{00000000-0005-0000-0000-0000260C0000}"/>
    <cellStyle name="Calculation 8 5" xfId="3121" xr:uid="{00000000-0005-0000-0000-0000270C0000}"/>
    <cellStyle name="Calculation 8 6" xfId="3122" xr:uid="{00000000-0005-0000-0000-0000280C0000}"/>
    <cellStyle name="Calculation 8 7" xfId="3123" xr:uid="{00000000-0005-0000-0000-0000290C0000}"/>
    <cellStyle name="Calculation 8 8" xfId="3124" xr:uid="{00000000-0005-0000-0000-00002A0C0000}"/>
    <cellStyle name="Calculation 8 9" xfId="3125" xr:uid="{00000000-0005-0000-0000-00002B0C0000}"/>
    <cellStyle name="Calculation 9" xfId="3126" xr:uid="{00000000-0005-0000-0000-00002C0C0000}"/>
    <cellStyle name="Cálculo 10" xfId="3127" xr:uid="{00000000-0005-0000-0000-00002D0C0000}"/>
    <cellStyle name="Cálculo 11" xfId="3128" xr:uid="{00000000-0005-0000-0000-00002E0C0000}"/>
    <cellStyle name="Cálculo 12" xfId="3129" xr:uid="{00000000-0005-0000-0000-00002F0C0000}"/>
    <cellStyle name="Cálculo 13" xfId="3130" xr:uid="{00000000-0005-0000-0000-0000300C0000}"/>
    <cellStyle name="Cálculo 14" xfId="3131" xr:uid="{00000000-0005-0000-0000-0000310C0000}"/>
    <cellStyle name="Cálculo 15" xfId="3132" xr:uid="{00000000-0005-0000-0000-0000320C0000}"/>
    <cellStyle name="Cálculo 16" xfId="3133" xr:uid="{00000000-0005-0000-0000-0000330C0000}"/>
    <cellStyle name="Cálculo 2" xfId="3134" xr:uid="{00000000-0005-0000-0000-0000340C0000}"/>
    <cellStyle name="Cálculo 3" xfId="3135" xr:uid="{00000000-0005-0000-0000-0000350C0000}"/>
    <cellStyle name="Cálculo 4" xfId="3136" xr:uid="{00000000-0005-0000-0000-0000360C0000}"/>
    <cellStyle name="Cálculo 5" xfId="3137" xr:uid="{00000000-0005-0000-0000-0000370C0000}"/>
    <cellStyle name="Cálculo 6" xfId="3138" xr:uid="{00000000-0005-0000-0000-0000380C0000}"/>
    <cellStyle name="Cálculo 7" xfId="3139" xr:uid="{00000000-0005-0000-0000-0000390C0000}"/>
    <cellStyle name="Cálculo 8" xfId="3140" xr:uid="{00000000-0005-0000-0000-00003A0C0000}"/>
    <cellStyle name="Cálculo 9" xfId="3141" xr:uid="{00000000-0005-0000-0000-00003B0C0000}"/>
    <cellStyle name="Capítulo" xfId="3142" xr:uid="{00000000-0005-0000-0000-00003C0C0000}"/>
    <cellStyle name="Célula de Verificação 10" xfId="3143" xr:uid="{00000000-0005-0000-0000-00003D0C0000}"/>
    <cellStyle name="Célula de Verificação 11" xfId="3144" xr:uid="{00000000-0005-0000-0000-00003E0C0000}"/>
    <cellStyle name="Célula de Verificação 12" xfId="3145" xr:uid="{00000000-0005-0000-0000-00003F0C0000}"/>
    <cellStyle name="Célula de Verificação 13" xfId="3146" xr:uid="{00000000-0005-0000-0000-0000400C0000}"/>
    <cellStyle name="Célula de Verificação 14" xfId="3147" xr:uid="{00000000-0005-0000-0000-0000410C0000}"/>
    <cellStyle name="Célula de Verificação 15" xfId="3148" xr:uid="{00000000-0005-0000-0000-0000420C0000}"/>
    <cellStyle name="Célula de Verificação 16" xfId="3149" xr:uid="{00000000-0005-0000-0000-0000430C0000}"/>
    <cellStyle name="Célula de Verificação 2" xfId="3150" xr:uid="{00000000-0005-0000-0000-0000440C0000}"/>
    <cellStyle name="Célula de Verificação 3" xfId="3151" xr:uid="{00000000-0005-0000-0000-0000450C0000}"/>
    <cellStyle name="Célula de Verificação 4" xfId="3152" xr:uid="{00000000-0005-0000-0000-0000460C0000}"/>
    <cellStyle name="Célula de Verificação 5" xfId="3153" xr:uid="{00000000-0005-0000-0000-0000470C0000}"/>
    <cellStyle name="Célula de Verificação 6" xfId="3154" xr:uid="{00000000-0005-0000-0000-0000480C0000}"/>
    <cellStyle name="Célula de Verificação 7" xfId="3155" xr:uid="{00000000-0005-0000-0000-0000490C0000}"/>
    <cellStyle name="Célula de Verificação 8" xfId="3156" xr:uid="{00000000-0005-0000-0000-00004A0C0000}"/>
    <cellStyle name="Célula de Verificação 9" xfId="3157" xr:uid="{00000000-0005-0000-0000-00004B0C0000}"/>
    <cellStyle name="Célula Vinculada 10" xfId="3158" xr:uid="{00000000-0005-0000-0000-00004C0C0000}"/>
    <cellStyle name="Célula Vinculada 11" xfId="3159" xr:uid="{00000000-0005-0000-0000-00004D0C0000}"/>
    <cellStyle name="Célula Vinculada 12" xfId="3160" xr:uid="{00000000-0005-0000-0000-00004E0C0000}"/>
    <cellStyle name="Célula Vinculada 13" xfId="3161" xr:uid="{00000000-0005-0000-0000-00004F0C0000}"/>
    <cellStyle name="Célula Vinculada 14" xfId="3162" xr:uid="{00000000-0005-0000-0000-0000500C0000}"/>
    <cellStyle name="Célula Vinculada 15" xfId="3163" xr:uid="{00000000-0005-0000-0000-0000510C0000}"/>
    <cellStyle name="Célula Vinculada 16" xfId="3164" xr:uid="{00000000-0005-0000-0000-0000520C0000}"/>
    <cellStyle name="Célula Vinculada 2" xfId="3165" xr:uid="{00000000-0005-0000-0000-0000530C0000}"/>
    <cellStyle name="Célula Vinculada 3" xfId="3166" xr:uid="{00000000-0005-0000-0000-0000540C0000}"/>
    <cellStyle name="Célula Vinculada 4" xfId="3167" xr:uid="{00000000-0005-0000-0000-0000550C0000}"/>
    <cellStyle name="Célula Vinculada 5" xfId="3168" xr:uid="{00000000-0005-0000-0000-0000560C0000}"/>
    <cellStyle name="Célula Vinculada 6" xfId="3169" xr:uid="{00000000-0005-0000-0000-0000570C0000}"/>
    <cellStyle name="Célula Vinculada 7" xfId="3170" xr:uid="{00000000-0005-0000-0000-0000580C0000}"/>
    <cellStyle name="Célula Vinculada 8" xfId="3171" xr:uid="{00000000-0005-0000-0000-0000590C0000}"/>
    <cellStyle name="Célula Vinculada 9" xfId="3172" xr:uid="{00000000-0005-0000-0000-00005A0C0000}"/>
    <cellStyle name="Check Cell 10" xfId="3173" xr:uid="{00000000-0005-0000-0000-00005B0C0000}"/>
    <cellStyle name="Check Cell 11" xfId="3174" xr:uid="{00000000-0005-0000-0000-00005C0C0000}"/>
    <cellStyle name="Check Cell 2" xfId="3175" xr:uid="{00000000-0005-0000-0000-00005D0C0000}"/>
    <cellStyle name="Check Cell 2 10" xfId="3176" xr:uid="{00000000-0005-0000-0000-00005E0C0000}"/>
    <cellStyle name="Check Cell 2 10 2" xfId="3177" xr:uid="{00000000-0005-0000-0000-00005F0C0000}"/>
    <cellStyle name="Check Cell 2 11" xfId="3178" xr:uid="{00000000-0005-0000-0000-0000600C0000}"/>
    <cellStyle name="Check Cell 2 11 2" xfId="3179" xr:uid="{00000000-0005-0000-0000-0000610C0000}"/>
    <cellStyle name="Check Cell 2 12" xfId="3180" xr:uid="{00000000-0005-0000-0000-0000620C0000}"/>
    <cellStyle name="Check Cell 2 12 2" xfId="3181" xr:uid="{00000000-0005-0000-0000-0000630C0000}"/>
    <cellStyle name="Check Cell 2 13" xfId="3182" xr:uid="{00000000-0005-0000-0000-0000640C0000}"/>
    <cellStyle name="Check Cell 2 2" xfId="3183" xr:uid="{00000000-0005-0000-0000-0000650C0000}"/>
    <cellStyle name="Check Cell 2 2 2" xfId="3184" xr:uid="{00000000-0005-0000-0000-0000660C0000}"/>
    <cellStyle name="Check Cell 2 3" xfId="3185" xr:uid="{00000000-0005-0000-0000-0000670C0000}"/>
    <cellStyle name="Check Cell 2 3 2" xfId="3186" xr:uid="{00000000-0005-0000-0000-0000680C0000}"/>
    <cellStyle name="Check Cell 2 4" xfId="3187" xr:uid="{00000000-0005-0000-0000-0000690C0000}"/>
    <cellStyle name="Check Cell 2 4 2" xfId="3188" xr:uid="{00000000-0005-0000-0000-00006A0C0000}"/>
    <cellStyle name="Check Cell 2 5" xfId="3189" xr:uid="{00000000-0005-0000-0000-00006B0C0000}"/>
    <cellStyle name="Check Cell 2 5 2" xfId="3190" xr:uid="{00000000-0005-0000-0000-00006C0C0000}"/>
    <cellStyle name="Check Cell 2 6" xfId="3191" xr:uid="{00000000-0005-0000-0000-00006D0C0000}"/>
    <cellStyle name="Check Cell 2 6 2" xfId="3192" xr:uid="{00000000-0005-0000-0000-00006E0C0000}"/>
    <cellStyle name="Check Cell 2 7" xfId="3193" xr:uid="{00000000-0005-0000-0000-00006F0C0000}"/>
    <cellStyle name="Check Cell 2 7 2" xfId="3194" xr:uid="{00000000-0005-0000-0000-0000700C0000}"/>
    <cellStyle name="Check Cell 2 8" xfId="3195" xr:uid="{00000000-0005-0000-0000-0000710C0000}"/>
    <cellStyle name="Check Cell 2 8 2" xfId="3196" xr:uid="{00000000-0005-0000-0000-0000720C0000}"/>
    <cellStyle name="Check Cell 2 9" xfId="3197" xr:uid="{00000000-0005-0000-0000-0000730C0000}"/>
    <cellStyle name="Check Cell 2 9 2" xfId="3198" xr:uid="{00000000-0005-0000-0000-0000740C0000}"/>
    <cellStyle name="Check Cell 3" xfId="3199" xr:uid="{00000000-0005-0000-0000-0000750C0000}"/>
    <cellStyle name="Check Cell 3 10" xfId="3200" xr:uid="{00000000-0005-0000-0000-0000760C0000}"/>
    <cellStyle name="Check Cell 3 10 2" xfId="3201" xr:uid="{00000000-0005-0000-0000-0000770C0000}"/>
    <cellStyle name="Check Cell 3 11" xfId="3202" xr:uid="{00000000-0005-0000-0000-0000780C0000}"/>
    <cellStyle name="Check Cell 3 11 2" xfId="3203" xr:uid="{00000000-0005-0000-0000-0000790C0000}"/>
    <cellStyle name="Check Cell 3 12" xfId="3204" xr:uid="{00000000-0005-0000-0000-00007A0C0000}"/>
    <cellStyle name="Check Cell 3 12 2" xfId="3205" xr:uid="{00000000-0005-0000-0000-00007B0C0000}"/>
    <cellStyle name="Check Cell 3 13" xfId="3206" xr:uid="{00000000-0005-0000-0000-00007C0C0000}"/>
    <cellStyle name="Check Cell 3 2" xfId="3207" xr:uid="{00000000-0005-0000-0000-00007D0C0000}"/>
    <cellStyle name="Check Cell 3 2 2" xfId="3208" xr:uid="{00000000-0005-0000-0000-00007E0C0000}"/>
    <cellStyle name="Check Cell 3 3" xfId="3209" xr:uid="{00000000-0005-0000-0000-00007F0C0000}"/>
    <cellStyle name="Check Cell 3 3 2" xfId="3210" xr:uid="{00000000-0005-0000-0000-0000800C0000}"/>
    <cellStyle name="Check Cell 3 4" xfId="3211" xr:uid="{00000000-0005-0000-0000-0000810C0000}"/>
    <cellStyle name="Check Cell 3 4 2" xfId="3212" xr:uid="{00000000-0005-0000-0000-0000820C0000}"/>
    <cellStyle name="Check Cell 3 5" xfId="3213" xr:uid="{00000000-0005-0000-0000-0000830C0000}"/>
    <cellStyle name="Check Cell 3 5 2" xfId="3214" xr:uid="{00000000-0005-0000-0000-0000840C0000}"/>
    <cellStyle name="Check Cell 3 6" xfId="3215" xr:uid="{00000000-0005-0000-0000-0000850C0000}"/>
    <cellStyle name="Check Cell 3 6 2" xfId="3216" xr:uid="{00000000-0005-0000-0000-0000860C0000}"/>
    <cellStyle name="Check Cell 3 7" xfId="3217" xr:uid="{00000000-0005-0000-0000-0000870C0000}"/>
    <cellStyle name="Check Cell 3 7 2" xfId="3218" xr:uid="{00000000-0005-0000-0000-0000880C0000}"/>
    <cellStyle name="Check Cell 3 8" xfId="3219" xr:uid="{00000000-0005-0000-0000-0000890C0000}"/>
    <cellStyle name="Check Cell 3 8 2" xfId="3220" xr:uid="{00000000-0005-0000-0000-00008A0C0000}"/>
    <cellStyle name="Check Cell 3 9" xfId="3221" xr:uid="{00000000-0005-0000-0000-00008B0C0000}"/>
    <cellStyle name="Check Cell 3 9 2" xfId="3222" xr:uid="{00000000-0005-0000-0000-00008C0C0000}"/>
    <cellStyle name="Check Cell 4" xfId="3223" xr:uid="{00000000-0005-0000-0000-00008D0C0000}"/>
    <cellStyle name="Check Cell 4 10" xfId="3224" xr:uid="{00000000-0005-0000-0000-00008E0C0000}"/>
    <cellStyle name="Check Cell 4 10 2" xfId="3225" xr:uid="{00000000-0005-0000-0000-00008F0C0000}"/>
    <cellStyle name="Check Cell 4 11" xfId="3226" xr:uid="{00000000-0005-0000-0000-0000900C0000}"/>
    <cellStyle name="Check Cell 4 11 2" xfId="3227" xr:uid="{00000000-0005-0000-0000-0000910C0000}"/>
    <cellStyle name="Check Cell 4 12" xfId="3228" xr:uid="{00000000-0005-0000-0000-0000920C0000}"/>
    <cellStyle name="Check Cell 4 12 2" xfId="3229" xr:uid="{00000000-0005-0000-0000-0000930C0000}"/>
    <cellStyle name="Check Cell 4 13" xfId="3230" xr:uid="{00000000-0005-0000-0000-0000940C0000}"/>
    <cellStyle name="Check Cell 4 2" xfId="3231" xr:uid="{00000000-0005-0000-0000-0000950C0000}"/>
    <cellStyle name="Check Cell 4 2 2" xfId="3232" xr:uid="{00000000-0005-0000-0000-0000960C0000}"/>
    <cellStyle name="Check Cell 4 3" xfId="3233" xr:uid="{00000000-0005-0000-0000-0000970C0000}"/>
    <cellStyle name="Check Cell 4 3 2" xfId="3234" xr:uid="{00000000-0005-0000-0000-0000980C0000}"/>
    <cellStyle name="Check Cell 4 4" xfId="3235" xr:uid="{00000000-0005-0000-0000-0000990C0000}"/>
    <cellStyle name="Check Cell 4 4 2" xfId="3236" xr:uid="{00000000-0005-0000-0000-00009A0C0000}"/>
    <cellStyle name="Check Cell 4 5" xfId="3237" xr:uid="{00000000-0005-0000-0000-00009B0C0000}"/>
    <cellStyle name="Check Cell 4 5 2" xfId="3238" xr:uid="{00000000-0005-0000-0000-00009C0C0000}"/>
    <cellStyle name="Check Cell 4 6" xfId="3239" xr:uid="{00000000-0005-0000-0000-00009D0C0000}"/>
    <cellStyle name="Check Cell 4 6 2" xfId="3240" xr:uid="{00000000-0005-0000-0000-00009E0C0000}"/>
    <cellStyle name="Check Cell 4 7" xfId="3241" xr:uid="{00000000-0005-0000-0000-00009F0C0000}"/>
    <cellStyle name="Check Cell 4 7 2" xfId="3242" xr:uid="{00000000-0005-0000-0000-0000A00C0000}"/>
    <cellStyle name="Check Cell 4 8" xfId="3243" xr:uid="{00000000-0005-0000-0000-0000A10C0000}"/>
    <cellStyle name="Check Cell 4 8 2" xfId="3244" xr:uid="{00000000-0005-0000-0000-0000A20C0000}"/>
    <cellStyle name="Check Cell 4 9" xfId="3245" xr:uid="{00000000-0005-0000-0000-0000A30C0000}"/>
    <cellStyle name="Check Cell 4 9 2" xfId="3246" xr:uid="{00000000-0005-0000-0000-0000A40C0000}"/>
    <cellStyle name="Check Cell 5" xfId="3247" xr:uid="{00000000-0005-0000-0000-0000A50C0000}"/>
    <cellStyle name="Check Cell 5 10" xfId="3248" xr:uid="{00000000-0005-0000-0000-0000A60C0000}"/>
    <cellStyle name="Check Cell 5 10 2" xfId="3249" xr:uid="{00000000-0005-0000-0000-0000A70C0000}"/>
    <cellStyle name="Check Cell 5 11" xfId="3250" xr:uid="{00000000-0005-0000-0000-0000A80C0000}"/>
    <cellStyle name="Check Cell 5 11 2" xfId="3251" xr:uid="{00000000-0005-0000-0000-0000A90C0000}"/>
    <cellStyle name="Check Cell 5 12" xfId="3252" xr:uid="{00000000-0005-0000-0000-0000AA0C0000}"/>
    <cellStyle name="Check Cell 5 12 2" xfId="3253" xr:uid="{00000000-0005-0000-0000-0000AB0C0000}"/>
    <cellStyle name="Check Cell 5 13" xfId="3254" xr:uid="{00000000-0005-0000-0000-0000AC0C0000}"/>
    <cellStyle name="Check Cell 5 2" xfId="3255" xr:uid="{00000000-0005-0000-0000-0000AD0C0000}"/>
    <cellStyle name="Check Cell 5 2 2" xfId="3256" xr:uid="{00000000-0005-0000-0000-0000AE0C0000}"/>
    <cellStyle name="Check Cell 5 3" xfId="3257" xr:uid="{00000000-0005-0000-0000-0000AF0C0000}"/>
    <cellStyle name="Check Cell 5 3 2" xfId="3258" xr:uid="{00000000-0005-0000-0000-0000B00C0000}"/>
    <cellStyle name="Check Cell 5 4" xfId="3259" xr:uid="{00000000-0005-0000-0000-0000B10C0000}"/>
    <cellStyle name="Check Cell 5 4 2" xfId="3260" xr:uid="{00000000-0005-0000-0000-0000B20C0000}"/>
    <cellStyle name="Check Cell 5 5" xfId="3261" xr:uid="{00000000-0005-0000-0000-0000B30C0000}"/>
    <cellStyle name="Check Cell 5 5 2" xfId="3262" xr:uid="{00000000-0005-0000-0000-0000B40C0000}"/>
    <cellStyle name="Check Cell 5 6" xfId="3263" xr:uid="{00000000-0005-0000-0000-0000B50C0000}"/>
    <cellStyle name="Check Cell 5 6 2" xfId="3264" xr:uid="{00000000-0005-0000-0000-0000B60C0000}"/>
    <cellStyle name="Check Cell 5 7" xfId="3265" xr:uid="{00000000-0005-0000-0000-0000B70C0000}"/>
    <cellStyle name="Check Cell 5 7 2" xfId="3266" xr:uid="{00000000-0005-0000-0000-0000B80C0000}"/>
    <cellStyle name="Check Cell 5 8" xfId="3267" xr:uid="{00000000-0005-0000-0000-0000B90C0000}"/>
    <cellStyle name="Check Cell 5 8 2" xfId="3268" xr:uid="{00000000-0005-0000-0000-0000BA0C0000}"/>
    <cellStyle name="Check Cell 5 9" xfId="3269" xr:uid="{00000000-0005-0000-0000-0000BB0C0000}"/>
    <cellStyle name="Check Cell 5 9 2" xfId="3270" xr:uid="{00000000-0005-0000-0000-0000BC0C0000}"/>
    <cellStyle name="Check Cell 6" xfId="3271" xr:uid="{00000000-0005-0000-0000-0000BD0C0000}"/>
    <cellStyle name="Check Cell 6 2" xfId="3272" xr:uid="{00000000-0005-0000-0000-0000BE0C0000}"/>
    <cellStyle name="Check Cell 6 2 2" xfId="3273" xr:uid="{00000000-0005-0000-0000-0000BF0C0000}"/>
    <cellStyle name="Check Cell 6 3" xfId="3274" xr:uid="{00000000-0005-0000-0000-0000C00C0000}"/>
    <cellStyle name="Check Cell 6 3 2" xfId="3275" xr:uid="{00000000-0005-0000-0000-0000C10C0000}"/>
    <cellStyle name="Check Cell 6 4" xfId="3276" xr:uid="{00000000-0005-0000-0000-0000C20C0000}"/>
    <cellStyle name="Check Cell 6 4 2" xfId="3277" xr:uid="{00000000-0005-0000-0000-0000C30C0000}"/>
    <cellStyle name="Check Cell 7" xfId="3278" xr:uid="{00000000-0005-0000-0000-0000C40C0000}"/>
    <cellStyle name="Check Cell 8" xfId="3279" xr:uid="{00000000-0005-0000-0000-0000C50C0000}"/>
    <cellStyle name="Check Cell 9" xfId="3280" xr:uid="{00000000-0005-0000-0000-0000C60C0000}"/>
    <cellStyle name="clsAltData" xfId="3281" xr:uid="{00000000-0005-0000-0000-0000C70C0000}"/>
    <cellStyle name="clsColumnHeader" xfId="3282" xr:uid="{00000000-0005-0000-0000-0000C80C0000}"/>
    <cellStyle name="clsData" xfId="3283" xr:uid="{00000000-0005-0000-0000-0000C90C0000}"/>
    <cellStyle name="clsDefault" xfId="3284" xr:uid="{00000000-0005-0000-0000-0000CA0C0000}"/>
    <cellStyle name="clsDefault 10" xfId="3285" xr:uid="{00000000-0005-0000-0000-0000CB0C0000}"/>
    <cellStyle name="clsDefault 11" xfId="3286" xr:uid="{00000000-0005-0000-0000-0000CC0C0000}"/>
    <cellStyle name="clsDefault 12" xfId="3287" xr:uid="{00000000-0005-0000-0000-0000CD0C0000}"/>
    <cellStyle name="clsDefault 2" xfId="3288" xr:uid="{00000000-0005-0000-0000-0000CE0C0000}"/>
    <cellStyle name="clsDefault 3" xfId="3289" xr:uid="{00000000-0005-0000-0000-0000CF0C0000}"/>
    <cellStyle name="clsDefault 4" xfId="3290" xr:uid="{00000000-0005-0000-0000-0000D00C0000}"/>
    <cellStyle name="clsDefault 5" xfId="3291" xr:uid="{00000000-0005-0000-0000-0000D10C0000}"/>
    <cellStyle name="clsDefault 6" xfId="3292" xr:uid="{00000000-0005-0000-0000-0000D20C0000}"/>
    <cellStyle name="clsDefault 7" xfId="3293" xr:uid="{00000000-0005-0000-0000-0000D30C0000}"/>
    <cellStyle name="clsDefault 8" xfId="3294" xr:uid="{00000000-0005-0000-0000-0000D40C0000}"/>
    <cellStyle name="clsDefault 9" xfId="3295" xr:uid="{00000000-0005-0000-0000-0000D50C0000}"/>
    <cellStyle name="clsDefault_Balanco em Vigor" xfId="3296" xr:uid="{00000000-0005-0000-0000-0000D60C0000}"/>
    <cellStyle name="clsIndexTableTitle" xfId="3297" xr:uid="{00000000-0005-0000-0000-0000D70C0000}"/>
    <cellStyle name="clsReportFooter" xfId="3298" xr:uid="{00000000-0005-0000-0000-0000D80C0000}"/>
    <cellStyle name="clsReportHeader" xfId="3299" xr:uid="{00000000-0005-0000-0000-0000D90C0000}"/>
    <cellStyle name="clsRowHeader" xfId="3300" xr:uid="{00000000-0005-0000-0000-0000DA0C0000}"/>
    <cellStyle name="clsScale" xfId="3301" xr:uid="{00000000-0005-0000-0000-0000DB0C0000}"/>
    <cellStyle name="ColumnTitle" xfId="3302" xr:uid="{00000000-0005-0000-0000-0000DC0C0000}"/>
    <cellStyle name="Comma  - Style1" xfId="3303" xr:uid="{00000000-0005-0000-0000-0000DD0C0000}"/>
    <cellStyle name="Comma  - Style2" xfId="3304" xr:uid="{00000000-0005-0000-0000-0000DE0C0000}"/>
    <cellStyle name="Comma  - Style3" xfId="3305" xr:uid="{00000000-0005-0000-0000-0000DF0C0000}"/>
    <cellStyle name="Comma  - Style4" xfId="3306" xr:uid="{00000000-0005-0000-0000-0000E00C0000}"/>
    <cellStyle name="Comma  - Style5" xfId="3307" xr:uid="{00000000-0005-0000-0000-0000E10C0000}"/>
    <cellStyle name="Comma  - Style6" xfId="3308" xr:uid="{00000000-0005-0000-0000-0000E20C0000}"/>
    <cellStyle name="Comma  - Style7" xfId="3309" xr:uid="{00000000-0005-0000-0000-0000E30C0000}"/>
    <cellStyle name="Comma  - Style8" xfId="3310" xr:uid="{00000000-0005-0000-0000-0000E40C0000}"/>
    <cellStyle name="Comma 10" xfId="3311" xr:uid="{00000000-0005-0000-0000-0000E50C0000}"/>
    <cellStyle name="Comma 11" xfId="3312" xr:uid="{00000000-0005-0000-0000-0000E60C0000}"/>
    <cellStyle name="Comma 12" xfId="3313" xr:uid="{00000000-0005-0000-0000-0000E70C0000}"/>
    <cellStyle name="Comma 2" xfId="3314" xr:uid="{00000000-0005-0000-0000-0000E80C0000}"/>
    <cellStyle name="Comma 2 2" xfId="3315" xr:uid="{00000000-0005-0000-0000-0000E90C0000}"/>
    <cellStyle name="Comma 2 3" xfId="3316" xr:uid="{00000000-0005-0000-0000-0000EA0C0000}"/>
    <cellStyle name="Comma 2 4" xfId="3317" xr:uid="{00000000-0005-0000-0000-0000EB0C0000}"/>
    <cellStyle name="Comma 2 5" xfId="3318" xr:uid="{00000000-0005-0000-0000-0000EC0C0000}"/>
    <cellStyle name="Comma 2 6" xfId="3319" xr:uid="{00000000-0005-0000-0000-0000ED0C0000}"/>
    <cellStyle name="Comma 2 7" xfId="3320" xr:uid="{00000000-0005-0000-0000-0000EE0C0000}"/>
    <cellStyle name="Comma 2 8" xfId="3321" xr:uid="{00000000-0005-0000-0000-0000EF0C0000}"/>
    <cellStyle name="Comma 2_Recebíveis" xfId="3322" xr:uid="{00000000-0005-0000-0000-0000F00C0000}"/>
    <cellStyle name="Comma 3" xfId="3323" xr:uid="{00000000-0005-0000-0000-0000F10C0000}"/>
    <cellStyle name="Comma 3 2" xfId="8" xr:uid="{00000000-0005-0000-0000-0000F20C0000}"/>
    <cellStyle name="Comma 4" xfId="3324" xr:uid="{00000000-0005-0000-0000-0000F30C0000}"/>
    <cellStyle name="Comma 5" xfId="3325" xr:uid="{00000000-0005-0000-0000-0000F40C0000}"/>
    <cellStyle name="Comma 6" xfId="3326" xr:uid="{00000000-0005-0000-0000-0000F50C0000}"/>
    <cellStyle name="Comma 7" xfId="3327" xr:uid="{00000000-0005-0000-0000-0000F60C0000}"/>
    <cellStyle name="Comma 8" xfId="3328" xr:uid="{00000000-0005-0000-0000-0000F70C0000}"/>
    <cellStyle name="Comma 9" xfId="3329" xr:uid="{00000000-0005-0000-0000-0000F80C0000}"/>
    <cellStyle name="Comma0" xfId="3330" xr:uid="{00000000-0005-0000-0000-0000F90C0000}"/>
    <cellStyle name="Content" xfId="3331" xr:uid="{00000000-0005-0000-0000-0000FA0C0000}"/>
    <cellStyle name="Content2" xfId="3332" xr:uid="{00000000-0005-0000-0000-0000FB0C0000}"/>
    <cellStyle name="Currency 2" xfId="3333" xr:uid="{00000000-0005-0000-0000-0000FC0C0000}"/>
    <cellStyle name="Currency 3" xfId="3334" xr:uid="{00000000-0005-0000-0000-0000FD0C0000}"/>
    <cellStyle name="Currency 4" xfId="3335" xr:uid="{00000000-0005-0000-0000-0000FE0C0000}"/>
    <cellStyle name="Currency0" xfId="3336" xr:uid="{00000000-0005-0000-0000-0000FF0C0000}"/>
    <cellStyle name="Data" xfId="3337" xr:uid="{00000000-0005-0000-0000-0000000D0000}"/>
    <cellStyle name="Date" xfId="3338" xr:uid="{00000000-0005-0000-0000-0000010D0000}"/>
    <cellStyle name="En miles" xfId="3339" xr:uid="{00000000-0005-0000-0000-0000020D0000}"/>
    <cellStyle name="En millones" xfId="3340" xr:uid="{00000000-0005-0000-0000-0000030D0000}"/>
    <cellStyle name="Ênfase1" xfId="4" builtinId="29"/>
    <cellStyle name="Ênfase1 10" xfId="3341" xr:uid="{00000000-0005-0000-0000-0000050D0000}"/>
    <cellStyle name="Ênfase1 11" xfId="3342" xr:uid="{00000000-0005-0000-0000-0000060D0000}"/>
    <cellStyle name="Ênfase1 12" xfId="3343" xr:uid="{00000000-0005-0000-0000-0000070D0000}"/>
    <cellStyle name="Ênfase1 13" xfId="3344" xr:uid="{00000000-0005-0000-0000-0000080D0000}"/>
    <cellStyle name="Ênfase1 14" xfId="3345" xr:uid="{00000000-0005-0000-0000-0000090D0000}"/>
    <cellStyle name="Ênfase1 15" xfId="3346" xr:uid="{00000000-0005-0000-0000-00000A0D0000}"/>
    <cellStyle name="Ênfase1 16" xfId="3347" xr:uid="{00000000-0005-0000-0000-00000B0D0000}"/>
    <cellStyle name="Ênfase1 2" xfId="3348" xr:uid="{00000000-0005-0000-0000-00000C0D0000}"/>
    <cellStyle name="Ênfase1 3" xfId="3349" xr:uid="{00000000-0005-0000-0000-00000D0D0000}"/>
    <cellStyle name="Ênfase1 4" xfId="3350" xr:uid="{00000000-0005-0000-0000-00000E0D0000}"/>
    <cellStyle name="Ênfase1 5" xfId="3351" xr:uid="{00000000-0005-0000-0000-00000F0D0000}"/>
    <cellStyle name="Ênfase1 6" xfId="3352" xr:uid="{00000000-0005-0000-0000-0000100D0000}"/>
    <cellStyle name="Ênfase1 7" xfId="3353" xr:uid="{00000000-0005-0000-0000-0000110D0000}"/>
    <cellStyle name="Ênfase1 8" xfId="3354" xr:uid="{00000000-0005-0000-0000-0000120D0000}"/>
    <cellStyle name="Ênfase1 9" xfId="3355" xr:uid="{00000000-0005-0000-0000-0000130D0000}"/>
    <cellStyle name="Ênfase2 10" xfId="3356" xr:uid="{00000000-0005-0000-0000-0000140D0000}"/>
    <cellStyle name="Ênfase2 11" xfId="3357" xr:uid="{00000000-0005-0000-0000-0000150D0000}"/>
    <cellStyle name="Ênfase2 12" xfId="3358" xr:uid="{00000000-0005-0000-0000-0000160D0000}"/>
    <cellStyle name="Ênfase2 13" xfId="3359" xr:uid="{00000000-0005-0000-0000-0000170D0000}"/>
    <cellStyle name="Ênfase2 14" xfId="3360" xr:uid="{00000000-0005-0000-0000-0000180D0000}"/>
    <cellStyle name="Ênfase2 15" xfId="3361" xr:uid="{00000000-0005-0000-0000-0000190D0000}"/>
    <cellStyle name="Ênfase2 16" xfId="3362" xr:uid="{00000000-0005-0000-0000-00001A0D0000}"/>
    <cellStyle name="Ênfase2 2" xfId="3363" xr:uid="{00000000-0005-0000-0000-00001B0D0000}"/>
    <cellStyle name="Ênfase2 3" xfId="3364" xr:uid="{00000000-0005-0000-0000-00001C0D0000}"/>
    <cellStyle name="Ênfase2 4" xfId="3365" xr:uid="{00000000-0005-0000-0000-00001D0D0000}"/>
    <cellStyle name="Ênfase2 5" xfId="3366" xr:uid="{00000000-0005-0000-0000-00001E0D0000}"/>
    <cellStyle name="Ênfase2 6" xfId="3367" xr:uid="{00000000-0005-0000-0000-00001F0D0000}"/>
    <cellStyle name="Ênfase2 7" xfId="3368" xr:uid="{00000000-0005-0000-0000-0000200D0000}"/>
    <cellStyle name="Ênfase2 8" xfId="3369" xr:uid="{00000000-0005-0000-0000-0000210D0000}"/>
    <cellStyle name="Ênfase2 9" xfId="3370" xr:uid="{00000000-0005-0000-0000-0000220D0000}"/>
    <cellStyle name="Ênfase3 10" xfId="3371" xr:uid="{00000000-0005-0000-0000-0000230D0000}"/>
    <cellStyle name="Ênfase3 11" xfId="3372" xr:uid="{00000000-0005-0000-0000-0000240D0000}"/>
    <cellStyle name="Ênfase3 12" xfId="3373" xr:uid="{00000000-0005-0000-0000-0000250D0000}"/>
    <cellStyle name="Ênfase3 13" xfId="3374" xr:uid="{00000000-0005-0000-0000-0000260D0000}"/>
    <cellStyle name="Ênfase3 14" xfId="3375" xr:uid="{00000000-0005-0000-0000-0000270D0000}"/>
    <cellStyle name="Ênfase3 15" xfId="3376" xr:uid="{00000000-0005-0000-0000-0000280D0000}"/>
    <cellStyle name="Ênfase3 16" xfId="3377" xr:uid="{00000000-0005-0000-0000-0000290D0000}"/>
    <cellStyle name="Ênfase3 2" xfId="3378" xr:uid="{00000000-0005-0000-0000-00002A0D0000}"/>
    <cellStyle name="Ênfase3 3" xfId="3379" xr:uid="{00000000-0005-0000-0000-00002B0D0000}"/>
    <cellStyle name="Ênfase3 4" xfId="3380" xr:uid="{00000000-0005-0000-0000-00002C0D0000}"/>
    <cellStyle name="Ênfase3 5" xfId="3381" xr:uid="{00000000-0005-0000-0000-00002D0D0000}"/>
    <cellStyle name="Ênfase3 6" xfId="3382" xr:uid="{00000000-0005-0000-0000-00002E0D0000}"/>
    <cellStyle name="Ênfase3 7" xfId="3383" xr:uid="{00000000-0005-0000-0000-00002F0D0000}"/>
    <cellStyle name="Ênfase3 8" xfId="3384" xr:uid="{00000000-0005-0000-0000-0000300D0000}"/>
    <cellStyle name="Ênfase3 9" xfId="3385" xr:uid="{00000000-0005-0000-0000-0000310D0000}"/>
    <cellStyle name="Ênfase4 10" xfId="3386" xr:uid="{00000000-0005-0000-0000-0000320D0000}"/>
    <cellStyle name="Ênfase4 11" xfId="3387" xr:uid="{00000000-0005-0000-0000-0000330D0000}"/>
    <cellStyle name="Ênfase4 12" xfId="3388" xr:uid="{00000000-0005-0000-0000-0000340D0000}"/>
    <cellStyle name="Ênfase4 13" xfId="3389" xr:uid="{00000000-0005-0000-0000-0000350D0000}"/>
    <cellStyle name="Ênfase4 14" xfId="3390" xr:uid="{00000000-0005-0000-0000-0000360D0000}"/>
    <cellStyle name="Ênfase4 15" xfId="3391" xr:uid="{00000000-0005-0000-0000-0000370D0000}"/>
    <cellStyle name="Ênfase4 16" xfId="3392" xr:uid="{00000000-0005-0000-0000-0000380D0000}"/>
    <cellStyle name="Ênfase4 2" xfId="3393" xr:uid="{00000000-0005-0000-0000-0000390D0000}"/>
    <cellStyle name="Ênfase4 3" xfId="3394" xr:uid="{00000000-0005-0000-0000-00003A0D0000}"/>
    <cellStyle name="Ênfase4 4" xfId="3395" xr:uid="{00000000-0005-0000-0000-00003B0D0000}"/>
    <cellStyle name="Ênfase4 5" xfId="3396" xr:uid="{00000000-0005-0000-0000-00003C0D0000}"/>
    <cellStyle name="Ênfase4 6" xfId="3397" xr:uid="{00000000-0005-0000-0000-00003D0D0000}"/>
    <cellStyle name="Ênfase4 7" xfId="3398" xr:uid="{00000000-0005-0000-0000-00003E0D0000}"/>
    <cellStyle name="Ênfase4 8" xfId="3399" xr:uid="{00000000-0005-0000-0000-00003F0D0000}"/>
    <cellStyle name="Ênfase4 9" xfId="3400" xr:uid="{00000000-0005-0000-0000-0000400D0000}"/>
    <cellStyle name="Ênfase5 10" xfId="3401" xr:uid="{00000000-0005-0000-0000-0000410D0000}"/>
    <cellStyle name="Ênfase5 11" xfId="3402" xr:uid="{00000000-0005-0000-0000-0000420D0000}"/>
    <cellStyle name="Ênfase5 12" xfId="3403" xr:uid="{00000000-0005-0000-0000-0000430D0000}"/>
    <cellStyle name="Ênfase5 13" xfId="3404" xr:uid="{00000000-0005-0000-0000-0000440D0000}"/>
    <cellStyle name="Ênfase5 14" xfId="3405" xr:uid="{00000000-0005-0000-0000-0000450D0000}"/>
    <cellStyle name="Ênfase5 15" xfId="3406" xr:uid="{00000000-0005-0000-0000-0000460D0000}"/>
    <cellStyle name="Ênfase5 16" xfId="3407" xr:uid="{00000000-0005-0000-0000-0000470D0000}"/>
    <cellStyle name="Ênfase5 2" xfId="3408" xr:uid="{00000000-0005-0000-0000-0000480D0000}"/>
    <cellStyle name="Ênfase5 3" xfId="3409" xr:uid="{00000000-0005-0000-0000-0000490D0000}"/>
    <cellStyle name="Ênfase5 4" xfId="3410" xr:uid="{00000000-0005-0000-0000-00004A0D0000}"/>
    <cellStyle name="Ênfase5 5" xfId="3411" xr:uid="{00000000-0005-0000-0000-00004B0D0000}"/>
    <cellStyle name="Ênfase5 6" xfId="3412" xr:uid="{00000000-0005-0000-0000-00004C0D0000}"/>
    <cellStyle name="Ênfase5 7" xfId="3413" xr:uid="{00000000-0005-0000-0000-00004D0D0000}"/>
    <cellStyle name="Ênfase5 8" xfId="3414" xr:uid="{00000000-0005-0000-0000-00004E0D0000}"/>
    <cellStyle name="Ênfase5 9" xfId="3415" xr:uid="{00000000-0005-0000-0000-00004F0D0000}"/>
    <cellStyle name="Ênfase6 10" xfId="3416" xr:uid="{00000000-0005-0000-0000-0000500D0000}"/>
    <cellStyle name="Ênfase6 11" xfId="3417" xr:uid="{00000000-0005-0000-0000-0000510D0000}"/>
    <cellStyle name="Ênfase6 12" xfId="3418" xr:uid="{00000000-0005-0000-0000-0000520D0000}"/>
    <cellStyle name="Ênfase6 13" xfId="3419" xr:uid="{00000000-0005-0000-0000-0000530D0000}"/>
    <cellStyle name="Ênfase6 14" xfId="3420" xr:uid="{00000000-0005-0000-0000-0000540D0000}"/>
    <cellStyle name="Ênfase6 15" xfId="3421" xr:uid="{00000000-0005-0000-0000-0000550D0000}"/>
    <cellStyle name="Ênfase6 16" xfId="3422" xr:uid="{00000000-0005-0000-0000-0000560D0000}"/>
    <cellStyle name="Ênfase6 2" xfId="3423" xr:uid="{00000000-0005-0000-0000-0000570D0000}"/>
    <cellStyle name="Ênfase6 3" xfId="3424" xr:uid="{00000000-0005-0000-0000-0000580D0000}"/>
    <cellStyle name="Ênfase6 4" xfId="3425" xr:uid="{00000000-0005-0000-0000-0000590D0000}"/>
    <cellStyle name="Ênfase6 5" xfId="3426" xr:uid="{00000000-0005-0000-0000-00005A0D0000}"/>
    <cellStyle name="Ênfase6 6" xfId="3427" xr:uid="{00000000-0005-0000-0000-00005B0D0000}"/>
    <cellStyle name="Ênfase6 7" xfId="3428" xr:uid="{00000000-0005-0000-0000-00005C0D0000}"/>
    <cellStyle name="Ênfase6 8" xfId="3429" xr:uid="{00000000-0005-0000-0000-00005D0D0000}"/>
    <cellStyle name="Ênfase6 9" xfId="3430" xr:uid="{00000000-0005-0000-0000-00005E0D0000}"/>
    <cellStyle name="Entrada 10" xfId="3431" xr:uid="{00000000-0005-0000-0000-00005F0D0000}"/>
    <cellStyle name="Entrada 11" xfId="3432" xr:uid="{00000000-0005-0000-0000-0000600D0000}"/>
    <cellStyle name="Entrada 12" xfId="3433" xr:uid="{00000000-0005-0000-0000-0000610D0000}"/>
    <cellStyle name="Entrada 13" xfId="3434" xr:uid="{00000000-0005-0000-0000-0000620D0000}"/>
    <cellStyle name="Entrada 14" xfId="3435" xr:uid="{00000000-0005-0000-0000-0000630D0000}"/>
    <cellStyle name="Entrada 15" xfId="3436" xr:uid="{00000000-0005-0000-0000-0000640D0000}"/>
    <cellStyle name="Entrada 16" xfId="3437" xr:uid="{00000000-0005-0000-0000-0000650D0000}"/>
    <cellStyle name="Entrada 2" xfId="3438" xr:uid="{00000000-0005-0000-0000-0000660D0000}"/>
    <cellStyle name="Entrada 2 2" xfId="3439" xr:uid="{00000000-0005-0000-0000-0000670D0000}"/>
    <cellStyle name="Entrada 2 3" xfId="3440" xr:uid="{00000000-0005-0000-0000-0000680D0000}"/>
    <cellStyle name="Entrada 3" xfId="3441" xr:uid="{00000000-0005-0000-0000-0000690D0000}"/>
    <cellStyle name="Entrada 4" xfId="3442" xr:uid="{00000000-0005-0000-0000-00006A0D0000}"/>
    <cellStyle name="Entrada 5" xfId="3443" xr:uid="{00000000-0005-0000-0000-00006B0D0000}"/>
    <cellStyle name="Entrada 6" xfId="3444" xr:uid="{00000000-0005-0000-0000-00006C0D0000}"/>
    <cellStyle name="Entrada 7" xfId="3445" xr:uid="{00000000-0005-0000-0000-00006D0D0000}"/>
    <cellStyle name="Entrada 8" xfId="3446" xr:uid="{00000000-0005-0000-0000-00006E0D0000}"/>
    <cellStyle name="Entrada 9" xfId="3447" xr:uid="{00000000-0005-0000-0000-00006F0D0000}"/>
    <cellStyle name="Euro" xfId="3448" xr:uid="{00000000-0005-0000-0000-0000700D0000}"/>
    <cellStyle name="Euro 2" xfId="3449" xr:uid="{00000000-0005-0000-0000-0000710D0000}"/>
    <cellStyle name="Excel Built-in Normal" xfId="3450" xr:uid="{00000000-0005-0000-0000-0000720D0000}"/>
    <cellStyle name="Excel Built-in Normal 2" xfId="3451" xr:uid="{00000000-0005-0000-0000-0000730D0000}"/>
    <cellStyle name="Explanatory Text 2" xfId="3452" xr:uid="{00000000-0005-0000-0000-0000740D0000}"/>
    <cellStyle name="Explanatory Text 2 10" xfId="3453" xr:uid="{00000000-0005-0000-0000-0000750D0000}"/>
    <cellStyle name="Explanatory Text 2 11" xfId="3454" xr:uid="{00000000-0005-0000-0000-0000760D0000}"/>
    <cellStyle name="Explanatory Text 2 12" xfId="3455" xr:uid="{00000000-0005-0000-0000-0000770D0000}"/>
    <cellStyle name="Explanatory Text 2 2" xfId="3456" xr:uid="{00000000-0005-0000-0000-0000780D0000}"/>
    <cellStyle name="Explanatory Text 2 3" xfId="3457" xr:uid="{00000000-0005-0000-0000-0000790D0000}"/>
    <cellStyle name="Explanatory Text 2 4" xfId="3458" xr:uid="{00000000-0005-0000-0000-00007A0D0000}"/>
    <cellStyle name="Explanatory Text 2 5" xfId="3459" xr:uid="{00000000-0005-0000-0000-00007B0D0000}"/>
    <cellStyle name="Explanatory Text 2 6" xfId="3460" xr:uid="{00000000-0005-0000-0000-00007C0D0000}"/>
    <cellStyle name="Explanatory Text 2 7" xfId="3461" xr:uid="{00000000-0005-0000-0000-00007D0D0000}"/>
    <cellStyle name="Explanatory Text 2 8" xfId="3462" xr:uid="{00000000-0005-0000-0000-00007E0D0000}"/>
    <cellStyle name="Explanatory Text 2 9" xfId="3463" xr:uid="{00000000-0005-0000-0000-00007F0D0000}"/>
    <cellStyle name="Explanatory Text 3" xfId="3464" xr:uid="{00000000-0005-0000-0000-0000800D0000}"/>
    <cellStyle name="Explanatory Text 3 10" xfId="3465" xr:uid="{00000000-0005-0000-0000-0000810D0000}"/>
    <cellStyle name="Explanatory Text 3 11" xfId="3466" xr:uid="{00000000-0005-0000-0000-0000820D0000}"/>
    <cellStyle name="Explanatory Text 3 12" xfId="3467" xr:uid="{00000000-0005-0000-0000-0000830D0000}"/>
    <cellStyle name="Explanatory Text 3 2" xfId="3468" xr:uid="{00000000-0005-0000-0000-0000840D0000}"/>
    <cellStyle name="Explanatory Text 3 3" xfId="3469" xr:uid="{00000000-0005-0000-0000-0000850D0000}"/>
    <cellStyle name="Explanatory Text 3 4" xfId="3470" xr:uid="{00000000-0005-0000-0000-0000860D0000}"/>
    <cellStyle name="Explanatory Text 3 5" xfId="3471" xr:uid="{00000000-0005-0000-0000-0000870D0000}"/>
    <cellStyle name="Explanatory Text 3 6" xfId="3472" xr:uid="{00000000-0005-0000-0000-0000880D0000}"/>
    <cellStyle name="Explanatory Text 3 7" xfId="3473" xr:uid="{00000000-0005-0000-0000-0000890D0000}"/>
    <cellStyle name="Explanatory Text 3 8" xfId="3474" xr:uid="{00000000-0005-0000-0000-00008A0D0000}"/>
    <cellStyle name="Explanatory Text 3 9" xfId="3475" xr:uid="{00000000-0005-0000-0000-00008B0D0000}"/>
    <cellStyle name="Explanatory Text 4" xfId="3476" xr:uid="{00000000-0005-0000-0000-00008C0D0000}"/>
    <cellStyle name="Explanatory Text 4 10" xfId="3477" xr:uid="{00000000-0005-0000-0000-00008D0D0000}"/>
    <cellStyle name="Explanatory Text 4 11" xfId="3478" xr:uid="{00000000-0005-0000-0000-00008E0D0000}"/>
    <cellStyle name="Explanatory Text 4 12" xfId="3479" xr:uid="{00000000-0005-0000-0000-00008F0D0000}"/>
    <cellStyle name="Explanatory Text 4 2" xfId="3480" xr:uid="{00000000-0005-0000-0000-0000900D0000}"/>
    <cellStyle name="Explanatory Text 4 3" xfId="3481" xr:uid="{00000000-0005-0000-0000-0000910D0000}"/>
    <cellStyle name="Explanatory Text 4 4" xfId="3482" xr:uid="{00000000-0005-0000-0000-0000920D0000}"/>
    <cellStyle name="Explanatory Text 4 5" xfId="3483" xr:uid="{00000000-0005-0000-0000-0000930D0000}"/>
    <cellStyle name="Explanatory Text 4 6" xfId="3484" xr:uid="{00000000-0005-0000-0000-0000940D0000}"/>
    <cellStyle name="Explanatory Text 4 7" xfId="3485" xr:uid="{00000000-0005-0000-0000-0000950D0000}"/>
    <cellStyle name="Explanatory Text 4 8" xfId="3486" xr:uid="{00000000-0005-0000-0000-0000960D0000}"/>
    <cellStyle name="Explanatory Text 4 9" xfId="3487" xr:uid="{00000000-0005-0000-0000-0000970D0000}"/>
    <cellStyle name="Explanatory Text 5" xfId="3488" xr:uid="{00000000-0005-0000-0000-0000980D0000}"/>
    <cellStyle name="Explanatory Text 5 10" xfId="3489" xr:uid="{00000000-0005-0000-0000-0000990D0000}"/>
    <cellStyle name="Explanatory Text 5 11" xfId="3490" xr:uid="{00000000-0005-0000-0000-00009A0D0000}"/>
    <cellStyle name="Explanatory Text 5 12" xfId="3491" xr:uid="{00000000-0005-0000-0000-00009B0D0000}"/>
    <cellStyle name="Explanatory Text 5 2" xfId="3492" xr:uid="{00000000-0005-0000-0000-00009C0D0000}"/>
    <cellStyle name="Explanatory Text 5 3" xfId="3493" xr:uid="{00000000-0005-0000-0000-00009D0D0000}"/>
    <cellStyle name="Explanatory Text 5 4" xfId="3494" xr:uid="{00000000-0005-0000-0000-00009E0D0000}"/>
    <cellStyle name="Explanatory Text 5 5" xfId="3495" xr:uid="{00000000-0005-0000-0000-00009F0D0000}"/>
    <cellStyle name="Explanatory Text 5 6" xfId="3496" xr:uid="{00000000-0005-0000-0000-0000A00D0000}"/>
    <cellStyle name="Explanatory Text 5 7" xfId="3497" xr:uid="{00000000-0005-0000-0000-0000A10D0000}"/>
    <cellStyle name="Explanatory Text 5 8" xfId="3498" xr:uid="{00000000-0005-0000-0000-0000A20D0000}"/>
    <cellStyle name="Explanatory Text 5 9" xfId="3499" xr:uid="{00000000-0005-0000-0000-0000A30D0000}"/>
    <cellStyle name="Explanatory Text 6" xfId="3500" xr:uid="{00000000-0005-0000-0000-0000A40D0000}"/>
    <cellStyle name="Explanatory Text 7" xfId="3501" xr:uid="{00000000-0005-0000-0000-0000A50D0000}"/>
    <cellStyle name="Fixed" xfId="3502" xr:uid="{00000000-0005-0000-0000-0000A60D0000}"/>
    <cellStyle name="Fixo" xfId="3503" xr:uid="{00000000-0005-0000-0000-0000A70D0000}"/>
    <cellStyle name="Good 2" xfId="3504" xr:uid="{00000000-0005-0000-0000-0000A80D0000}"/>
    <cellStyle name="Good 2 10" xfId="3505" xr:uid="{00000000-0005-0000-0000-0000A90D0000}"/>
    <cellStyle name="Good 2 11" xfId="3506" xr:uid="{00000000-0005-0000-0000-0000AA0D0000}"/>
    <cellStyle name="Good 2 12" xfId="3507" xr:uid="{00000000-0005-0000-0000-0000AB0D0000}"/>
    <cellStyle name="Good 2 2" xfId="3508" xr:uid="{00000000-0005-0000-0000-0000AC0D0000}"/>
    <cellStyle name="Good 2 3" xfId="3509" xr:uid="{00000000-0005-0000-0000-0000AD0D0000}"/>
    <cellStyle name="Good 2 4" xfId="3510" xr:uid="{00000000-0005-0000-0000-0000AE0D0000}"/>
    <cellStyle name="Good 2 5" xfId="3511" xr:uid="{00000000-0005-0000-0000-0000AF0D0000}"/>
    <cellStyle name="Good 2 6" xfId="3512" xr:uid="{00000000-0005-0000-0000-0000B00D0000}"/>
    <cellStyle name="Good 2 7" xfId="3513" xr:uid="{00000000-0005-0000-0000-0000B10D0000}"/>
    <cellStyle name="Good 2 8" xfId="3514" xr:uid="{00000000-0005-0000-0000-0000B20D0000}"/>
    <cellStyle name="Good 2 9" xfId="3515" xr:uid="{00000000-0005-0000-0000-0000B30D0000}"/>
    <cellStyle name="Good 3" xfId="3516" xr:uid="{00000000-0005-0000-0000-0000B40D0000}"/>
    <cellStyle name="Good 3 10" xfId="3517" xr:uid="{00000000-0005-0000-0000-0000B50D0000}"/>
    <cellStyle name="Good 3 11" xfId="3518" xr:uid="{00000000-0005-0000-0000-0000B60D0000}"/>
    <cellStyle name="Good 3 12" xfId="3519" xr:uid="{00000000-0005-0000-0000-0000B70D0000}"/>
    <cellStyle name="Good 3 2" xfId="3520" xr:uid="{00000000-0005-0000-0000-0000B80D0000}"/>
    <cellStyle name="Good 3 3" xfId="3521" xr:uid="{00000000-0005-0000-0000-0000B90D0000}"/>
    <cellStyle name="Good 3 4" xfId="3522" xr:uid="{00000000-0005-0000-0000-0000BA0D0000}"/>
    <cellStyle name="Good 3 5" xfId="3523" xr:uid="{00000000-0005-0000-0000-0000BB0D0000}"/>
    <cellStyle name="Good 3 6" xfId="3524" xr:uid="{00000000-0005-0000-0000-0000BC0D0000}"/>
    <cellStyle name="Good 3 7" xfId="3525" xr:uid="{00000000-0005-0000-0000-0000BD0D0000}"/>
    <cellStyle name="Good 3 8" xfId="3526" xr:uid="{00000000-0005-0000-0000-0000BE0D0000}"/>
    <cellStyle name="Good 3 9" xfId="3527" xr:uid="{00000000-0005-0000-0000-0000BF0D0000}"/>
    <cellStyle name="Good 4" xfId="3528" xr:uid="{00000000-0005-0000-0000-0000C00D0000}"/>
    <cellStyle name="Good 4 10" xfId="3529" xr:uid="{00000000-0005-0000-0000-0000C10D0000}"/>
    <cellStyle name="Good 4 11" xfId="3530" xr:uid="{00000000-0005-0000-0000-0000C20D0000}"/>
    <cellStyle name="Good 4 12" xfId="3531" xr:uid="{00000000-0005-0000-0000-0000C30D0000}"/>
    <cellStyle name="Good 4 2" xfId="3532" xr:uid="{00000000-0005-0000-0000-0000C40D0000}"/>
    <cellStyle name="Good 4 3" xfId="3533" xr:uid="{00000000-0005-0000-0000-0000C50D0000}"/>
    <cellStyle name="Good 4 4" xfId="3534" xr:uid="{00000000-0005-0000-0000-0000C60D0000}"/>
    <cellStyle name="Good 4 5" xfId="3535" xr:uid="{00000000-0005-0000-0000-0000C70D0000}"/>
    <cellStyle name="Good 4 6" xfId="3536" xr:uid="{00000000-0005-0000-0000-0000C80D0000}"/>
    <cellStyle name="Good 4 7" xfId="3537" xr:uid="{00000000-0005-0000-0000-0000C90D0000}"/>
    <cellStyle name="Good 4 8" xfId="3538" xr:uid="{00000000-0005-0000-0000-0000CA0D0000}"/>
    <cellStyle name="Good 4 9" xfId="3539" xr:uid="{00000000-0005-0000-0000-0000CB0D0000}"/>
    <cellStyle name="Good 5" xfId="3540" xr:uid="{00000000-0005-0000-0000-0000CC0D0000}"/>
    <cellStyle name="Good 5 10" xfId="3541" xr:uid="{00000000-0005-0000-0000-0000CD0D0000}"/>
    <cellStyle name="Good 5 11" xfId="3542" xr:uid="{00000000-0005-0000-0000-0000CE0D0000}"/>
    <cellStyle name="Good 5 12" xfId="3543" xr:uid="{00000000-0005-0000-0000-0000CF0D0000}"/>
    <cellStyle name="Good 5 2" xfId="3544" xr:uid="{00000000-0005-0000-0000-0000D00D0000}"/>
    <cellStyle name="Good 5 3" xfId="3545" xr:uid="{00000000-0005-0000-0000-0000D10D0000}"/>
    <cellStyle name="Good 5 4" xfId="3546" xr:uid="{00000000-0005-0000-0000-0000D20D0000}"/>
    <cellStyle name="Good 5 5" xfId="3547" xr:uid="{00000000-0005-0000-0000-0000D30D0000}"/>
    <cellStyle name="Good 5 6" xfId="3548" xr:uid="{00000000-0005-0000-0000-0000D40D0000}"/>
    <cellStyle name="Good 5 7" xfId="3549" xr:uid="{00000000-0005-0000-0000-0000D50D0000}"/>
    <cellStyle name="Good 5 8" xfId="3550" xr:uid="{00000000-0005-0000-0000-0000D60D0000}"/>
    <cellStyle name="Good 5 9" xfId="3551" xr:uid="{00000000-0005-0000-0000-0000D70D0000}"/>
    <cellStyle name="Good 6" xfId="3552" xr:uid="{00000000-0005-0000-0000-0000D80D0000}"/>
    <cellStyle name="Good 6 10" xfId="3553" xr:uid="{00000000-0005-0000-0000-0000D90D0000}"/>
    <cellStyle name="Good 6 11" xfId="3554" xr:uid="{00000000-0005-0000-0000-0000DA0D0000}"/>
    <cellStyle name="Good 6 12" xfId="3555" xr:uid="{00000000-0005-0000-0000-0000DB0D0000}"/>
    <cellStyle name="Good 6 2" xfId="3556" xr:uid="{00000000-0005-0000-0000-0000DC0D0000}"/>
    <cellStyle name="Good 6 3" xfId="3557" xr:uid="{00000000-0005-0000-0000-0000DD0D0000}"/>
    <cellStyle name="Good 6 4" xfId="3558" xr:uid="{00000000-0005-0000-0000-0000DE0D0000}"/>
    <cellStyle name="Good 6 5" xfId="3559" xr:uid="{00000000-0005-0000-0000-0000DF0D0000}"/>
    <cellStyle name="Good 6 6" xfId="3560" xr:uid="{00000000-0005-0000-0000-0000E00D0000}"/>
    <cellStyle name="Good 6 7" xfId="3561" xr:uid="{00000000-0005-0000-0000-0000E10D0000}"/>
    <cellStyle name="Good 6 8" xfId="3562" xr:uid="{00000000-0005-0000-0000-0000E20D0000}"/>
    <cellStyle name="Good 6 9" xfId="3563" xr:uid="{00000000-0005-0000-0000-0000E30D0000}"/>
    <cellStyle name="Good 7" xfId="3564" xr:uid="{00000000-0005-0000-0000-0000E40D0000}"/>
    <cellStyle name="Good 7 10" xfId="3565" xr:uid="{00000000-0005-0000-0000-0000E50D0000}"/>
    <cellStyle name="Good 7 11" xfId="3566" xr:uid="{00000000-0005-0000-0000-0000E60D0000}"/>
    <cellStyle name="Good 7 12" xfId="3567" xr:uid="{00000000-0005-0000-0000-0000E70D0000}"/>
    <cellStyle name="Good 7 2" xfId="3568" xr:uid="{00000000-0005-0000-0000-0000E80D0000}"/>
    <cellStyle name="Good 7 3" xfId="3569" xr:uid="{00000000-0005-0000-0000-0000E90D0000}"/>
    <cellStyle name="Good 7 4" xfId="3570" xr:uid="{00000000-0005-0000-0000-0000EA0D0000}"/>
    <cellStyle name="Good 7 5" xfId="3571" xr:uid="{00000000-0005-0000-0000-0000EB0D0000}"/>
    <cellStyle name="Good 7 6" xfId="3572" xr:uid="{00000000-0005-0000-0000-0000EC0D0000}"/>
    <cellStyle name="Good 7 7" xfId="3573" xr:uid="{00000000-0005-0000-0000-0000ED0D0000}"/>
    <cellStyle name="Good 7 8" xfId="3574" xr:uid="{00000000-0005-0000-0000-0000EE0D0000}"/>
    <cellStyle name="Good 7 9" xfId="3575" xr:uid="{00000000-0005-0000-0000-0000EF0D0000}"/>
    <cellStyle name="Good 8" xfId="3576" xr:uid="{00000000-0005-0000-0000-0000F00D0000}"/>
    <cellStyle name="Good 8 10" xfId="3577" xr:uid="{00000000-0005-0000-0000-0000F10D0000}"/>
    <cellStyle name="Good 8 11" xfId="3578" xr:uid="{00000000-0005-0000-0000-0000F20D0000}"/>
    <cellStyle name="Good 8 12" xfId="3579" xr:uid="{00000000-0005-0000-0000-0000F30D0000}"/>
    <cellStyle name="Good 8 2" xfId="3580" xr:uid="{00000000-0005-0000-0000-0000F40D0000}"/>
    <cellStyle name="Good 8 3" xfId="3581" xr:uid="{00000000-0005-0000-0000-0000F50D0000}"/>
    <cellStyle name="Good 8 4" xfId="3582" xr:uid="{00000000-0005-0000-0000-0000F60D0000}"/>
    <cellStyle name="Good 8 5" xfId="3583" xr:uid="{00000000-0005-0000-0000-0000F70D0000}"/>
    <cellStyle name="Good 8 6" xfId="3584" xr:uid="{00000000-0005-0000-0000-0000F80D0000}"/>
    <cellStyle name="Good 8 7" xfId="3585" xr:uid="{00000000-0005-0000-0000-0000F90D0000}"/>
    <cellStyle name="Good 8 8" xfId="3586" xr:uid="{00000000-0005-0000-0000-0000FA0D0000}"/>
    <cellStyle name="Good 8 9" xfId="3587" xr:uid="{00000000-0005-0000-0000-0000FB0D0000}"/>
    <cellStyle name="Good 9" xfId="3588" xr:uid="{00000000-0005-0000-0000-0000FC0D0000}"/>
    <cellStyle name="Heading 1 10" xfId="3589" xr:uid="{00000000-0005-0000-0000-0000FD0D0000}"/>
    <cellStyle name="Heading 1 2" xfId="3590" xr:uid="{00000000-0005-0000-0000-0000FE0D0000}"/>
    <cellStyle name="Heading 1 2 10" xfId="3591" xr:uid="{00000000-0005-0000-0000-0000FF0D0000}"/>
    <cellStyle name="Heading 1 2 11" xfId="3592" xr:uid="{00000000-0005-0000-0000-0000000E0000}"/>
    <cellStyle name="Heading 1 2 12" xfId="3593" xr:uid="{00000000-0005-0000-0000-0000010E0000}"/>
    <cellStyle name="Heading 1 2 2" xfId="3594" xr:uid="{00000000-0005-0000-0000-0000020E0000}"/>
    <cellStyle name="Heading 1 2 3" xfId="3595" xr:uid="{00000000-0005-0000-0000-0000030E0000}"/>
    <cellStyle name="Heading 1 2 4" xfId="3596" xr:uid="{00000000-0005-0000-0000-0000040E0000}"/>
    <cellStyle name="Heading 1 2 5" xfId="3597" xr:uid="{00000000-0005-0000-0000-0000050E0000}"/>
    <cellStyle name="Heading 1 2 6" xfId="3598" xr:uid="{00000000-0005-0000-0000-0000060E0000}"/>
    <cellStyle name="Heading 1 2 7" xfId="3599" xr:uid="{00000000-0005-0000-0000-0000070E0000}"/>
    <cellStyle name="Heading 1 2 8" xfId="3600" xr:uid="{00000000-0005-0000-0000-0000080E0000}"/>
    <cellStyle name="Heading 1 2 9" xfId="3601" xr:uid="{00000000-0005-0000-0000-0000090E0000}"/>
    <cellStyle name="Heading 1 3" xfId="3602" xr:uid="{00000000-0005-0000-0000-00000A0E0000}"/>
    <cellStyle name="Heading 1 3 10" xfId="3603" xr:uid="{00000000-0005-0000-0000-00000B0E0000}"/>
    <cellStyle name="Heading 1 3 11" xfId="3604" xr:uid="{00000000-0005-0000-0000-00000C0E0000}"/>
    <cellStyle name="Heading 1 3 12" xfId="3605" xr:uid="{00000000-0005-0000-0000-00000D0E0000}"/>
    <cellStyle name="Heading 1 3 2" xfId="3606" xr:uid="{00000000-0005-0000-0000-00000E0E0000}"/>
    <cellStyle name="Heading 1 3 3" xfId="3607" xr:uid="{00000000-0005-0000-0000-00000F0E0000}"/>
    <cellStyle name="Heading 1 3 4" xfId="3608" xr:uid="{00000000-0005-0000-0000-0000100E0000}"/>
    <cellStyle name="Heading 1 3 5" xfId="3609" xr:uid="{00000000-0005-0000-0000-0000110E0000}"/>
    <cellStyle name="Heading 1 3 6" xfId="3610" xr:uid="{00000000-0005-0000-0000-0000120E0000}"/>
    <cellStyle name="Heading 1 3 7" xfId="3611" xr:uid="{00000000-0005-0000-0000-0000130E0000}"/>
    <cellStyle name="Heading 1 3 8" xfId="3612" xr:uid="{00000000-0005-0000-0000-0000140E0000}"/>
    <cellStyle name="Heading 1 3 9" xfId="3613" xr:uid="{00000000-0005-0000-0000-0000150E0000}"/>
    <cellStyle name="Heading 1 4" xfId="3614" xr:uid="{00000000-0005-0000-0000-0000160E0000}"/>
    <cellStyle name="Heading 1 4 10" xfId="3615" xr:uid="{00000000-0005-0000-0000-0000170E0000}"/>
    <cellStyle name="Heading 1 4 11" xfId="3616" xr:uid="{00000000-0005-0000-0000-0000180E0000}"/>
    <cellStyle name="Heading 1 4 12" xfId="3617" xr:uid="{00000000-0005-0000-0000-0000190E0000}"/>
    <cellStyle name="Heading 1 4 2" xfId="3618" xr:uid="{00000000-0005-0000-0000-00001A0E0000}"/>
    <cellStyle name="Heading 1 4 3" xfId="3619" xr:uid="{00000000-0005-0000-0000-00001B0E0000}"/>
    <cellStyle name="Heading 1 4 4" xfId="3620" xr:uid="{00000000-0005-0000-0000-00001C0E0000}"/>
    <cellStyle name="Heading 1 4 5" xfId="3621" xr:uid="{00000000-0005-0000-0000-00001D0E0000}"/>
    <cellStyle name="Heading 1 4 6" xfId="3622" xr:uid="{00000000-0005-0000-0000-00001E0E0000}"/>
    <cellStyle name="Heading 1 4 7" xfId="3623" xr:uid="{00000000-0005-0000-0000-00001F0E0000}"/>
    <cellStyle name="Heading 1 4 8" xfId="3624" xr:uid="{00000000-0005-0000-0000-0000200E0000}"/>
    <cellStyle name="Heading 1 4 9" xfId="3625" xr:uid="{00000000-0005-0000-0000-0000210E0000}"/>
    <cellStyle name="Heading 1 5" xfId="3626" xr:uid="{00000000-0005-0000-0000-0000220E0000}"/>
    <cellStyle name="Heading 1 5 10" xfId="3627" xr:uid="{00000000-0005-0000-0000-0000230E0000}"/>
    <cellStyle name="Heading 1 5 11" xfId="3628" xr:uid="{00000000-0005-0000-0000-0000240E0000}"/>
    <cellStyle name="Heading 1 5 12" xfId="3629" xr:uid="{00000000-0005-0000-0000-0000250E0000}"/>
    <cellStyle name="Heading 1 5 2" xfId="3630" xr:uid="{00000000-0005-0000-0000-0000260E0000}"/>
    <cellStyle name="Heading 1 5 3" xfId="3631" xr:uid="{00000000-0005-0000-0000-0000270E0000}"/>
    <cellStyle name="Heading 1 5 4" xfId="3632" xr:uid="{00000000-0005-0000-0000-0000280E0000}"/>
    <cellStyle name="Heading 1 5 5" xfId="3633" xr:uid="{00000000-0005-0000-0000-0000290E0000}"/>
    <cellStyle name="Heading 1 5 6" xfId="3634" xr:uid="{00000000-0005-0000-0000-00002A0E0000}"/>
    <cellStyle name="Heading 1 5 7" xfId="3635" xr:uid="{00000000-0005-0000-0000-00002B0E0000}"/>
    <cellStyle name="Heading 1 5 8" xfId="3636" xr:uid="{00000000-0005-0000-0000-00002C0E0000}"/>
    <cellStyle name="Heading 1 5 9" xfId="3637" xr:uid="{00000000-0005-0000-0000-00002D0E0000}"/>
    <cellStyle name="Heading 1 6" xfId="3638" xr:uid="{00000000-0005-0000-0000-00002E0E0000}"/>
    <cellStyle name="Heading 1 6 10" xfId="3639" xr:uid="{00000000-0005-0000-0000-00002F0E0000}"/>
    <cellStyle name="Heading 1 6 11" xfId="3640" xr:uid="{00000000-0005-0000-0000-0000300E0000}"/>
    <cellStyle name="Heading 1 6 12" xfId="3641" xr:uid="{00000000-0005-0000-0000-0000310E0000}"/>
    <cellStyle name="Heading 1 6 2" xfId="3642" xr:uid="{00000000-0005-0000-0000-0000320E0000}"/>
    <cellStyle name="Heading 1 6 3" xfId="3643" xr:uid="{00000000-0005-0000-0000-0000330E0000}"/>
    <cellStyle name="Heading 1 6 4" xfId="3644" xr:uid="{00000000-0005-0000-0000-0000340E0000}"/>
    <cellStyle name="Heading 1 6 5" xfId="3645" xr:uid="{00000000-0005-0000-0000-0000350E0000}"/>
    <cellStyle name="Heading 1 6 6" xfId="3646" xr:uid="{00000000-0005-0000-0000-0000360E0000}"/>
    <cellStyle name="Heading 1 6 7" xfId="3647" xr:uid="{00000000-0005-0000-0000-0000370E0000}"/>
    <cellStyle name="Heading 1 6 8" xfId="3648" xr:uid="{00000000-0005-0000-0000-0000380E0000}"/>
    <cellStyle name="Heading 1 6 9" xfId="3649" xr:uid="{00000000-0005-0000-0000-0000390E0000}"/>
    <cellStyle name="Heading 1 7" xfId="3650" xr:uid="{00000000-0005-0000-0000-00003A0E0000}"/>
    <cellStyle name="Heading 1 7 10" xfId="3651" xr:uid="{00000000-0005-0000-0000-00003B0E0000}"/>
    <cellStyle name="Heading 1 7 11" xfId="3652" xr:uid="{00000000-0005-0000-0000-00003C0E0000}"/>
    <cellStyle name="Heading 1 7 12" xfId="3653" xr:uid="{00000000-0005-0000-0000-00003D0E0000}"/>
    <cellStyle name="Heading 1 7 2" xfId="3654" xr:uid="{00000000-0005-0000-0000-00003E0E0000}"/>
    <cellStyle name="Heading 1 7 3" xfId="3655" xr:uid="{00000000-0005-0000-0000-00003F0E0000}"/>
    <cellStyle name="Heading 1 7 4" xfId="3656" xr:uid="{00000000-0005-0000-0000-0000400E0000}"/>
    <cellStyle name="Heading 1 7 5" xfId="3657" xr:uid="{00000000-0005-0000-0000-0000410E0000}"/>
    <cellStyle name="Heading 1 7 6" xfId="3658" xr:uid="{00000000-0005-0000-0000-0000420E0000}"/>
    <cellStyle name="Heading 1 7 7" xfId="3659" xr:uid="{00000000-0005-0000-0000-0000430E0000}"/>
    <cellStyle name="Heading 1 7 8" xfId="3660" xr:uid="{00000000-0005-0000-0000-0000440E0000}"/>
    <cellStyle name="Heading 1 7 9" xfId="3661" xr:uid="{00000000-0005-0000-0000-0000450E0000}"/>
    <cellStyle name="Heading 1 8" xfId="3662" xr:uid="{00000000-0005-0000-0000-0000460E0000}"/>
    <cellStyle name="Heading 1 8 10" xfId="3663" xr:uid="{00000000-0005-0000-0000-0000470E0000}"/>
    <cellStyle name="Heading 1 8 11" xfId="3664" xr:uid="{00000000-0005-0000-0000-0000480E0000}"/>
    <cellStyle name="Heading 1 8 12" xfId="3665" xr:uid="{00000000-0005-0000-0000-0000490E0000}"/>
    <cellStyle name="Heading 1 8 2" xfId="3666" xr:uid="{00000000-0005-0000-0000-00004A0E0000}"/>
    <cellStyle name="Heading 1 8 3" xfId="3667" xr:uid="{00000000-0005-0000-0000-00004B0E0000}"/>
    <cellStyle name="Heading 1 8 4" xfId="3668" xr:uid="{00000000-0005-0000-0000-00004C0E0000}"/>
    <cellStyle name="Heading 1 8 5" xfId="3669" xr:uid="{00000000-0005-0000-0000-00004D0E0000}"/>
    <cellStyle name="Heading 1 8 6" xfId="3670" xr:uid="{00000000-0005-0000-0000-00004E0E0000}"/>
    <cellStyle name="Heading 1 8 7" xfId="3671" xr:uid="{00000000-0005-0000-0000-00004F0E0000}"/>
    <cellStyle name="Heading 1 8 8" xfId="3672" xr:uid="{00000000-0005-0000-0000-0000500E0000}"/>
    <cellStyle name="Heading 1 8 9" xfId="3673" xr:uid="{00000000-0005-0000-0000-0000510E0000}"/>
    <cellStyle name="Heading 1 9" xfId="3674" xr:uid="{00000000-0005-0000-0000-0000520E0000}"/>
    <cellStyle name="Heading 2 10" xfId="3675" xr:uid="{00000000-0005-0000-0000-0000530E0000}"/>
    <cellStyle name="Heading 2 2" xfId="3676" xr:uid="{00000000-0005-0000-0000-0000540E0000}"/>
    <cellStyle name="Heading 2 2 10" xfId="3677" xr:uid="{00000000-0005-0000-0000-0000550E0000}"/>
    <cellStyle name="Heading 2 2 11" xfId="3678" xr:uid="{00000000-0005-0000-0000-0000560E0000}"/>
    <cellStyle name="Heading 2 2 12" xfId="3679" xr:uid="{00000000-0005-0000-0000-0000570E0000}"/>
    <cellStyle name="Heading 2 2 2" xfId="3680" xr:uid="{00000000-0005-0000-0000-0000580E0000}"/>
    <cellStyle name="Heading 2 2 3" xfId="3681" xr:uid="{00000000-0005-0000-0000-0000590E0000}"/>
    <cellStyle name="Heading 2 2 4" xfId="3682" xr:uid="{00000000-0005-0000-0000-00005A0E0000}"/>
    <cellStyle name="Heading 2 2 5" xfId="3683" xr:uid="{00000000-0005-0000-0000-00005B0E0000}"/>
    <cellStyle name="Heading 2 2 6" xfId="3684" xr:uid="{00000000-0005-0000-0000-00005C0E0000}"/>
    <cellStyle name="Heading 2 2 7" xfId="3685" xr:uid="{00000000-0005-0000-0000-00005D0E0000}"/>
    <cellStyle name="Heading 2 2 8" xfId="3686" xr:uid="{00000000-0005-0000-0000-00005E0E0000}"/>
    <cellStyle name="Heading 2 2 9" xfId="3687" xr:uid="{00000000-0005-0000-0000-00005F0E0000}"/>
    <cellStyle name="Heading 2 3" xfId="3688" xr:uid="{00000000-0005-0000-0000-0000600E0000}"/>
    <cellStyle name="Heading 2 3 10" xfId="3689" xr:uid="{00000000-0005-0000-0000-0000610E0000}"/>
    <cellStyle name="Heading 2 3 11" xfId="3690" xr:uid="{00000000-0005-0000-0000-0000620E0000}"/>
    <cellStyle name="Heading 2 3 12" xfId="3691" xr:uid="{00000000-0005-0000-0000-0000630E0000}"/>
    <cellStyle name="Heading 2 3 2" xfId="3692" xr:uid="{00000000-0005-0000-0000-0000640E0000}"/>
    <cellStyle name="Heading 2 3 3" xfId="3693" xr:uid="{00000000-0005-0000-0000-0000650E0000}"/>
    <cellStyle name="Heading 2 3 4" xfId="3694" xr:uid="{00000000-0005-0000-0000-0000660E0000}"/>
    <cellStyle name="Heading 2 3 5" xfId="3695" xr:uid="{00000000-0005-0000-0000-0000670E0000}"/>
    <cellStyle name="Heading 2 3 6" xfId="3696" xr:uid="{00000000-0005-0000-0000-0000680E0000}"/>
    <cellStyle name="Heading 2 3 7" xfId="3697" xr:uid="{00000000-0005-0000-0000-0000690E0000}"/>
    <cellStyle name="Heading 2 3 8" xfId="3698" xr:uid="{00000000-0005-0000-0000-00006A0E0000}"/>
    <cellStyle name="Heading 2 3 9" xfId="3699" xr:uid="{00000000-0005-0000-0000-00006B0E0000}"/>
    <cellStyle name="Heading 2 4" xfId="3700" xr:uid="{00000000-0005-0000-0000-00006C0E0000}"/>
    <cellStyle name="Heading 2 4 10" xfId="3701" xr:uid="{00000000-0005-0000-0000-00006D0E0000}"/>
    <cellStyle name="Heading 2 4 11" xfId="3702" xr:uid="{00000000-0005-0000-0000-00006E0E0000}"/>
    <cellStyle name="Heading 2 4 12" xfId="3703" xr:uid="{00000000-0005-0000-0000-00006F0E0000}"/>
    <cellStyle name="Heading 2 4 2" xfId="3704" xr:uid="{00000000-0005-0000-0000-0000700E0000}"/>
    <cellStyle name="Heading 2 4 3" xfId="3705" xr:uid="{00000000-0005-0000-0000-0000710E0000}"/>
    <cellStyle name="Heading 2 4 4" xfId="3706" xr:uid="{00000000-0005-0000-0000-0000720E0000}"/>
    <cellStyle name="Heading 2 4 5" xfId="3707" xr:uid="{00000000-0005-0000-0000-0000730E0000}"/>
    <cellStyle name="Heading 2 4 6" xfId="3708" xr:uid="{00000000-0005-0000-0000-0000740E0000}"/>
    <cellStyle name="Heading 2 4 7" xfId="3709" xr:uid="{00000000-0005-0000-0000-0000750E0000}"/>
    <cellStyle name="Heading 2 4 8" xfId="3710" xr:uid="{00000000-0005-0000-0000-0000760E0000}"/>
    <cellStyle name="Heading 2 4 9" xfId="3711" xr:uid="{00000000-0005-0000-0000-0000770E0000}"/>
    <cellStyle name="Heading 2 5" xfId="3712" xr:uid="{00000000-0005-0000-0000-0000780E0000}"/>
    <cellStyle name="Heading 2 5 10" xfId="3713" xr:uid="{00000000-0005-0000-0000-0000790E0000}"/>
    <cellStyle name="Heading 2 5 11" xfId="3714" xr:uid="{00000000-0005-0000-0000-00007A0E0000}"/>
    <cellStyle name="Heading 2 5 12" xfId="3715" xr:uid="{00000000-0005-0000-0000-00007B0E0000}"/>
    <cellStyle name="Heading 2 5 2" xfId="3716" xr:uid="{00000000-0005-0000-0000-00007C0E0000}"/>
    <cellStyle name="Heading 2 5 3" xfId="3717" xr:uid="{00000000-0005-0000-0000-00007D0E0000}"/>
    <cellStyle name="Heading 2 5 4" xfId="3718" xr:uid="{00000000-0005-0000-0000-00007E0E0000}"/>
    <cellStyle name="Heading 2 5 5" xfId="3719" xr:uid="{00000000-0005-0000-0000-00007F0E0000}"/>
    <cellStyle name="Heading 2 5 6" xfId="3720" xr:uid="{00000000-0005-0000-0000-0000800E0000}"/>
    <cellStyle name="Heading 2 5 7" xfId="3721" xr:uid="{00000000-0005-0000-0000-0000810E0000}"/>
    <cellStyle name="Heading 2 5 8" xfId="3722" xr:uid="{00000000-0005-0000-0000-0000820E0000}"/>
    <cellStyle name="Heading 2 5 9" xfId="3723" xr:uid="{00000000-0005-0000-0000-0000830E0000}"/>
    <cellStyle name="Heading 2 6" xfId="3724" xr:uid="{00000000-0005-0000-0000-0000840E0000}"/>
    <cellStyle name="Heading 2 6 10" xfId="3725" xr:uid="{00000000-0005-0000-0000-0000850E0000}"/>
    <cellStyle name="Heading 2 6 11" xfId="3726" xr:uid="{00000000-0005-0000-0000-0000860E0000}"/>
    <cellStyle name="Heading 2 6 12" xfId="3727" xr:uid="{00000000-0005-0000-0000-0000870E0000}"/>
    <cellStyle name="Heading 2 6 2" xfId="3728" xr:uid="{00000000-0005-0000-0000-0000880E0000}"/>
    <cellStyle name="Heading 2 6 3" xfId="3729" xr:uid="{00000000-0005-0000-0000-0000890E0000}"/>
    <cellStyle name="Heading 2 6 4" xfId="3730" xr:uid="{00000000-0005-0000-0000-00008A0E0000}"/>
    <cellStyle name="Heading 2 6 5" xfId="3731" xr:uid="{00000000-0005-0000-0000-00008B0E0000}"/>
    <cellStyle name="Heading 2 6 6" xfId="3732" xr:uid="{00000000-0005-0000-0000-00008C0E0000}"/>
    <cellStyle name="Heading 2 6 7" xfId="3733" xr:uid="{00000000-0005-0000-0000-00008D0E0000}"/>
    <cellStyle name="Heading 2 6 8" xfId="3734" xr:uid="{00000000-0005-0000-0000-00008E0E0000}"/>
    <cellStyle name="Heading 2 6 9" xfId="3735" xr:uid="{00000000-0005-0000-0000-00008F0E0000}"/>
    <cellStyle name="Heading 2 7" xfId="3736" xr:uid="{00000000-0005-0000-0000-0000900E0000}"/>
    <cellStyle name="Heading 2 7 10" xfId="3737" xr:uid="{00000000-0005-0000-0000-0000910E0000}"/>
    <cellStyle name="Heading 2 7 11" xfId="3738" xr:uid="{00000000-0005-0000-0000-0000920E0000}"/>
    <cellStyle name="Heading 2 7 12" xfId="3739" xr:uid="{00000000-0005-0000-0000-0000930E0000}"/>
    <cellStyle name="Heading 2 7 2" xfId="3740" xr:uid="{00000000-0005-0000-0000-0000940E0000}"/>
    <cellStyle name="Heading 2 7 3" xfId="3741" xr:uid="{00000000-0005-0000-0000-0000950E0000}"/>
    <cellStyle name="Heading 2 7 4" xfId="3742" xr:uid="{00000000-0005-0000-0000-0000960E0000}"/>
    <cellStyle name="Heading 2 7 5" xfId="3743" xr:uid="{00000000-0005-0000-0000-0000970E0000}"/>
    <cellStyle name="Heading 2 7 6" xfId="3744" xr:uid="{00000000-0005-0000-0000-0000980E0000}"/>
    <cellStyle name="Heading 2 7 7" xfId="3745" xr:uid="{00000000-0005-0000-0000-0000990E0000}"/>
    <cellStyle name="Heading 2 7 8" xfId="3746" xr:uid="{00000000-0005-0000-0000-00009A0E0000}"/>
    <cellStyle name="Heading 2 7 9" xfId="3747" xr:uid="{00000000-0005-0000-0000-00009B0E0000}"/>
    <cellStyle name="Heading 2 8" xfId="3748" xr:uid="{00000000-0005-0000-0000-00009C0E0000}"/>
    <cellStyle name="Heading 2 8 10" xfId="3749" xr:uid="{00000000-0005-0000-0000-00009D0E0000}"/>
    <cellStyle name="Heading 2 8 11" xfId="3750" xr:uid="{00000000-0005-0000-0000-00009E0E0000}"/>
    <cellStyle name="Heading 2 8 12" xfId="3751" xr:uid="{00000000-0005-0000-0000-00009F0E0000}"/>
    <cellStyle name="Heading 2 8 2" xfId="3752" xr:uid="{00000000-0005-0000-0000-0000A00E0000}"/>
    <cellStyle name="Heading 2 8 3" xfId="3753" xr:uid="{00000000-0005-0000-0000-0000A10E0000}"/>
    <cellStyle name="Heading 2 8 4" xfId="3754" xr:uid="{00000000-0005-0000-0000-0000A20E0000}"/>
    <cellStyle name="Heading 2 8 5" xfId="3755" xr:uid="{00000000-0005-0000-0000-0000A30E0000}"/>
    <cellStyle name="Heading 2 8 6" xfId="3756" xr:uid="{00000000-0005-0000-0000-0000A40E0000}"/>
    <cellStyle name="Heading 2 8 7" xfId="3757" xr:uid="{00000000-0005-0000-0000-0000A50E0000}"/>
    <cellStyle name="Heading 2 8 8" xfId="3758" xr:uid="{00000000-0005-0000-0000-0000A60E0000}"/>
    <cellStyle name="Heading 2 8 9" xfId="3759" xr:uid="{00000000-0005-0000-0000-0000A70E0000}"/>
    <cellStyle name="Heading 2 9" xfId="3760" xr:uid="{00000000-0005-0000-0000-0000A80E0000}"/>
    <cellStyle name="Heading 3 10" xfId="3761" xr:uid="{00000000-0005-0000-0000-0000A90E0000}"/>
    <cellStyle name="Heading 3 2" xfId="3762" xr:uid="{00000000-0005-0000-0000-0000AA0E0000}"/>
    <cellStyle name="Heading 3 2 10" xfId="3763" xr:uid="{00000000-0005-0000-0000-0000AB0E0000}"/>
    <cellStyle name="Heading 3 2 11" xfId="3764" xr:uid="{00000000-0005-0000-0000-0000AC0E0000}"/>
    <cellStyle name="Heading 3 2 12" xfId="3765" xr:uid="{00000000-0005-0000-0000-0000AD0E0000}"/>
    <cellStyle name="Heading 3 2 2" xfId="3766" xr:uid="{00000000-0005-0000-0000-0000AE0E0000}"/>
    <cellStyle name="Heading 3 2 3" xfId="3767" xr:uid="{00000000-0005-0000-0000-0000AF0E0000}"/>
    <cellStyle name="Heading 3 2 4" xfId="3768" xr:uid="{00000000-0005-0000-0000-0000B00E0000}"/>
    <cellStyle name="Heading 3 2 5" xfId="3769" xr:uid="{00000000-0005-0000-0000-0000B10E0000}"/>
    <cellStyle name="Heading 3 2 6" xfId="3770" xr:uid="{00000000-0005-0000-0000-0000B20E0000}"/>
    <cellStyle name="Heading 3 2 7" xfId="3771" xr:uid="{00000000-0005-0000-0000-0000B30E0000}"/>
    <cellStyle name="Heading 3 2 8" xfId="3772" xr:uid="{00000000-0005-0000-0000-0000B40E0000}"/>
    <cellStyle name="Heading 3 2 9" xfId="3773" xr:uid="{00000000-0005-0000-0000-0000B50E0000}"/>
    <cellStyle name="Heading 3 3" xfId="3774" xr:uid="{00000000-0005-0000-0000-0000B60E0000}"/>
    <cellStyle name="Heading 3 3 10" xfId="3775" xr:uid="{00000000-0005-0000-0000-0000B70E0000}"/>
    <cellStyle name="Heading 3 3 11" xfId="3776" xr:uid="{00000000-0005-0000-0000-0000B80E0000}"/>
    <cellStyle name="Heading 3 3 12" xfId="3777" xr:uid="{00000000-0005-0000-0000-0000B90E0000}"/>
    <cellStyle name="Heading 3 3 2" xfId="3778" xr:uid="{00000000-0005-0000-0000-0000BA0E0000}"/>
    <cellStyle name="Heading 3 3 3" xfId="3779" xr:uid="{00000000-0005-0000-0000-0000BB0E0000}"/>
    <cellStyle name="Heading 3 3 4" xfId="3780" xr:uid="{00000000-0005-0000-0000-0000BC0E0000}"/>
    <cellStyle name="Heading 3 3 5" xfId="3781" xr:uid="{00000000-0005-0000-0000-0000BD0E0000}"/>
    <cellStyle name="Heading 3 3 6" xfId="3782" xr:uid="{00000000-0005-0000-0000-0000BE0E0000}"/>
    <cellStyle name="Heading 3 3 7" xfId="3783" xr:uid="{00000000-0005-0000-0000-0000BF0E0000}"/>
    <cellStyle name="Heading 3 3 8" xfId="3784" xr:uid="{00000000-0005-0000-0000-0000C00E0000}"/>
    <cellStyle name="Heading 3 3 9" xfId="3785" xr:uid="{00000000-0005-0000-0000-0000C10E0000}"/>
    <cellStyle name="Heading 3 4" xfId="3786" xr:uid="{00000000-0005-0000-0000-0000C20E0000}"/>
    <cellStyle name="Heading 3 4 10" xfId="3787" xr:uid="{00000000-0005-0000-0000-0000C30E0000}"/>
    <cellStyle name="Heading 3 4 11" xfId="3788" xr:uid="{00000000-0005-0000-0000-0000C40E0000}"/>
    <cellStyle name="Heading 3 4 12" xfId="3789" xr:uid="{00000000-0005-0000-0000-0000C50E0000}"/>
    <cellStyle name="Heading 3 4 2" xfId="3790" xr:uid="{00000000-0005-0000-0000-0000C60E0000}"/>
    <cellStyle name="Heading 3 4 3" xfId="3791" xr:uid="{00000000-0005-0000-0000-0000C70E0000}"/>
    <cellStyle name="Heading 3 4 4" xfId="3792" xr:uid="{00000000-0005-0000-0000-0000C80E0000}"/>
    <cellStyle name="Heading 3 4 5" xfId="3793" xr:uid="{00000000-0005-0000-0000-0000C90E0000}"/>
    <cellStyle name="Heading 3 4 6" xfId="3794" xr:uid="{00000000-0005-0000-0000-0000CA0E0000}"/>
    <cellStyle name="Heading 3 4 7" xfId="3795" xr:uid="{00000000-0005-0000-0000-0000CB0E0000}"/>
    <cellStyle name="Heading 3 4 8" xfId="3796" xr:uid="{00000000-0005-0000-0000-0000CC0E0000}"/>
    <cellStyle name="Heading 3 4 9" xfId="3797" xr:uid="{00000000-0005-0000-0000-0000CD0E0000}"/>
    <cellStyle name="Heading 3 5" xfId="3798" xr:uid="{00000000-0005-0000-0000-0000CE0E0000}"/>
    <cellStyle name="Heading 3 5 10" xfId="3799" xr:uid="{00000000-0005-0000-0000-0000CF0E0000}"/>
    <cellStyle name="Heading 3 5 11" xfId="3800" xr:uid="{00000000-0005-0000-0000-0000D00E0000}"/>
    <cellStyle name="Heading 3 5 12" xfId="3801" xr:uid="{00000000-0005-0000-0000-0000D10E0000}"/>
    <cellStyle name="Heading 3 5 2" xfId="3802" xr:uid="{00000000-0005-0000-0000-0000D20E0000}"/>
    <cellStyle name="Heading 3 5 3" xfId="3803" xr:uid="{00000000-0005-0000-0000-0000D30E0000}"/>
    <cellStyle name="Heading 3 5 4" xfId="3804" xr:uid="{00000000-0005-0000-0000-0000D40E0000}"/>
    <cellStyle name="Heading 3 5 5" xfId="3805" xr:uid="{00000000-0005-0000-0000-0000D50E0000}"/>
    <cellStyle name="Heading 3 5 6" xfId="3806" xr:uid="{00000000-0005-0000-0000-0000D60E0000}"/>
    <cellStyle name="Heading 3 5 7" xfId="3807" xr:uid="{00000000-0005-0000-0000-0000D70E0000}"/>
    <cellStyle name="Heading 3 5 8" xfId="3808" xr:uid="{00000000-0005-0000-0000-0000D80E0000}"/>
    <cellStyle name="Heading 3 5 9" xfId="3809" xr:uid="{00000000-0005-0000-0000-0000D90E0000}"/>
    <cellStyle name="Heading 3 6" xfId="3810" xr:uid="{00000000-0005-0000-0000-0000DA0E0000}"/>
    <cellStyle name="Heading 3 6 10" xfId="3811" xr:uid="{00000000-0005-0000-0000-0000DB0E0000}"/>
    <cellStyle name="Heading 3 6 11" xfId="3812" xr:uid="{00000000-0005-0000-0000-0000DC0E0000}"/>
    <cellStyle name="Heading 3 6 12" xfId="3813" xr:uid="{00000000-0005-0000-0000-0000DD0E0000}"/>
    <cellStyle name="Heading 3 6 2" xfId="3814" xr:uid="{00000000-0005-0000-0000-0000DE0E0000}"/>
    <cellStyle name="Heading 3 6 3" xfId="3815" xr:uid="{00000000-0005-0000-0000-0000DF0E0000}"/>
    <cellStyle name="Heading 3 6 4" xfId="3816" xr:uid="{00000000-0005-0000-0000-0000E00E0000}"/>
    <cellStyle name="Heading 3 6 5" xfId="3817" xr:uid="{00000000-0005-0000-0000-0000E10E0000}"/>
    <cellStyle name="Heading 3 6 6" xfId="3818" xr:uid="{00000000-0005-0000-0000-0000E20E0000}"/>
    <cellStyle name="Heading 3 6 7" xfId="3819" xr:uid="{00000000-0005-0000-0000-0000E30E0000}"/>
    <cellStyle name="Heading 3 6 8" xfId="3820" xr:uid="{00000000-0005-0000-0000-0000E40E0000}"/>
    <cellStyle name="Heading 3 6 9" xfId="3821" xr:uid="{00000000-0005-0000-0000-0000E50E0000}"/>
    <cellStyle name="Heading 3 7" xfId="3822" xr:uid="{00000000-0005-0000-0000-0000E60E0000}"/>
    <cellStyle name="Heading 3 7 10" xfId="3823" xr:uid="{00000000-0005-0000-0000-0000E70E0000}"/>
    <cellStyle name="Heading 3 7 11" xfId="3824" xr:uid="{00000000-0005-0000-0000-0000E80E0000}"/>
    <cellStyle name="Heading 3 7 12" xfId="3825" xr:uid="{00000000-0005-0000-0000-0000E90E0000}"/>
    <cellStyle name="Heading 3 7 2" xfId="3826" xr:uid="{00000000-0005-0000-0000-0000EA0E0000}"/>
    <cellStyle name="Heading 3 7 3" xfId="3827" xr:uid="{00000000-0005-0000-0000-0000EB0E0000}"/>
    <cellStyle name="Heading 3 7 4" xfId="3828" xr:uid="{00000000-0005-0000-0000-0000EC0E0000}"/>
    <cellStyle name="Heading 3 7 5" xfId="3829" xr:uid="{00000000-0005-0000-0000-0000ED0E0000}"/>
    <cellStyle name="Heading 3 7 6" xfId="3830" xr:uid="{00000000-0005-0000-0000-0000EE0E0000}"/>
    <cellStyle name="Heading 3 7 7" xfId="3831" xr:uid="{00000000-0005-0000-0000-0000EF0E0000}"/>
    <cellStyle name="Heading 3 7 8" xfId="3832" xr:uid="{00000000-0005-0000-0000-0000F00E0000}"/>
    <cellStyle name="Heading 3 7 9" xfId="3833" xr:uid="{00000000-0005-0000-0000-0000F10E0000}"/>
    <cellStyle name="Heading 3 8" xfId="3834" xr:uid="{00000000-0005-0000-0000-0000F20E0000}"/>
    <cellStyle name="Heading 3 8 10" xfId="3835" xr:uid="{00000000-0005-0000-0000-0000F30E0000}"/>
    <cellStyle name="Heading 3 8 11" xfId="3836" xr:uid="{00000000-0005-0000-0000-0000F40E0000}"/>
    <cellStyle name="Heading 3 8 12" xfId="3837" xr:uid="{00000000-0005-0000-0000-0000F50E0000}"/>
    <cellStyle name="Heading 3 8 2" xfId="3838" xr:uid="{00000000-0005-0000-0000-0000F60E0000}"/>
    <cellStyle name="Heading 3 8 3" xfId="3839" xr:uid="{00000000-0005-0000-0000-0000F70E0000}"/>
    <cellStyle name="Heading 3 8 4" xfId="3840" xr:uid="{00000000-0005-0000-0000-0000F80E0000}"/>
    <cellStyle name="Heading 3 8 5" xfId="3841" xr:uid="{00000000-0005-0000-0000-0000F90E0000}"/>
    <cellStyle name="Heading 3 8 6" xfId="3842" xr:uid="{00000000-0005-0000-0000-0000FA0E0000}"/>
    <cellStyle name="Heading 3 8 7" xfId="3843" xr:uid="{00000000-0005-0000-0000-0000FB0E0000}"/>
    <cellStyle name="Heading 3 8 8" xfId="3844" xr:uid="{00000000-0005-0000-0000-0000FC0E0000}"/>
    <cellStyle name="Heading 3 8 9" xfId="3845" xr:uid="{00000000-0005-0000-0000-0000FD0E0000}"/>
    <cellStyle name="Heading 3 9" xfId="3846" xr:uid="{00000000-0005-0000-0000-0000FE0E0000}"/>
    <cellStyle name="Heading 4 10" xfId="3847" xr:uid="{00000000-0005-0000-0000-0000FF0E0000}"/>
    <cellStyle name="Heading 4 2" xfId="3848" xr:uid="{00000000-0005-0000-0000-0000000F0000}"/>
    <cellStyle name="Heading 4 2 10" xfId="3849" xr:uid="{00000000-0005-0000-0000-0000010F0000}"/>
    <cellStyle name="Heading 4 2 11" xfId="3850" xr:uid="{00000000-0005-0000-0000-0000020F0000}"/>
    <cellStyle name="Heading 4 2 12" xfId="3851" xr:uid="{00000000-0005-0000-0000-0000030F0000}"/>
    <cellStyle name="Heading 4 2 2" xfId="3852" xr:uid="{00000000-0005-0000-0000-0000040F0000}"/>
    <cellStyle name="Heading 4 2 3" xfId="3853" xr:uid="{00000000-0005-0000-0000-0000050F0000}"/>
    <cellStyle name="Heading 4 2 4" xfId="3854" xr:uid="{00000000-0005-0000-0000-0000060F0000}"/>
    <cellStyle name="Heading 4 2 5" xfId="3855" xr:uid="{00000000-0005-0000-0000-0000070F0000}"/>
    <cellStyle name="Heading 4 2 6" xfId="3856" xr:uid="{00000000-0005-0000-0000-0000080F0000}"/>
    <cellStyle name="Heading 4 2 7" xfId="3857" xr:uid="{00000000-0005-0000-0000-0000090F0000}"/>
    <cellStyle name="Heading 4 2 8" xfId="3858" xr:uid="{00000000-0005-0000-0000-00000A0F0000}"/>
    <cellStyle name="Heading 4 2 9" xfId="3859" xr:uid="{00000000-0005-0000-0000-00000B0F0000}"/>
    <cellStyle name="Heading 4 3" xfId="3860" xr:uid="{00000000-0005-0000-0000-00000C0F0000}"/>
    <cellStyle name="Heading 4 3 10" xfId="3861" xr:uid="{00000000-0005-0000-0000-00000D0F0000}"/>
    <cellStyle name="Heading 4 3 11" xfId="3862" xr:uid="{00000000-0005-0000-0000-00000E0F0000}"/>
    <cellStyle name="Heading 4 3 12" xfId="3863" xr:uid="{00000000-0005-0000-0000-00000F0F0000}"/>
    <cellStyle name="Heading 4 3 2" xfId="3864" xr:uid="{00000000-0005-0000-0000-0000100F0000}"/>
    <cellStyle name="Heading 4 3 3" xfId="3865" xr:uid="{00000000-0005-0000-0000-0000110F0000}"/>
    <cellStyle name="Heading 4 3 4" xfId="3866" xr:uid="{00000000-0005-0000-0000-0000120F0000}"/>
    <cellStyle name="Heading 4 3 5" xfId="3867" xr:uid="{00000000-0005-0000-0000-0000130F0000}"/>
    <cellStyle name="Heading 4 3 6" xfId="3868" xr:uid="{00000000-0005-0000-0000-0000140F0000}"/>
    <cellStyle name="Heading 4 3 7" xfId="3869" xr:uid="{00000000-0005-0000-0000-0000150F0000}"/>
    <cellStyle name="Heading 4 3 8" xfId="3870" xr:uid="{00000000-0005-0000-0000-0000160F0000}"/>
    <cellStyle name="Heading 4 3 9" xfId="3871" xr:uid="{00000000-0005-0000-0000-0000170F0000}"/>
    <cellStyle name="Heading 4 4" xfId="3872" xr:uid="{00000000-0005-0000-0000-0000180F0000}"/>
    <cellStyle name="Heading 4 4 10" xfId="3873" xr:uid="{00000000-0005-0000-0000-0000190F0000}"/>
    <cellStyle name="Heading 4 4 11" xfId="3874" xr:uid="{00000000-0005-0000-0000-00001A0F0000}"/>
    <cellStyle name="Heading 4 4 12" xfId="3875" xr:uid="{00000000-0005-0000-0000-00001B0F0000}"/>
    <cellStyle name="Heading 4 4 2" xfId="3876" xr:uid="{00000000-0005-0000-0000-00001C0F0000}"/>
    <cellStyle name="Heading 4 4 3" xfId="3877" xr:uid="{00000000-0005-0000-0000-00001D0F0000}"/>
    <cellStyle name="Heading 4 4 4" xfId="3878" xr:uid="{00000000-0005-0000-0000-00001E0F0000}"/>
    <cellStyle name="Heading 4 4 5" xfId="3879" xr:uid="{00000000-0005-0000-0000-00001F0F0000}"/>
    <cellStyle name="Heading 4 4 6" xfId="3880" xr:uid="{00000000-0005-0000-0000-0000200F0000}"/>
    <cellStyle name="Heading 4 4 7" xfId="3881" xr:uid="{00000000-0005-0000-0000-0000210F0000}"/>
    <cellStyle name="Heading 4 4 8" xfId="3882" xr:uid="{00000000-0005-0000-0000-0000220F0000}"/>
    <cellStyle name="Heading 4 4 9" xfId="3883" xr:uid="{00000000-0005-0000-0000-0000230F0000}"/>
    <cellStyle name="Heading 4 5" xfId="3884" xr:uid="{00000000-0005-0000-0000-0000240F0000}"/>
    <cellStyle name="Heading 4 5 10" xfId="3885" xr:uid="{00000000-0005-0000-0000-0000250F0000}"/>
    <cellStyle name="Heading 4 5 11" xfId="3886" xr:uid="{00000000-0005-0000-0000-0000260F0000}"/>
    <cellStyle name="Heading 4 5 12" xfId="3887" xr:uid="{00000000-0005-0000-0000-0000270F0000}"/>
    <cellStyle name="Heading 4 5 2" xfId="3888" xr:uid="{00000000-0005-0000-0000-0000280F0000}"/>
    <cellStyle name="Heading 4 5 3" xfId="3889" xr:uid="{00000000-0005-0000-0000-0000290F0000}"/>
    <cellStyle name="Heading 4 5 4" xfId="3890" xr:uid="{00000000-0005-0000-0000-00002A0F0000}"/>
    <cellStyle name="Heading 4 5 5" xfId="3891" xr:uid="{00000000-0005-0000-0000-00002B0F0000}"/>
    <cellStyle name="Heading 4 5 6" xfId="3892" xr:uid="{00000000-0005-0000-0000-00002C0F0000}"/>
    <cellStyle name="Heading 4 5 7" xfId="3893" xr:uid="{00000000-0005-0000-0000-00002D0F0000}"/>
    <cellStyle name="Heading 4 5 8" xfId="3894" xr:uid="{00000000-0005-0000-0000-00002E0F0000}"/>
    <cellStyle name="Heading 4 5 9" xfId="3895" xr:uid="{00000000-0005-0000-0000-00002F0F0000}"/>
    <cellStyle name="Heading 4 6" xfId="3896" xr:uid="{00000000-0005-0000-0000-0000300F0000}"/>
    <cellStyle name="Heading 4 6 10" xfId="3897" xr:uid="{00000000-0005-0000-0000-0000310F0000}"/>
    <cellStyle name="Heading 4 6 11" xfId="3898" xr:uid="{00000000-0005-0000-0000-0000320F0000}"/>
    <cellStyle name="Heading 4 6 12" xfId="3899" xr:uid="{00000000-0005-0000-0000-0000330F0000}"/>
    <cellStyle name="Heading 4 6 2" xfId="3900" xr:uid="{00000000-0005-0000-0000-0000340F0000}"/>
    <cellStyle name="Heading 4 6 3" xfId="3901" xr:uid="{00000000-0005-0000-0000-0000350F0000}"/>
    <cellStyle name="Heading 4 6 4" xfId="3902" xr:uid="{00000000-0005-0000-0000-0000360F0000}"/>
    <cellStyle name="Heading 4 6 5" xfId="3903" xr:uid="{00000000-0005-0000-0000-0000370F0000}"/>
    <cellStyle name="Heading 4 6 6" xfId="3904" xr:uid="{00000000-0005-0000-0000-0000380F0000}"/>
    <cellStyle name="Heading 4 6 7" xfId="3905" xr:uid="{00000000-0005-0000-0000-0000390F0000}"/>
    <cellStyle name="Heading 4 6 8" xfId="3906" xr:uid="{00000000-0005-0000-0000-00003A0F0000}"/>
    <cellStyle name="Heading 4 6 9" xfId="3907" xr:uid="{00000000-0005-0000-0000-00003B0F0000}"/>
    <cellStyle name="Heading 4 7" xfId="3908" xr:uid="{00000000-0005-0000-0000-00003C0F0000}"/>
    <cellStyle name="Heading 4 7 10" xfId="3909" xr:uid="{00000000-0005-0000-0000-00003D0F0000}"/>
    <cellStyle name="Heading 4 7 11" xfId="3910" xr:uid="{00000000-0005-0000-0000-00003E0F0000}"/>
    <cellStyle name="Heading 4 7 12" xfId="3911" xr:uid="{00000000-0005-0000-0000-00003F0F0000}"/>
    <cellStyle name="Heading 4 7 2" xfId="3912" xr:uid="{00000000-0005-0000-0000-0000400F0000}"/>
    <cellStyle name="Heading 4 7 3" xfId="3913" xr:uid="{00000000-0005-0000-0000-0000410F0000}"/>
    <cellStyle name="Heading 4 7 4" xfId="3914" xr:uid="{00000000-0005-0000-0000-0000420F0000}"/>
    <cellStyle name="Heading 4 7 5" xfId="3915" xr:uid="{00000000-0005-0000-0000-0000430F0000}"/>
    <cellStyle name="Heading 4 7 6" xfId="3916" xr:uid="{00000000-0005-0000-0000-0000440F0000}"/>
    <cellStyle name="Heading 4 7 7" xfId="3917" xr:uid="{00000000-0005-0000-0000-0000450F0000}"/>
    <cellStyle name="Heading 4 7 8" xfId="3918" xr:uid="{00000000-0005-0000-0000-0000460F0000}"/>
    <cellStyle name="Heading 4 7 9" xfId="3919" xr:uid="{00000000-0005-0000-0000-0000470F0000}"/>
    <cellStyle name="Heading 4 8" xfId="3920" xr:uid="{00000000-0005-0000-0000-0000480F0000}"/>
    <cellStyle name="Heading 4 8 10" xfId="3921" xr:uid="{00000000-0005-0000-0000-0000490F0000}"/>
    <cellStyle name="Heading 4 8 11" xfId="3922" xr:uid="{00000000-0005-0000-0000-00004A0F0000}"/>
    <cellStyle name="Heading 4 8 12" xfId="3923" xr:uid="{00000000-0005-0000-0000-00004B0F0000}"/>
    <cellStyle name="Heading 4 8 2" xfId="3924" xr:uid="{00000000-0005-0000-0000-00004C0F0000}"/>
    <cellStyle name="Heading 4 8 3" xfId="3925" xr:uid="{00000000-0005-0000-0000-00004D0F0000}"/>
    <cellStyle name="Heading 4 8 4" xfId="3926" xr:uid="{00000000-0005-0000-0000-00004E0F0000}"/>
    <cellStyle name="Heading 4 8 5" xfId="3927" xr:uid="{00000000-0005-0000-0000-00004F0F0000}"/>
    <cellStyle name="Heading 4 8 6" xfId="3928" xr:uid="{00000000-0005-0000-0000-0000500F0000}"/>
    <cellStyle name="Heading 4 8 7" xfId="3929" xr:uid="{00000000-0005-0000-0000-0000510F0000}"/>
    <cellStyle name="Heading 4 8 8" xfId="3930" xr:uid="{00000000-0005-0000-0000-0000520F0000}"/>
    <cellStyle name="Heading 4 8 9" xfId="3931" xr:uid="{00000000-0005-0000-0000-0000530F0000}"/>
    <cellStyle name="Heading 4 9" xfId="3932" xr:uid="{00000000-0005-0000-0000-0000540F0000}"/>
    <cellStyle name="Heading1" xfId="3933" xr:uid="{00000000-0005-0000-0000-0000550F0000}"/>
    <cellStyle name="Heading2" xfId="3934" xr:uid="{00000000-0005-0000-0000-0000560F0000}"/>
    <cellStyle name="Hipervínculo" xfId="3935" xr:uid="{00000000-0005-0000-0000-0000570F0000}"/>
    <cellStyle name="Hipervínculo visitado" xfId="3936" xr:uid="{00000000-0005-0000-0000-0000580F0000}"/>
    <cellStyle name="Hyperlink seguido" xfId="3937" xr:uid="{00000000-0005-0000-0000-0000590F0000}"/>
    <cellStyle name="Incorreto 10" xfId="3938" xr:uid="{00000000-0005-0000-0000-00005A0F0000}"/>
    <cellStyle name="Incorreto 11" xfId="3939" xr:uid="{00000000-0005-0000-0000-00005B0F0000}"/>
    <cellStyle name="Incorreto 12" xfId="3940" xr:uid="{00000000-0005-0000-0000-00005C0F0000}"/>
    <cellStyle name="Incorreto 13" xfId="3941" xr:uid="{00000000-0005-0000-0000-00005D0F0000}"/>
    <cellStyle name="Incorreto 14" xfId="3942" xr:uid="{00000000-0005-0000-0000-00005E0F0000}"/>
    <cellStyle name="Incorreto 15" xfId="3943" xr:uid="{00000000-0005-0000-0000-00005F0F0000}"/>
    <cellStyle name="Incorreto 16" xfId="3944" xr:uid="{00000000-0005-0000-0000-0000600F0000}"/>
    <cellStyle name="Incorreto 2" xfId="3945" xr:uid="{00000000-0005-0000-0000-0000610F0000}"/>
    <cellStyle name="Incorreto 3" xfId="3946" xr:uid="{00000000-0005-0000-0000-0000620F0000}"/>
    <cellStyle name="Incorreto 4" xfId="3947" xr:uid="{00000000-0005-0000-0000-0000630F0000}"/>
    <cellStyle name="Incorreto 5" xfId="3948" xr:uid="{00000000-0005-0000-0000-0000640F0000}"/>
    <cellStyle name="Incorreto 6" xfId="3949" xr:uid="{00000000-0005-0000-0000-0000650F0000}"/>
    <cellStyle name="Incorreto 7" xfId="3950" xr:uid="{00000000-0005-0000-0000-0000660F0000}"/>
    <cellStyle name="Incorreto 8" xfId="3951" xr:uid="{00000000-0005-0000-0000-0000670F0000}"/>
    <cellStyle name="Incorreto 9" xfId="3952" xr:uid="{00000000-0005-0000-0000-0000680F0000}"/>
    <cellStyle name="Indefinido" xfId="3953" xr:uid="{00000000-0005-0000-0000-0000690F0000}"/>
    <cellStyle name="Input 10" xfId="3954" xr:uid="{00000000-0005-0000-0000-00006A0F0000}"/>
    <cellStyle name="Input 2" xfId="3955" xr:uid="{00000000-0005-0000-0000-00006B0F0000}"/>
    <cellStyle name="Input 2 10" xfId="3956" xr:uid="{00000000-0005-0000-0000-00006C0F0000}"/>
    <cellStyle name="Input 2 11" xfId="3957" xr:uid="{00000000-0005-0000-0000-00006D0F0000}"/>
    <cellStyle name="Input 2 12" xfId="3958" xr:uid="{00000000-0005-0000-0000-00006E0F0000}"/>
    <cellStyle name="Input 2 2" xfId="3959" xr:uid="{00000000-0005-0000-0000-00006F0F0000}"/>
    <cellStyle name="Input 2 3" xfId="3960" xr:uid="{00000000-0005-0000-0000-0000700F0000}"/>
    <cellStyle name="Input 2 4" xfId="3961" xr:uid="{00000000-0005-0000-0000-0000710F0000}"/>
    <cellStyle name="Input 2 5" xfId="3962" xr:uid="{00000000-0005-0000-0000-0000720F0000}"/>
    <cellStyle name="Input 2 6" xfId="3963" xr:uid="{00000000-0005-0000-0000-0000730F0000}"/>
    <cellStyle name="Input 2 7" xfId="3964" xr:uid="{00000000-0005-0000-0000-0000740F0000}"/>
    <cellStyle name="Input 2 8" xfId="3965" xr:uid="{00000000-0005-0000-0000-0000750F0000}"/>
    <cellStyle name="Input 2 9" xfId="3966" xr:uid="{00000000-0005-0000-0000-0000760F0000}"/>
    <cellStyle name="Input 3" xfId="3967" xr:uid="{00000000-0005-0000-0000-0000770F0000}"/>
    <cellStyle name="Input 3 10" xfId="3968" xr:uid="{00000000-0005-0000-0000-0000780F0000}"/>
    <cellStyle name="Input 3 11" xfId="3969" xr:uid="{00000000-0005-0000-0000-0000790F0000}"/>
    <cellStyle name="Input 3 12" xfId="3970" xr:uid="{00000000-0005-0000-0000-00007A0F0000}"/>
    <cellStyle name="Input 3 2" xfId="3971" xr:uid="{00000000-0005-0000-0000-00007B0F0000}"/>
    <cellStyle name="Input 3 3" xfId="3972" xr:uid="{00000000-0005-0000-0000-00007C0F0000}"/>
    <cellStyle name="Input 3 4" xfId="3973" xr:uid="{00000000-0005-0000-0000-00007D0F0000}"/>
    <cellStyle name="Input 3 5" xfId="3974" xr:uid="{00000000-0005-0000-0000-00007E0F0000}"/>
    <cellStyle name="Input 3 6" xfId="3975" xr:uid="{00000000-0005-0000-0000-00007F0F0000}"/>
    <cellStyle name="Input 3 7" xfId="3976" xr:uid="{00000000-0005-0000-0000-0000800F0000}"/>
    <cellStyle name="Input 3 8" xfId="3977" xr:uid="{00000000-0005-0000-0000-0000810F0000}"/>
    <cellStyle name="Input 3 9" xfId="3978" xr:uid="{00000000-0005-0000-0000-0000820F0000}"/>
    <cellStyle name="Input 4" xfId="3979" xr:uid="{00000000-0005-0000-0000-0000830F0000}"/>
    <cellStyle name="Input 4 10" xfId="3980" xr:uid="{00000000-0005-0000-0000-0000840F0000}"/>
    <cellStyle name="Input 4 11" xfId="3981" xr:uid="{00000000-0005-0000-0000-0000850F0000}"/>
    <cellStyle name="Input 4 12" xfId="3982" xr:uid="{00000000-0005-0000-0000-0000860F0000}"/>
    <cellStyle name="Input 4 2" xfId="3983" xr:uid="{00000000-0005-0000-0000-0000870F0000}"/>
    <cellStyle name="Input 4 3" xfId="3984" xr:uid="{00000000-0005-0000-0000-0000880F0000}"/>
    <cellStyle name="Input 4 4" xfId="3985" xr:uid="{00000000-0005-0000-0000-0000890F0000}"/>
    <cellStyle name="Input 4 5" xfId="3986" xr:uid="{00000000-0005-0000-0000-00008A0F0000}"/>
    <cellStyle name="Input 4 6" xfId="3987" xr:uid="{00000000-0005-0000-0000-00008B0F0000}"/>
    <cellStyle name="Input 4 7" xfId="3988" xr:uid="{00000000-0005-0000-0000-00008C0F0000}"/>
    <cellStyle name="Input 4 8" xfId="3989" xr:uid="{00000000-0005-0000-0000-00008D0F0000}"/>
    <cellStyle name="Input 4 9" xfId="3990" xr:uid="{00000000-0005-0000-0000-00008E0F0000}"/>
    <cellStyle name="Input 5" xfId="3991" xr:uid="{00000000-0005-0000-0000-00008F0F0000}"/>
    <cellStyle name="Input 5 10" xfId="3992" xr:uid="{00000000-0005-0000-0000-0000900F0000}"/>
    <cellStyle name="Input 5 11" xfId="3993" xr:uid="{00000000-0005-0000-0000-0000910F0000}"/>
    <cellStyle name="Input 5 12" xfId="3994" xr:uid="{00000000-0005-0000-0000-0000920F0000}"/>
    <cellStyle name="Input 5 2" xfId="3995" xr:uid="{00000000-0005-0000-0000-0000930F0000}"/>
    <cellStyle name="Input 5 3" xfId="3996" xr:uid="{00000000-0005-0000-0000-0000940F0000}"/>
    <cellStyle name="Input 5 4" xfId="3997" xr:uid="{00000000-0005-0000-0000-0000950F0000}"/>
    <cellStyle name="Input 5 5" xfId="3998" xr:uid="{00000000-0005-0000-0000-0000960F0000}"/>
    <cellStyle name="Input 5 6" xfId="3999" xr:uid="{00000000-0005-0000-0000-0000970F0000}"/>
    <cellStyle name="Input 5 7" xfId="4000" xr:uid="{00000000-0005-0000-0000-0000980F0000}"/>
    <cellStyle name="Input 5 8" xfId="4001" xr:uid="{00000000-0005-0000-0000-0000990F0000}"/>
    <cellStyle name="Input 5 9" xfId="4002" xr:uid="{00000000-0005-0000-0000-00009A0F0000}"/>
    <cellStyle name="Input 6" xfId="4003" xr:uid="{00000000-0005-0000-0000-00009B0F0000}"/>
    <cellStyle name="Input 6 10" xfId="4004" xr:uid="{00000000-0005-0000-0000-00009C0F0000}"/>
    <cellStyle name="Input 6 11" xfId="4005" xr:uid="{00000000-0005-0000-0000-00009D0F0000}"/>
    <cellStyle name="Input 6 12" xfId="4006" xr:uid="{00000000-0005-0000-0000-00009E0F0000}"/>
    <cellStyle name="Input 6 2" xfId="4007" xr:uid="{00000000-0005-0000-0000-00009F0F0000}"/>
    <cellStyle name="Input 6 3" xfId="4008" xr:uid="{00000000-0005-0000-0000-0000A00F0000}"/>
    <cellStyle name="Input 6 4" xfId="4009" xr:uid="{00000000-0005-0000-0000-0000A10F0000}"/>
    <cellStyle name="Input 6 5" xfId="4010" xr:uid="{00000000-0005-0000-0000-0000A20F0000}"/>
    <cellStyle name="Input 6 6" xfId="4011" xr:uid="{00000000-0005-0000-0000-0000A30F0000}"/>
    <cellStyle name="Input 6 7" xfId="4012" xr:uid="{00000000-0005-0000-0000-0000A40F0000}"/>
    <cellStyle name="Input 6 8" xfId="4013" xr:uid="{00000000-0005-0000-0000-0000A50F0000}"/>
    <cellStyle name="Input 6 9" xfId="4014" xr:uid="{00000000-0005-0000-0000-0000A60F0000}"/>
    <cellStyle name="Input 7" xfId="4015" xr:uid="{00000000-0005-0000-0000-0000A70F0000}"/>
    <cellStyle name="Input 7 10" xfId="4016" xr:uid="{00000000-0005-0000-0000-0000A80F0000}"/>
    <cellStyle name="Input 7 11" xfId="4017" xr:uid="{00000000-0005-0000-0000-0000A90F0000}"/>
    <cellStyle name="Input 7 12" xfId="4018" xr:uid="{00000000-0005-0000-0000-0000AA0F0000}"/>
    <cellStyle name="Input 7 2" xfId="4019" xr:uid="{00000000-0005-0000-0000-0000AB0F0000}"/>
    <cellStyle name="Input 7 3" xfId="4020" xr:uid="{00000000-0005-0000-0000-0000AC0F0000}"/>
    <cellStyle name="Input 7 4" xfId="4021" xr:uid="{00000000-0005-0000-0000-0000AD0F0000}"/>
    <cellStyle name="Input 7 5" xfId="4022" xr:uid="{00000000-0005-0000-0000-0000AE0F0000}"/>
    <cellStyle name="Input 7 6" xfId="4023" xr:uid="{00000000-0005-0000-0000-0000AF0F0000}"/>
    <cellStyle name="Input 7 7" xfId="4024" xr:uid="{00000000-0005-0000-0000-0000B00F0000}"/>
    <cellStyle name="Input 7 8" xfId="4025" xr:uid="{00000000-0005-0000-0000-0000B10F0000}"/>
    <cellStyle name="Input 7 9" xfId="4026" xr:uid="{00000000-0005-0000-0000-0000B20F0000}"/>
    <cellStyle name="Input 8" xfId="4027" xr:uid="{00000000-0005-0000-0000-0000B30F0000}"/>
    <cellStyle name="Input 8 10" xfId="4028" xr:uid="{00000000-0005-0000-0000-0000B40F0000}"/>
    <cellStyle name="Input 8 11" xfId="4029" xr:uid="{00000000-0005-0000-0000-0000B50F0000}"/>
    <cellStyle name="Input 8 12" xfId="4030" xr:uid="{00000000-0005-0000-0000-0000B60F0000}"/>
    <cellStyle name="Input 8 2" xfId="4031" xr:uid="{00000000-0005-0000-0000-0000B70F0000}"/>
    <cellStyle name="Input 8 3" xfId="4032" xr:uid="{00000000-0005-0000-0000-0000B80F0000}"/>
    <cellStyle name="Input 8 4" xfId="4033" xr:uid="{00000000-0005-0000-0000-0000B90F0000}"/>
    <cellStyle name="Input 8 5" xfId="4034" xr:uid="{00000000-0005-0000-0000-0000BA0F0000}"/>
    <cellStyle name="Input 8 6" xfId="4035" xr:uid="{00000000-0005-0000-0000-0000BB0F0000}"/>
    <cellStyle name="Input 8 7" xfId="4036" xr:uid="{00000000-0005-0000-0000-0000BC0F0000}"/>
    <cellStyle name="Input 8 8" xfId="4037" xr:uid="{00000000-0005-0000-0000-0000BD0F0000}"/>
    <cellStyle name="Input 8 9" xfId="4038" xr:uid="{00000000-0005-0000-0000-0000BE0F0000}"/>
    <cellStyle name="Input 9" xfId="4039" xr:uid="{00000000-0005-0000-0000-0000BF0F0000}"/>
    <cellStyle name="Linked Cell 2" xfId="4040" xr:uid="{00000000-0005-0000-0000-0000C00F0000}"/>
    <cellStyle name="Linked Cell 2 10" xfId="4041" xr:uid="{00000000-0005-0000-0000-0000C10F0000}"/>
    <cellStyle name="Linked Cell 2 11" xfId="4042" xr:uid="{00000000-0005-0000-0000-0000C20F0000}"/>
    <cellStyle name="Linked Cell 2 12" xfId="4043" xr:uid="{00000000-0005-0000-0000-0000C30F0000}"/>
    <cellStyle name="Linked Cell 2 2" xfId="4044" xr:uid="{00000000-0005-0000-0000-0000C40F0000}"/>
    <cellStyle name="Linked Cell 2 3" xfId="4045" xr:uid="{00000000-0005-0000-0000-0000C50F0000}"/>
    <cellStyle name="Linked Cell 2 4" xfId="4046" xr:uid="{00000000-0005-0000-0000-0000C60F0000}"/>
    <cellStyle name="Linked Cell 2 5" xfId="4047" xr:uid="{00000000-0005-0000-0000-0000C70F0000}"/>
    <cellStyle name="Linked Cell 2 6" xfId="4048" xr:uid="{00000000-0005-0000-0000-0000C80F0000}"/>
    <cellStyle name="Linked Cell 2 7" xfId="4049" xr:uid="{00000000-0005-0000-0000-0000C90F0000}"/>
    <cellStyle name="Linked Cell 2 8" xfId="4050" xr:uid="{00000000-0005-0000-0000-0000CA0F0000}"/>
    <cellStyle name="Linked Cell 2 9" xfId="4051" xr:uid="{00000000-0005-0000-0000-0000CB0F0000}"/>
    <cellStyle name="Linked Cell 3" xfId="4052" xr:uid="{00000000-0005-0000-0000-0000CC0F0000}"/>
    <cellStyle name="Linked Cell 3 10" xfId="4053" xr:uid="{00000000-0005-0000-0000-0000CD0F0000}"/>
    <cellStyle name="Linked Cell 3 11" xfId="4054" xr:uid="{00000000-0005-0000-0000-0000CE0F0000}"/>
    <cellStyle name="Linked Cell 3 12" xfId="4055" xr:uid="{00000000-0005-0000-0000-0000CF0F0000}"/>
    <cellStyle name="Linked Cell 3 2" xfId="4056" xr:uid="{00000000-0005-0000-0000-0000D00F0000}"/>
    <cellStyle name="Linked Cell 3 3" xfId="4057" xr:uid="{00000000-0005-0000-0000-0000D10F0000}"/>
    <cellStyle name="Linked Cell 3 4" xfId="4058" xr:uid="{00000000-0005-0000-0000-0000D20F0000}"/>
    <cellStyle name="Linked Cell 3 5" xfId="4059" xr:uid="{00000000-0005-0000-0000-0000D30F0000}"/>
    <cellStyle name="Linked Cell 3 6" xfId="4060" xr:uid="{00000000-0005-0000-0000-0000D40F0000}"/>
    <cellStyle name="Linked Cell 3 7" xfId="4061" xr:uid="{00000000-0005-0000-0000-0000D50F0000}"/>
    <cellStyle name="Linked Cell 3 8" xfId="4062" xr:uid="{00000000-0005-0000-0000-0000D60F0000}"/>
    <cellStyle name="Linked Cell 3 9" xfId="4063" xr:uid="{00000000-0005-0000-0000-0000D70F0000}"/>
    <cellStyle name="Linked Cell 4" xfId="4064" xr:uid="{00000000-0005-0000-0000-0000D80F0000}"/>
    <cellStyle name="Linked Cell 4 10" xfId="4065" xr:uid="{00000000-0005-0000-0000-0000D90F0000}"/>
    <cellStyle name="Linked Cell 4 11" xfId="4066" xr:uid="{00000000-0005-0000-0000-0000DA0F0000}"/>
    <cellStyle name="Linked Cell 4 12" xfId="4067" xr:uid="{00000000-0005-0000-0000-0000DB0F0000}"/>
    <cellStyle name="Linked Cell 4 2" xfId="4068" xr:uid="{00000000-0005-0000-0000-0000DC0F0000}"/>
    <cellStyle name="Linked Cell 4 3" xfId="4069" xr:uid="{00000000-0005-0000-0000-0000DD0F0000}"/>
    <cellStyle name="Linked Cell 4 4" xfId="4070" xr:uid="{00000000-0005-0000-0000-0000DE0F0000}"/>
    <cellStyle name="Linked Cell 4 5" xfId="4071" xr:uid="{00000000-0005-0000-0000-0000DF0F0000}"/>
    <cellStyle name="Linked Cell 4 6" xfId="4072" xr:uid="{00000000-0005-0000-0000-0000E00F0000}"/>
    <cellStyle name="Linked Cell 4 7" xfId="4073" xr:uid="{00000000-0005-0000-0000-0000E10F0000}"/>
    <cellStyle name="Linked Cell 4 8" xfId="4074" xr:uid="{00000000-0005-0000-0000-0000E20F0000}"/>
    <cellStyle name="Linked Cell 4 9" xfId="4075" xr:uid="{00000000-0005-0000-0000-0000E30F0000}"/>
    <cellStyle name="Linked Cell 5" xfId="4076" xr:uid="{00000000-0005-0000-0000-0000E40F0000}"/>
    <cellStyle name="Linked Cell 5 10" xfId="4077" xr:uid="{00000000-0005-0000-0000-0000E50F0000}"/>
    <cellStyle name="Linked Cell 5 11" xfId="4078" xr:uid="{00000000-0005-0000-0000-0000E60F0000}"/>
    <cellStyle name="Linked Cell 5 12" xfId="4079" xr:uid="{00000000-0005-0000-0000-0000E70F0000}"/>
    <cellStyle name="Linked Cell 5 2" xfId="4080" xr:uid="{00000000-0005-0000-0000-0000E80F0000}"/>
    <cellStyle name="Linked Cell 5 3" xfId="4081" xr:uid="{00000000-0005-0000-0000-0000E90F0000}"/>
    <cellStyle name="Linked Cell 5 4" xfId="4082" xr:uid="{00000000-0005-0000-0000-0000EA0F0000}"/>
    <cellStyle name="Linked Cell 5 5" xfId="4083" xr:uid="{00000000-0005-0000-0000-0000EB0F0000}"/>
    <cellStyle name="Linked Cell 5 6" xfId="4084" xr:uid="{00000000-0005-0000-0000-0000EC0F0000}"/>
    <cellStyle name="Linked Cell 5 7" xfId="4085" xr:uid="{00000000-0005-0000-0000-0000ED0F0000}"/>
    <cellStyle name="Linked Cell 5 8" xfId="4086" xr:uid="{00000000-0005-0000-0000-0000EE0F0000}"/>
    <cellStyle name="Linked Cell 5 9" xfId="4087" xr:uid="{00000000-0005-0000-0000-0000EF0F0000}"/>
    <cellStyle name="Linked Cell 6" xfId="4088" xr:uid="{00000000-0005-0000-0000-0000F00F0000}"/>
    <cellStyle name="Linked Cell 6 10" xfId="4089" xr:uid="{00000000-0005-0000-0000-0000F10F0000}"/>
    <cellStyle name="Linked Cell 6 11" xfId="4090" xr:uid="{00000000-0005-0000-0000-0000F20F0000}"/>
    <cellStyle name="Linked Cell 6 12" xfId="4091" xr:uid="{00000000-0005-0000-0000-0000F30F0000}"/>
    <cellStyle name="Linked Cell 6 2" xfId="4092" xr:uid="{00000000-0005-0000-0000-0000F40F0000}"/>
    <cellStyle name="Linked Cell 6 3" xfId="4093" xr:uid="{00000000-0005-0000-0000-0000F50F0000}"/>
    <cellStyle name="Linked Cell 6 4" xfId="4094" xr:uid="{00000000-0005-0000-0000-0000F60F0000}"/>
    <cellStyle name="Linked Cell 6 5" xfId="4095" xr:uid="{00000000-0005-0000-0000-0000F70F0000}"/>
    <cellStyle name="Linked Cell 6 6" xfId="4096" xr:uid="{00000000-0005-0000-0000-0000F80F0000}"/>
    <cellStyle name="Linked Cell 6 7" xfId="4097" xr:uid="{00000000-0005-0000-0000-0000F90F0000}"/>
    <cellStyle name="Linked Cell 6 8" xfId="4098" xr:uid="{00000000-0005-0000-0000-0000FA0F0000}"/>
    <cellStyle name="Linked Cell 6 9" xfId="4099" xr:uid="{00000000-0005-0000-0000-0000FB0F0000}"/>
    <cellStyle name="Linked Cell 7" xfId="4100" xr:uid="{00000000-0005-0000-0000-0000FC0F0000}"/>
    <cellStyle name="Linked Cell 7 10" xfId="4101" xr:uid="{00000000-0005-0000-0000-0000FD0F0000}"/>
    <cellStyle name="Linked Cell 7 11" xfId="4102" xr:uid="{00000000-0005-0000-0000-0000FE0F0000}"/>
    <cellStyle name="Linked Cell 7 12" xfId="4103" xr:uid="{00000000-0005-0000-0000-0000FF0F0000}"/>
    <cellStyle name="Linked Cell 7 2" xfId="4104" xr:uid="{00000000-0005-0000-0000-000000100000}"/>
    <cellStyle name="Linked Cell 7 3" xfId="4105" xr:uid="{00000000-0005-0000-0000-000001100000}"/>
    <cellStyle name="Linked Cell 7 4" xfId="4106" xr:uid="{00000000-0005-0000-0000-000002100000}"/>
    <cellStyle name="Linked Cell 7 5" xfId="4107" xr:uid="{00000000-0005-0000-0000-000003100000}"/>
    <cellStyle name="Linked Cell 7 6" xfId="4108" xr:uid="{00000000-0005-0000-0000-000004100000}"/>
    <cellStyle name="Linked Cell 7 7" xfId="4109" xr:uid="{00000000-0005-0000-0000-000005100000}"/>
    <cellStyle name="Linked Cell 7 8" xfId="4110" xr:uid="{00000000-0005-0000-0000-000006100000}"/>
    <cellStyle name="Linked Cell 7 9" xfId="4111" xr:uid="{00000000-0005-0000-0000-000007100000}"/>
    <cellStyle name="Linked Cell 8" xfId="4112" xr:uid="{00000000-0005-0000-0000-000008100000}"/>
    <cellStyle name="Linked Cell 8 10" xfId="4113" xr:uid="{00000000-0005-0000-0000-000009100000}"/>
    <cellStyle name="Linked Cell 8 11" xfId="4114" xr:uid="{00000000-0005-0000-0000-00000A100000}"/>
    <cellStyle name="Linked Cell 8 12" xfId="4115" xr:uid="{00000000-0005-0000-0000-00000B100000}"/>
    <cellStyle name="Linked Cell 8 2" xfId="4116" xr:uid="{00000000-0005-0000-0000-00000C100000}"/>
    <cellStyle name="Linked Cell 8 3" xfId="4117" xr:uid="{00000000-0005-0000-0000-00000D100000}"/>
    <cellStyle name="Linked Cell 8 4" xfId="4118" xr:uid="{00000000-0005-0000-0000-00000E100000}"/>
    <cellStyle name="Linked Cell 8 5" xfId="4119" xr:uid="{00000000-0005-0000-0000-00000F100000}"/>
    <cellStyle name="Linked Cell 8 6" xfId="4120" xr:uid="{00000000-0005-0000-0000-000010100000}"/>
    <cellStyle name="Linked Cell 8 7" xfId="4121" xr:uid="{00000000-0005-0000-0000-000011100000}"/>
    <cellStyle name="Linked Cell 8 8" xfId="4122" xr:uid="{00000000-0005-0000-0000-000012100000}"/>
    <cellStyle name="Linked Cell 8 9" xfId="4123" xr:uid="{00000000-0005-0000-0000-000013100000}"/>
    <cellStyle name="Linked Cell 9" xfId="4124" xr:uid="{00000000-0005-0000-0000-000014100000}"/>
    <cellStyle name="MAND_x000a_CHECK.COMMAND_x000e_RENAME.COMMAND_x0008_SHOW.BAR_x000b_DELETE.MENU_x000e_DELETE.COMMAND_x000e_GET.CHA" xfId="4125" xr:uid="{00000000-0005-0000-0000-000015100000}"/>
    <cellStyle name="MAND_x000d_CHECK.COMMAND_x000e_RENAME.COMMAND_x0008_SHOW.BAR_x000b_DELETE.MENU_x000e_DELETE.COMMAND_x000e_GET.CHA" xfId="4126" xr:uid="{00000000-0005-0000-0000-000016100000}"/>
    <cellStyle name="Millares [0]_ Graf 5.4" xfId="4127" xr:uid="{00000000-0005-0000-0000-000017100000}"/>
    <cellStyle name="Millares [2]" xfId="4128" xr:uid="{00000000-0005-0000-0000-000018100000}"/>
    <cellStyle name="Millares_ Graf 5.4" xfId="4129" xr:uid="{00000000-0005-0000-0000-000019100000}"/>
    <cellStyle name="MLComma0" xfId="4130" xr:uid="{00000000-0005-0000-0000-00001A100000}"/>
    <cellStyle name="MLPercent0" xfId="4131" xr:uid="{00000000-0005-0000-0000-00001B100000}"/>
    <cellStyle name="MLPercent0 2" xfId="4132" xr:uid="{00000000-0005-0000-0000-00001C100000}"/>
    <cellStyle name="Moeda" xfId="5426" builtinId="4"/>
    <cellStyle name="Moeda [0] 2" xfId="7" xr:uid="{00000000-0005-0000-0000-00001E100000}"/>
    <cellStyle name="Moeda [0] 3" xfId="5241" xr:uid="{00000000-0005-0000-0000-00001F100000}"/>
    <cellStyle name="Moeda [0] 3 2" xfId="5416" xr:uid="{00000000-0005-0000-0000-000020100000}"/>
    <cellStyle name="Moeda [0] 3 3" xfId="5417" xr:uid="{00000000-0005-0000-0000-000021100000}"/>
    <cellStyle name="Moeda 2" xfId="7" xr:uid="{00000000-0005-0000-0000-000022100000}"/>
    <cellStyle name="Moeda 2 2" xfId="4133" xr:uid="{00000000-0005-0000-0000-000023100000}"/>
    <cellStyle name="Moeda 2 3" xfId="4134" xr:uid="{00000000-0005-0000-0000-000024100000}"/>
    <cellStyle name="Moeda 2 4" xfId="4135" xr:uid="{00000000-0005-0000-0000-000025100000}"/>
    <cellStyle name="Moeda 3" xfId="5" xr:uid="{00000000-0005-0000-0000-000026100000}"/>
    <cellStyle name="Moeda 3 2" xfId="4136" xr:uid="{00000000-0005-0000-0000-000027100000}"/>
    <cellStyle name="Moeda 3 3" xfId="4137" xr:uid="{00000000-0005-0000-0000-000028100000}"/>
    <cellStyle name="Moeda 4" xfId="4138" xr:uid="{00000000-0005-0000-0000-000029100000}"/>
    <cellStyle name="Moeda 5" xfId="4139" xr:uid="{00000000-0005-0000-0000-00002A100000}"/>
    <cellStyle name="Moeda 6" xfId="5241" xr:uid="{00000000-0005-0000-0000-00002B100000}"/>
    <cellStyle name="Moeda 7" xfId="5394" xr:uid="{00000000-0005-0000-0000-00002C100000}"/>
    <cellStyle name="Moeda 8" xfId="5395" xr:uid="{00000000-0005-0000-0000-00002D100000}"/>
    <cellStyle name="Moeda 9" xfId="5397" xr:uid="{00000000-0005-0000-0000-00002E100000}"/>
    <cellStyle name="Moeda0" xfId="4140" xr:uid="{00000000-0005-0000-0000-00002F100000}"/>
    <cellStyle name="Moneda [0]_ Graf 5.4" xfId="4141" xr:uid="{00000000-0005-0000-0000-000030100000}"/>
    <cellStyle name="Moneda_(BYS)Dist. % mensual" xfId="4142" xr:uid="{00000000-0005-0000-0000-000031100000}"/>
    <cellStyle name="Neutra 10" xfId="4143" xr:uid="{00000000-0005-0000-0000-000032100000}"/>
    <cellStyle name="Neutra 11" xfId="4144" xr:uid="{00000000-0005-0000-0000-000033100000}"/>
    <cellStyle name="Neutra 12" xfId="4145" xr:uid="{00000000-0005-0000-0000-000034100000}"/>
    <cellStyle name="Neutra 13" xfId="4146" xr:uid="{00000000-0005-0000-0000-000035100000}"/>
    <cellStyle name="Neutra 14" xfId="4147" xr:uid="{00000000-0005-0000-0000-000036100000}"/>
    <cellStyle name="Neutra 15" xfId="4148" xr:uid="{00000000-0005-0000-0000-000037100000}"/>
    <cellStyle name="Neutra 16" xfId="4149" xr:uid="{00000000-0005-0000-0000-000038100000}"/>
    <cellStyle name="Neutra 2" xfId="4150" xr:uid="{00000000-0005-0000-0000-000039100000}"/>
    <cellStyle name="Neutra 3" xfId="4151" xr:uid="{00000000-0005-0000-0000-00003A100000}"/>
    <cellStyle name="Neutra 4" xfId="4152" xr:uid="{00000000-0005-0000-0000-00003B100000}"/>
    <cellStyle name="Neutra 5" xfId="4153" xr:uid="{00000000-0005-0000-0000-00003C100000}"/>
    <cellStyle name="Neutra 6" xfId="4154" xr:uid="{00000000-0005-0000-0000-00003D100000}"/>
    <cellStyle name="Neutra 7" xfId="4155" xr:uid="{00000000-0005-0000-0000-00003E100000}"/>
    <cellStyle name="Neutra 8" xfId="4156" xr:uid="{00000000-0005-0000-0000-00003F100000}"/>
    <cellStyle name="Neutra 9" xfId="4157" xr:uid="{00000000-0005-0000-0000-000040100000}"/>
    <cellStyle name="Neutral 10" xfId="4158" xr:uid="{00000000-0005-0000-0000-000041100000}"/>
    <cellStyle name="Neutral 2" xfId="4159" xr:uid="{00000000-0005-0000-0000-000042100000}"/>
    <cellStyle name="Neutral 2 10" xfId="4160" xr:uid="{00000000-0005-0000-0000-000043100000}"/>
    <cellStyle name="Neutral 2 11" xfId="4161" xr:uid="{00000000-0005-0000-0000-000044100000}"/>
    <cellStyle name="Neutral 2 12" xfId="4162" xr:uid="{00000000-0005-0000-0000-000045100000}"/>
    <cellStyle name="Neutral 2 2" xfId="4163" xr:uid="{00000000-0005-0000-0000-000046100000}"/>
    <cellStyle name="Neutral 2 3" xfId="4164" xr:uid="{00000000-0005-0000-0000-000047100000}"/>
    <cellStyle name="Neutral 2 4" xfId="4165" xr:uid="{00000000-0005-0000-0000-000048100000}"/>
    <cellStyle name="Neutral 2 5" xfId="4166" xr:uid="{00000000-0005-0000-0000-000049100000}"/>
    <cellStyle name="Neutral 2 6" xfId="4167" xr:uid="{00000000-0005-0000-0000-00004A100000}"/>
    <cellStyle name="Neutral 2 7" xfId="4168" xr:uid="{00000000-0005-0000-0000-00004B100000}"/>
    <cellStyle name="Neutral 2 8" xfId="4169" xr:uid="{00000000-0005-0000-0000-00004C100000}"/>
    <cellStyle name="Neutral 2 9" xfId="4170" xr:uid="{00000000-0005-0000-0000-00004D100000}"/>
    <cellStyle name="Neutral 3" xfId="4171" xr:uid="{00000000-0005-0000-0000-00004E100000}"/>
    <cellStyle name="Neutral 3 10" xfId="4172" xr:uid="{00000000-0005-0000-0000-00004F100000}"/>
    <cellStyle name="Neutral 3 11" xfId="4173" xr:uid="{00000000-0005-0000-0000-000050100000}"/>
    <cellStyle name="Neutral 3 12" xfId="4174" xr:uid="{00000000-0005-0000-0000-000051100000}"/>
    <cellStyle name="Neutral 3 2" xfId="4175" xr:uid="{00000000-0005-0000-0000-000052100000}"/>
    <cellStyle name="Neutral 3 3" xfId="4176" xr:uid="{00000000-0005-0000-0000-000053100000}"/>
    <cellStyle name="Neutral 3 4" xfId="4177" xr:uid="{00000000-0005-0000-0000-000054100000}"/>
    <cellStyle name="Neutral 3 5" xfId="4178" xr:uid="{00000000-0005-0000-0000-000055100000}"/>
    <cellStyle name="Neutral 3 6" xfId="4179" xr:uid="{00000000-0005-0000-0000-000056100000}"/>
    <cellStyle name="Neutral 3 7" xfId="4180" xr:uid="{00000000-0005-0000-0000-000057100000}"/>
    <cellStyle name="Neutral 3 8" xfId="4181" xr:uid="{00000000-0005-0000-0000-000058100000}"/>
    <cellStyle name="Neutral 3 9" xfId="4182" xr:uid="{00000000-0005-0000-0000-000059100000}"/>
    <cellStyle name="Neutral 4" xfId="4183" xr:uid="{00000000-0005-0000-0000-00005A100000}"/>
    <cellStyle name="Neutral 4 10" xfId="4184" xr:uid="{00000000-0005-0000-0000-00005B100000}"/>
    <cellStyle name="Neutral 4 11" xfId="4185" xr:uid="{00000000-0005-0000-0000-00005C100000}"/>
    <cellStyle name="Neutral 4 12" xfId="4186" xr:uid="{00000000-0005-0000-0000-00005D100000}"/>
    <cellStyle name="Neutral 4 2" xfId="4187" xr:uid="{00000000-0005-0000-0000-00005E100000}"/>
    <cellStyle name="Neutral 4 3" xfId="4188" xr:uid="{00000000-0005-0000-0000-00005F100000}"/>
    <cellStyle name="Neutral 4 4" xfId="4189" xr:uid="{00000000-0005-0000-0000-000060100000}"/>
    <cellStyle name="Neutral 4 5" xfId="4190" xr:uid="{00000000-0005-0000-0000-000061100000}"/>
    <cellStyle name="Neutral 4 6" xfId="4191" xr:uid="{00000000-0005-0000-0000-000062100000}"/>
    <cellStyle name="Neutral 4 7" xfId="4192" xr:uid="{00000000-0005-0000-0000-000063100000}"/>
    <cellStyle name="Neutral 4 8" xfId="4193" xr:uid="{00000000-0005-0000-0000-000064100000}"/>
    <cellStyle name="Neutral 4 9" xfId="4194" xr:uid="{00000000-0005-0000-0000-000065100000}"/>
    <cellStyle name="Neutral 5" xfId="4195" xr:uid="{00000000-0005-0000-0000-000066100000}"/>
    <cellStyle name="Neutral 5 10" xfId="4196" xr:uid="{00000000-0005-0000-0000-000067100000}"/>
    <cellStyle name="Neutral 5 11" xfId="4197" xr:uid="{00000000-0005-0000-0000-000068100000}"/>
    <cellStyle name="Neutral 5 12" xfId="4198" xr:uid="{00000000-0005-0000-0000-000069100000}"/>
    <cellStyle name="Neutral 5 2" xfId="4199" xr:uid="{00000000-0005-0000-0000-00006A100000}"/>
    <cellStyle name="Neutral 5 3" xfId="4200" xr:uid="{00000000-0005-0000-0000-00006B100000}"/>
    <cellStyle name="Neutral 5 4" xfId="4201" xr:uid="{00000000-0005-0000-0000-00006C100000}"/>
    <cellStyle name="Neutral 5 5" xfId="4202" xr:uid="{00000000-0005-0000-0000-00006D100000}"/>
    <cellStyle name="Neutral 5 6" xfId="4203" xr:uid="{00000000-0005-0000-0000-00006E100000}"/>
    <cellStyle name="Neutral 5 7" xfId="4204" xr:uid="{00000000-0005-0000-0000-00006F100000}"/>
    <cellStyle name="Neutral 5 8" xfId="4205" xr:uid="{00000000-0005-0000-0000-000070100000}"/>
    <cellStyle name="Neutral 5 9" xfId="4206" xr:uid="{00000000-0005-0000-0000-000071100000}"/>
    <cellStyle name="Neutral 6" xfId="4207" xr:uid="{00000000-0005-0000-0000-000072100000}"/>
    <cellStyle name="Neutral 6 10" xfId="4208" xr:uid="{00000000-0005-0000-0000-000073100000}"/>
    <cellStyle name="Neutral 6 11" xfId="4209" xr:uid="{00000000-0005-0000-0000-000074100000}"/>
    <cellStyle name="Neutral 6 12" xfId="4210" xr:uid="{00000000-0005-0000-0000-000075100000}"/>
    <cellStyle name="Neutral 6 2" xfId="4211" xr:uid="{00000000-0005-0000-0000-000076100000}"/>
    <cellStyle name="Neutral 6 3" xfId="4212" xr:uid="{00000000-0005-0000-0000-000077100000}"/>
    <cellStyle name="Neutral 6 4" xfId="4213" xr:uid="{00000000-0005-0000-0000-000078100000}"/>
    <cellStyle name="Neutral 6 5" xfId="4214" xr:uid="{00000000-0005-0000-0000-000079100000}"/>
    <cellStyle name="Neutral 6 6" xfId="4215" xr:uid="{00000000-0005-0000-0000-00007A100000}"/>
    <cellStyle name="Neutral 6 7" xfId="4216" xr:uid="{00000000-0005-0000-0000-00007B100000}"/>
    <cellStyle name="Neutral 6 8" xfId="4217" xr:uid="{00000000-0005-0000-0000-00007C100000}"/>
    <cellStyle name="Neutral 6 9" xfId="4218" xr:uid="{00000000-0005-0000-0000-00007D100000}"/>
    <cellStyle name="Neutral 7" xfId="4219" xr:uid="{00000000-0005-0000-0000-00007E100000}"/>
    <cellStyle name="Neutral 7 10" xfId="4220" xr:uid="{00000000-0005-0000-0000-00007F100000}"/>
    <cellStyle name="Neutral 7 11" xfId="4221" xr:uid="{00000000-0005-0000-0000-000080100000}"/>
    <cellStyle name="Neutral 7 12" xfId="4222" xr:uid="{00000000-0005-0000-0000-000081100000}"/>
    <cellStyle name="Neutral 7 2" xfId="4223" xr:uid="{00000000-0005-0000-0000-000082100000}"/>
    <cellStyle name="Neutral 7 3" xfId="4224" xr:uid="{00000000-0005-0000-0000-000083100000}"/>
    <cellStyle name="Neutral 7 4" xfId="4225" xr:uid="{00000000-0005-0000-0000-000084100000}"/>
    <cellStyle name="Neutral 7 5" xfId="4226" xr:uid="{00000000-0005-0000-0000-000085100000}"/>
    <cellStyle name="Neutral 7 6" xfId="4227" xr:uid="{00000000-0005-0000-0000-000086100000}"/>
    <cellStyle name="Neutral 7 7" xfId="4228" xr:uid="{00000000-0005-0000-0000-000087100000}"/>
    <cellStyle name="Neutral 7 8" xfId="4229" xr:uid="{00000000-0005-0000-0000-000088100000}"/>
    <cellStyle name="Neutral 7 9" xfId="4230" xr:uid="{00000000-0005-0000-0000-000089100000}"/>
    <cellStyle name="Neutral 8" xfId="4231" xr:uid="{00000000-0005-0000-0000-00008A100000}"/>
    <cellStyle name="Neutral 8 10" xfId="4232" xr:uid="{00000000-0005-0000-0000-00008B100000}"/>
    <cellStyle name="Neutral 8 11" xfId="4233" xr:uid="{00000000-0005-0000-0000-00008C100000}"/>
    <cellStyle name="Neutral 8 12" xfId="4234" xr:uid="{00000000-0005-0000-0000-00008D100000}"/>
    <cellStyle name="Neutral 8 2" xfId="4235" xr:uid="{00000000-0005-0000-0000-00008E100000}"/>
    <cellStyle name="Neutral 8 3" xfId="4236" xr:uid="{00000000-0005-0000-0000-00008F100000}"/>
    <cellStyle name="Neutral 8 4" xfId="4237" xr:uid="{00000000-0005-0000-0000-000090100000}"/>
    <cellStyle name="Neutral 8 5" xfId="4238" xr:uid="{00000000-0005-0000-0000-000091100000}"/>
    <cellStyle name="Neutral 8 6" xfId="4239" xr:uid="{00000000-0005-0000-0000-000092100000}"/>
    <cellStyle name="Neutral 8 7" xfId="4240" xr:uid="{00000000-0005-0000-0000-000093100000}"/>
    <cellStyle name="Neutral 8 8" xfId="4241" xr:uid="{00000000-0005-0000-0000-000094100000}"/>
    <cellStyle name="Neutral 8 9" xfId="4242" xr:uid="{00000000-0005-0000-0000-000095100000}"/>
    <cellStyle name="Neutral 9" xfId="4243" xr:uid="{00000000-0005-0000-0000-000096100000}"/>
    <cellStyle name="Normal" xfId="0" builtinId="0"/>
    <cellStyle name="Normal - Style1" xfId="4244" xr:uid="{00000000-0005-0000-0000-000098100000}"/>
    <cellStyle name="Normal 10" xfId="4245" xr:uid="{00000000-0005-0000-0000-000099100000}"/>
    <cellStyle name="Normal 10 2" xfId="4246" xr:uid="{00000000-0005-0000-0000-00009A100000}"/>
    <cellStyle name="Normal 100" xfId="5294" xr:uid="{00000000-0005-0000-0000-00009B100000}"/>
    <cellStyle name="Normal 101" xfId="5295" xr:uid="{00000000-0005-0000-0000-00009C100000}"/>
    <cellStyle name="Normal 102" xfId="5296" xr:uid="{00000000-0005-0000-0000-00009D100000}"/>
    <cellStyle name="Normal 103" xfId="5297" xr:uid="{00000000-0005-0000-0000-00009E100000}"/>
    <cellStyle name="Normal 104" xfId="5298" xr:uid="{00000000-0005-0000-0000-00009F100000}"/>
    <cellStyle name="Normal 105" xfId="5299" xr:uid="{00000000-0005-0000-0000-0000A0100000}"/>
    <cellStyle name="Normal 106" xfId="5300" xr:uid="{00000000-0005-0000-0000-0000A1100000}"/>
    <cellStyle name="Normal 107" xfId="5301" xr:uid="{00000000-0005-0000-0000-0000A2100000}"/>
    <cellStyle name="Normal 108" xfId="5302" xr:uid="{00000000-0005-0000-0000-0000A3100000}"/>
    <cellStyle name="Normal 109" xfId="5303" xr:uid="{00000000-0005-0000-0000-0000A4100000}"/>
    <cellStyle name="Normal 11" xfId="4247" xr:uid="{00000000-0005-0000-0000-0000A5100000}"/>
    <cellStyle name="Normal 11 2" xfId="4248" xr:uid="{00000000-0005-0000-0000-0000A6100000}"/>
    <cellStyle name="Normal 11 3" xfId="4249" xr:uid="{00000000-0005-0000-0000-0000A7100000}"/>
    <cellStyle name="Normal 110" xfId="5304" xr:uid="{00000000-0005-0000-0000-0000A8100000}"/>
    <cellStyle name="Normal 111" xfId="5305" xr:uid="{00000000-0005-0000-0000-0000A9100000}"/>
    <cellStyle name="Normal 112" xfId="5306" xr:uid="{00000000-0005-0000-0000-0000AA100000}"/>
    <cellStyle name="Normal 113" xfId="5307" xr:uid="{00000000-0005-0000-0000-0000AB100000}"/>
    <cellStyle name="Normal 114" xfId="5308" xr:uid="{00000000-0005-0000-0000-0000AC100000}"/>
    <cellStyle name="Normal 115" xfId="5309" xr:uid="{00000000-0005-0000-0000-0000AD100000}"/>
    <cellStyle name="Normal 116" xfId="5310" xr:uid="{00000000-0005-0000-0000-0000AE100000}"/>
    <cellStyle name="Normal 117" xfId="5311" xr:uid="{00000000-0005-0000-0000-0000AF100000}"/>
    <cellStyle name="Normal 118" xfId="5312" xr:uid="{00000000-0005-0000-0000-0000B0100000}"/>
    <cellStyle name="Normal 119" xfId="5313" xr:uid="{00000000-0005-0000-0000-0000B1100000}"/>
    <cellStyle name="Normal 12" xfId="4250" xr:uid="{00000000-0005-0000-0000-0000B2100000}"/>
    <cellStyle name="Normal 120" xfId="5314" xr:uid="{00000000-0005-0000-0000-0000B3100000}"/>
    <cellStyle name="Normal 121" xfId="5315" xr:uid="{00000000-0005-0000-0000-0000B4100000}"/>
    <cellStyle name="Normal 122" xfId="5316" xr:uid="{00000000-0005-0000-0000-0000B5100000}"/>
    <cellStyle name="Normal 123" xfId="5317" xr:uid="{00000000-0005-0000-0000-0000B6100000}"/>
    <cellStyle name="Normal 124" xfId="5318" xr:uid="{00000000-0005-0000-0000-0000B7100000}"/>
    <cellStyle name="Normal 125" xfId="5319" xr:uid="{00000000-0005-0000-0000-0000B8100000}"/>
    <cellStyle name="Normal 126" xfId="5320" xr:uid="{00000000-0005-0000-0000-0000B9100000}"/>
    <cellStyle name="Normal 127" xfId="5321" xr:uid="{00000000-0005-0000-0000-0000BA100000}"/>
    <cellStyle name="Normal 128" xfId="5322" xr:uid="{00000000-0005-0000-0000-0000BB100000}"/>
    <cellStyle name="Normal 129" xfId="5323" xr:uid="{00000000-0005-0000-0000-0000BC100000}"/>
    <cellStyle name="Normal 13" xfId="4251" xr:uid="{00000000-0005-0000-0000-0000BD100000}"/>
    <cellStyle name="Normal 13 2" xfId="4252" xr:uid="{00000000-0005-0000-0000-0000BE100000}"/>
    <cellStyle name="Normal 13 3" xfId="4253" xr:uid="{00000000-0005-0000-0000-0000BF100000}"/>
    <cellStyle name="Normal 130" xfId="5324" xr:uid="{00000000-0005-0000-0000-0000C0100000}"/>
    <cellStyle name="Normal 131" xfId="5325" xr:uid="{00000000-0005-0000-0000-0000C1100000}"/>
    <cellStyle name="Normal 132" xfId="5326" xr:uid="{00000000-0005-0000-0000-0000C2100000}"/>
    <cellStyle name="Normal 133" xfId="5327" xr:uid="{00000000-0005-0000-0000-0000C3100000}"/>
    <cellStyle name="Normal 134" xfId="5328" xr:uid="{00000000-0005-0000-0000-0000C4100000}"/>
    <cellStyle name="Normal 135" xfId="5329" xr:uid="{00000000-0005-0000-0000-0000C5100000}"/>
    <cellStyle name="Normal 136" xfId="5330" xr:uid="{00000000-0005-0000-0000-0000C6100000}"/>
    <cellStyle name="Normal 137" xfId="5331" xr:uid="{00000000-0005-0000-0000-0000C7100000}"/>
    <cellStyle name="Normal 138" xfId="5332" xr:uid="{00000000-0005-0000-0000-0000C8100000}"/>
    <cellStyle name="Normal 139" xfId="5333" xr:uid="{00000000-0005-0000-0000-0000C9100000}"/>
    <cellStyle name="Normal 14" xfId="4254" xr:uid="{00000000-0005-0000-0000-0000CA100000}"/>
    <cellStyle name="Normal 140" xfId="5334" xr:uid="{00000000-0005-0000-0000-0000CB100000}"/>
    <cellStyle name="Normal 141" xfId="5335" xr:uid="{00000000-0005-0000-0000-0000CC100000}"/>
    <cellStyle name="Normal 142" xfId="5336" xr:uid="{00000000-0005-0000-0000-0000CD100000}"/>
    <cellStyle name="Normal 143" xfId="5337" xr:uid="{00000000-0005-0000-0000-0000CE100000}"/>
    <cellStyle name="Normal 144" xfId="5338" xr:uid="{00000000-0005-0000-0000-0000CF100000}"/>
    <cellStyle name="Normal 145" xfId="5339" xr:uid="{00000000-0005-0000-0000-0000D0100000}"/>
    <cellStyle name="Normal 146" xfId="5340" xr:uid="{00000000-0005-0000-0000-0000D1100000}"/>
    <cellStyle name="Normal 147" xfId="5341" xr:uid="{00000000-0005-0000-0000-0000D2100000}"/>
    <cellStyle name="Normal 148" xfId="5342" xr:uid="{00000000-0005-0000-0000-0000D3100000}"/>
    <cellStyle name="Normal 149" xfId="5343" xr:uid="{00000000-0005-0000-0000-0000D4100000}"/>
    <cellStyle name="Normal 15" xfId="4255" xr:uid="{00000000-0005-0000-0000-0000D5100000}"/>
    <cellStyle name="Normal 150" xfId="5344" xr:uid="{00000000-0005-0000-0000-0000D6100000}"/>
    <cellStyle name="Normal 151" xfId="5345" xr:uid="{00000000-0005-0000-0000-0000D7100000}"/>
    <cellStyle name="Normal 152" xfId="5346" xr:uid="{00000000-0005-0000-0000-0000D8100000}"/>
    <cellStyle name="Normal 153" xfId="5347" xr:uid="{00000000-0005-0000-0000-0000D9100000}"/>
    <cellStyle name="Normal 154" xfId="5348" xr:uid="{00000000-0005-0000-0000-0000DA100000}"/>
    <cellStyle name="Normal 155" xfId="5349" xr:uid="{00000000-0005-0000-0000-0000DB100000}"/>
    <cellStyle name="Normal 156" xfId="5350" xr:uid="{00000000-0005-0000-0000-0000DC100000}"/>
    <cellStyle name="Normal 157" xfId="5351" xr:uid="{00000000-0005-0000-0000-0000DD100000}"/>
    <cellStyle name="Normal 158" xfId="5352" xr:uid="{00000000-0005-0000-0000-0000DE100000}"/>
    <cellStyle name="Normal 159" xfId="5353" xr:uid="{00000000-0005-0000-0000-0000DF100000}"/>
    <cellStyle name="Normal 16" xfId="4256" xr:uid="{00000000-0005-0000-0000-0000E0100000}"/>
    <cellStyle name="Normal 160" xfId="5354" xr:uid="{00000000-0005-0000-0000-0000E1100000}"/>
    <cellStyle name="Normal 161" xfId="5355" xr:uid="{00000000-0005-0000-0000-0000E2100000}"/>
    <cellStyle name="Normal 162" xfId="5356" xr:uid="{00000000-0005-0000-0000-0000E3100000}"/>
    <cellStyle name="Normal 163" xfId="5357" xr:uid="{00000000-0005-0000-0000-0000E4100000}"/>
    <cellStyle name="Normal 164" xfId="5358" xr:uid="{00000000-0005-0000-0000-0000E5100000}"/>
    <cellStyle name="Normal 165" xfId="5359" xr:uid="{00000000-0005-0000-0000-0000E6100000}"/>
    <cellStyle name="Normal 166" xfId="5360" xr:uid="{00000000-0005-0000-0000-0000E7100000}"/>
    <cellStyle name="Normal 167" xfId="5361" xr:uid="{00000000-0005-0000-0000-0000E8100000}"/>
    <cellStyle name="Normal 168" xfId="5362" xr:uid="{00000000-0005-0000-0000-0000E9100000}"/>
    <cellStyle name="Normal 169" xfId="5363" xr:uid="{00000000-0005-0000-0000-0000EA100000}"/>
    <cellStyle name="Normal 17" xfId="4257" xr:uid="{00000000-0005-0000-0000-0000EB100000}"/>
    <cellStyle name="Normal 170" xfId="5364" xr:uid="{00000000-0005-0000-0000-0000EC100000}"/>
    <cellStyle name="Normal 171" xfId="5365" xr:uid="{00000000-0005-0000-0000-0000ED100000}"/>
    <cellStyle name="Normal 172" xfId="5366" xr:uid="{00000000-0005-0000-0000-0000EE100000}"/>
    <cellStyle name="Normal 173" xfId="5367" xr:uid="{00000000-0005-0000-0000-0000EF100000}"/>
    <cellStyle name="Normal 174" xfId="5368" xr:uid="{00000000-0005-0000-0000-0000F0100000}"/>
    <cellStyle name="Normal 175" xfId="5369" xr:uid="{00000000-0005-0000-0000-0000F1100000}"/>
    <cellStyle name="Normal 176" xfId="5370" xr:uid="{00000000-0005-0000-0000-0000F2100000}"/>
    <cellStyle name="Normal 177" xfId="5371" xr:uid="{00000000-0005-0000-0000-0000F3100000}"/>
    <cellStyle name="Normal 178" xfId="5372" xr:uid="{00000000-0005-0000-0000-0000F4100000}"/>
    <cellStyle name="Normal 179" xfId="5373" xr:uid="{00000000-0005-0000-0000-0000F5100000}"/>
    <cellStyle name="Normal 18" xfId="4258" xr:uid="{00000000-0005-0000-0000-0000F6100000}"/>
    <cellStyle name="Normal 180" xfId="5374" xr:uid="{00000000-0005-0000-0000-0000F7100000}"/>
    <cellStyle name="Normal 181" xfId="5375" xr:uid="{00000000-0005-0000-0000-0000F8100000}"/>
    <cellStyle name="Normal 182" xfId="5376" xr:uid="{00000000-0005-0000-0000-0000F9100000}"/>
    <cellStyle name="Normal 183" xfId="5377" xr:uid="{00000000-0005-0000-0000-0000FA100000}"/>
    <cellStyle name="Normal 184" xfId="5378" xr:uid="{00000000-0005-0000-0000-0000FB100000}"/>
    <cellStyle name="Normal 185" xfId="5379" xr:uid="{00000000-0005-0000-0000-0000FC100000}"/>
    <cellStyle name="Normal 186" xfId="5380" xr:uid="{00000000-0005-0000-0000-0000FD100000}"/>
    <cellStyle name="Normal 187" xfId="5381" xr:uid="{00000000-0005-0000-0000-0000FE100000}"/>
    <cellStyle name="Normal 188" xfId="5382" xr:uid="{00000000-0005-0000-0000-0000FF100000}"/>
    <cellStyle name="Normal 189" xfId="5383" xr:uid="{00000000-0005-0000-0000-000000110000}"/>
    <cellStyle name="Normal 19" xfId="4259" xr:uid="{00000000-0005-0000-0000-000001110000}"/>
    <cellStyle name="Normal 190" xfId="5384" xr:uid="{00000000-0005-0000-0000-000002110000}"/>
    <cellStyle name="Normal 191" xfId="5385" xr:uid="{00000000-0005-0000-0000-000003110000}"/>
    <cellStyle name="Normal 192" xfId="5386" xr:uid="{00000000-0005-0000-0000-000004110000}"/>
    <cellStyle name="Normal 193" xfId="5387" xr:uid="{00000000-0005-0000-0000-000005110000}"/>
    <cellStyle name="Normal 194" xfId="5388" xr:uid="{00000000-0005-0000-0000-000006110000}"/>
    <cellStyle name="Normal 195" xfId="5389" xr:uid="{00000000-0005-0000-0000-000007110000}"/>
    <cellStyle name="Normal 196" xfId="5390" xr:uid="{00000000-0005-0000-0000-000008110000}"/>
    <cellStyle name="Normal 197" xfId="5391" xr:uid="{00000000-0005-0000-0000-000009110000}"/>
    <cellStyle name="Normal 198" xfId="5392" xr:uid="{00000000-0005-0000-0000-00000A110000}"/>
    <cellStyle name="Normal 199" xfId="5393" xr:uid="{00000000-0005-0000-0000-00000B110000}"/>
    <cellStyle name="Normal 2" xfId="6" xr:uid="{00000000-0005-0000-0000-00000C110000}"/>
    <cellStyle name="Normal 2 10" xfId="4260" xr:uid="{00000000-0005-0000-0000-00000D110000}"/>
    <cellStyle name="Normal 2 10 10" xfId="4261" xr:uid="{00000000-0005-0000-0000-00000E110000}"/>
    <cellStyle name="Normal 2 10 11" xfId="4262" xr:uid="{00000000-0005-0000-0000-00000F110000}"/>
    <cellStyle name="Normal 2 10 12" xfId="4263" xr:uid="{00000000-0005-0000-0000-000010110000}"/>
    <cellStyle name="Normal 2 10 2" xfId="4264" xr:uid="{00000000-0005-0000-0000-000011110000}"/>
    <cellStyle name="Normal 2 10 3" xfId="4265" xr:uid="{00000000-0005-0000-0000-000012110000}"/>
    <cellStyle name="Normal 2 10 4" xfId="4266" xr:uid="{00000000-0005-0000-0000-000013110000}"/>
    <cellStyle name="Normal 2 10 5" xfId="4267" xr:uid="{00000000-0005-0000-0000-000014110000}"/>
    <cellStyle name="Normal 2 10 6" xfId="4268" xr:uid="{00000000-0005-0000-0000-000015110000}"/>
    <cellStyle name="Normal 2 10 7" xfId="4269" xr:uid="{00000000-0005-0000-0000-000016110000}"/>
    <cellStyle name="Normal 2 10 8" xfId="4270" xr:uid="{00000000-0005-0000-0000-000017110000}"/>
    <cellStyle name="Normal 2 10 9" xfId="4271" xr:uid="{00000000-0005-0000-0000-000018110000}"/>
    <cellStyle name="Normal 2 10_ContasExternas" xfId="4272" xr:uid="{00000000-0005-0000-0000-000019110000}"/>
    <cellStyle name="Normal 2 11" xfId="4273" xr:uid="{00000000-0005-0000-0000-00001A110000}"/>
    <cellStyle name="Normal 2 12" xfId="4274" xr:uid="{00000000-0005-0000-0000-00001B110000}"/>
    <cellStyle name="Normal 2 13" xfId="4275" xr:uid="{00000000-0005-0000-0000-00001C110000}"/>
    <cellStyle name="Normal 2 14" xfId="4276" xr:uid="{00000000-0005-0000-0000-00001D110000}"/>
    <cellStyle name="Normal 2 15" xfId="4277" xr:uid="{00000000-0005-0000-0000-00001E110000}"/>
    <cellStyle name="Normal 2 16" xfId="4278" xr:uid="{00000000-0005-0000-0000-00001F110000}"/>
    <cellStyle name="Normal 2 17" xfId="4279" xr:uid="{00000000-0005-0000-0000-000020110000}"/>
    <cellStyle name="Normal 2 18" xfId="4280" xr:uid="{00000000-0005-0000-0000-000021110000}"/>
    <cellStyle name="Normal 2 19" xfId="4281" xr:uid="{00000000-0005-0000-0000-000022110000}"/>
    <cellStyle name="Normal 2 2" xfId="4282" xr:uid="{00000000-0005-0000-0000-000023110000}"/>
    <cellStyle name="Normal 2 2 10" xfId="4283" xr:uid="{00000000-0005-0000-0000-000024110000}"/>
    <cellStyle name="Normal 2 2 11" xfId="4284" xr:uid="{00000000-0005-0000-0000-000025110000}"/>
    <cellStyle name="Normal 2 2 12" xfId="4285" xr:uid="{00000000-0005-0000-0000-000026110000}"/>
    <cellStyle name="Normal 2 2 2" xfId="4286" xr:uid="{00000000-0005-0000-0000-000027110000}"/>
    <cellStyle name="Normal 2 2 2 2" xfId="4287" xr:uid="{00000000-0005-0000-0000-000028110000}"/>
    <cellStyle name="Normal 2 2 3" xfId="4288" xr:uid="{00000000-0005-0000-0000-000029110000}"/>
    <cellStyle name="Normal 2 2 3 2" xfId="4289" xr:uid="{00000000-0005-0000-0000-00002A110000}"/>
    <cellStyle name="Normal 2 2 4" xfId="4290" xr:uid="{00000000-0005-0000-0000-00002B110000}"/>
    <cellStyle name="Normal 2 2 5" xfId="4291" xr:uid="{00000000-0005-0000-0000-00002C110000}"/>
    <cellStyle name="Normal 2 2 6" xfId="4292" xr:uid="{00000000-0005-0000-0000-00002D110000}"/>
    <cellStyle name="Normal 2 2 7" xfId="4293" xr:uid="{00000000-0005-0000-0000-00002E110000}"/>
    <cellStyle name="Normal 2 2 8" xfId="4294" xr:uid="{00000000-0005-0000-0000-00002F110000}"/>
    <cellStyle name="Normal 2 2 9" xfId="4295" xr:uid="{00000000-0005-0000-0000-000030110000}"/>
    <cellStyle name="Normal 2 2_ContasExternas" xfId="4296" xr:uid="{00000000-0005-0000-0000-000031110000}"/>
    <cellStyle name="Normal 2 20" xfId="4297" xr:uid="{00000000-0005-0000-0000-000032110000}"/>
    <cellStyle name="Normal 2 21" xfId="4298" xr:uid="{00000000-0005-0000-0000-000033110000}"/>
    <cellStyle name="Normal 2 22" xfId="4299" xr:uid="{00000000-0005-0000-0000-000034110000}"/>
    <cellStyle name="Normal 2 23" xfId="4300" xr:uid="{00000000-0005-0000-0000-000035110000}"/>
    <cellStyle name="Normal 2 24" xfId="4301" xr:uid="{00000000-0005-0000-0000-000036110000}"/>
    <cellStyle name="Normal 2 25" xfId="4302" xr:uid="{00000000-0005-0000-0000-000037110000}"/>
    <cellStyle name="Normal 2 26" xfId="4303" xr:uid="{00000000-0005-0000-0000-000038110000}"/>
    <cellStyle name="Normal 2 27" xfId="4304" xr:uid="{00000000-0005-0000-0000-000039110000}"/>
    <cellStyle name="Normal 2 28" xfId="4305" xr:uid="{00000000-0005-0000-0000-00003A110000}"/>
    <cellStyle name="Normal 2 29" xfId="4306" xr:uid="{00000000-0005-0000-0000-00003B110000}"/>
    <cellStyle name="Normal 2 3" xfId="4307" xr:uid="{00000000-0005-0000-0000-00003C110000}"/>
    <cellStyle name="Normal 2 3 10" xfId="4308" xr:uid="{00000000-0005-0000-0000-00003D110000}"/>
    <cellStyle name="Normal 2 3 11" xfId="4309" xr:uid="{00000000-0005-0000-0000-00003E110000}"/>
    <cellStyle name="Normal 2 3 12" xfId="4310" xr:uid="{00000000-0005-0000-0000-00003F110000}"/>
    <cellStyle name="Normal 2 3 2" xfId="4311" xr:uid="{00000000-0005-0000-0000-000040110000}"/>
    <cellStyle name="Normal 2 3 3" xfId="4312" xr:uid="{00000000-0005-0000-0000-000041110000}"/>
    <cellStyle name="Normal 2 3 4" xfId="4313" xr:uid="{00000000-0005-0000-0000-000042110000}"/>
    <cellStyle name="Normal 2 3 5" xfId="4314" xr:uid="{00000000-0005-0000-0000-000043110000}"/>
    <cellStyle name="Normal 2 3 6" xfId="4315" xr:uid="{00000000-0005-0000-0000-000044110000}"/>
    <cellStyle name="Normal 2 3 7" xfId="4316" xr:uid="{00000000-0005-0000-0000-000045110000}"/>
    <cellStyle name="Normal 2 3 8" xfId="4317" xr:uid="{00000000-0005-0000-0000-000046110000}"/>
    <cellStyle name="Normal 2 3 9" xfId="4318" xr:uid="{00000000-0005-0000-0000-000047110000}"/>
    <cellStyle name="Normal 2 3_ContasExternas" xfId="4319" xr:uid="{00000000-0005-0000-0000-000048110000}"/>
    <cellStyle name="Normal 2 30" xfId="4320" xr:uid="{00000000-0005-0000-0000-000049110000}"/>
    <cellStyle name="Normal 2 31" xfId="4321" xr:uid="{00000000-0005-0000-0000-00004A110000}"/>
    <cellStyle name="Normal 2 32" xfId="4322" xr:uid="{00000000-0005-0000-0000-00004B110000}"/>
    <cellStyle name="Normal 2 33" xfId="4323" xr:uid="{00000000-0005-0000-0000-00004C110000}"/>
    <cellStyle name="Normal 2 34" xfId="4324" xr:uid="{00000000-0005-0000-0000-00004D110000}"/>
    <cellStyle name="Normal 2 35" xfId="4325" xr:uid="{00000000-0005-0000-0000-00004E110000}"/>
    <cellStyle name="Normal 2 36" xfId="4326" xr:uid="{00000000-0005-0000-0000-00004F110000}"/>
    <cellStyle name="Normal 2 37" xfId="4327" xr:uid="{00000000-0005-0000-0000-000050110000}"/>
    <cellStyle name="Normal 2 38" xfId="4328" xr:uid="{00000000-0005-0000-0000-000051110000}"/>
    <cellStyle name="Normal 2 4" xfId="4329" xr:uid="{00000000-0005-0000-0000-000052110000}"/>
    <cellStyle name="Normal 2 4 10" xfId="4330" xr:uid="{00000000-0005-0000-0000-000053110000}"/>
    <cellStyle name="Normal 2 4 11" xfId="4331" xr:uid="{00000000-0005-0000-0000-000054110000}"/>
    <cellStyle name="Normal 2 4 12" xfId="4332" xr:uid="{00000000-0005-0000-0000-000055110000}"/>
    <cellStyle name="Normal 2 4 2" xfId="4333" xr:uid="{00000000-0005-0000-0000-000056110000}"/>
    <cellStyle name="Normal 2 4 3" xfId="4334" xr:uid="{00000000-0005-0000-0000-000057110000}"/>
    <cellStyle name="Normal 2 4 4" xfId="4335" xr:uid="{00000000-0005-0000-0000-000058110000}"/>
    <cellStyle name="Normal 2 4 5" xfId="4336" xr:uid="{00000000-0005-0000-0000-000059110000}"/>
    <cellStyle name="Normal 2 4 6" xfId="4337" xr:uid="{00000000-0005-0000-0000-00005A110000}"/>
    <cellStyle name="Normal 2 4 7" xfId="4338" xr:uid="{00000000-0005-0000-0000-00005B110000}"/>
    <cellStyle name="Normal 2 4 8" xfId="4339" xr:uid="{00000000-0005-0000-0000-00005C110000}"/>
    <cellStyle name="Normal 2 4 9" xfId="4340" xr:uid="{00000000-0005-0000-0000-00005D110000}"/>
    <cellStyle name="Normal 2 4_ContasExternas" xfId="4341" xr:uid="{00000000-0005-0000-0000-00005E110000}"/>
    <cellStyle name="Normal 2 5" xfId="4342" xr:uid="{00000000-0005-0000-0000-00005F110000}"/>
    <cellStyle name="Normal 2 5 10" xfId="4343" xr:uid="{00000000-0005-0000-0000-000060110000}"/>
    <cellStyle name="Normal 2 5 11" xfId="4344" xr:uid="{00000000-0005-0000-0000-000061110000}"/>
    <cellStyle name="Normal 2 5 12" xfId="4345" xr:uid="{00000000-0005-0000-0000-000062110000}"/>
    <cellStyle name="Normal 2 5 2" xfId="4346" xr:uid="{00000000-0005-0000-0000-000063110000}"/>
    <cellStyle name="Normal 2 5 3" xfId="4347" xr:uid="{00000000-0005-0000-0000-000064110000}"/>
    <cellStyle name="Normal 2 5 4" xfId="4348" xr:uid="{00000000-0005-0000-0000-000065110000}"/>
    <cellStyle name="Normal 2 5 5" xfId="4349" xr:uid="{00000000-0005-0000-0000-000066110000}"/>
    <cellStyle name="Normal 2 5 6" xfId="4350" xr:uid="{00000000-0005-0000-0000-000067110000}"/>
    <cellStyle name="Normal 2 5 7" xfId="4351" xr:uid="{00000000-0005-0000-0000-000068110000}"/>
    <cellStyle name="Normal 2 5 8" xfId="4352" xr:uid="{00000000-0005-0000-0000-000069110000}"/>
    <cellStyle name="Normal 2 5 9" xfId="4353" xr:uid="{00000000-0005-0000-0000-00006A110000}"/>
    <cellStyle name="Normal 2 5_ContasExternas" xfId="4354" xr:uid="{00000000-0005-0000-0000-00006B110000}"/>
    <cellStyle name="Normal 2 6" xfId="4355" xr:uid="{00000000-0005-0000-0000-00006C110000}"/>
    <cellStyle name="Normal 2 6 10" xfId="4356" xr:uid="{00000000-0005-0000-0000-00006D110000}"/>
    <cellStyle name="Normal 2 6 11" xfId="4357" xr:uid="{00000000-0005-0000-0000-00006E110000}"/>
    <cellStyle name="Normal 2 6 12" xfId="4358" xr:uid="{00000000-0005-0000-0000-00006F110000}"/>
    <cellStyle name="Normal 2 6 2" xfId="4359" xr:uid="{00000000-0005-0000-0000-000070110000}"/>
    <cellStyle name="Normal 2 6 3" xfId="4360" xr:uid="{00000000-0005-0000-0000-000071110000}"/>
    <cellStyle name="Normal 2 6 4" xfId="4361" xr:uid="{00000000-0005-0000-0000-000072110000}"/>
    <cellStyle name="Normal 2 6 5" xfId="4362" xr:uid="{00000000-0005-0000-0000-000073110000}"/>
    <cellStyle name="Normal 2 6 6" xfId="4363" xr:uid="{00000000-0005-0000-0000-000074110000}"/>
    <cellStyle name="Normal 2 6 7" xfId="4364" xr:uid="{00000000-0005-0000-0000-000075110000}"/>
    <cellStyle name="Normal 2 6 8" xfId="4365" xr:uid="{00000000-0005-0000-0000-000076110000}"/>
    <cellStyle name="Normal 2 6 9" xfId="4366" xr:uid="{00000000-0005-0000-0000-000077110000}"/>
    <cellStyle name="Normal 2 6_ContasExternas" xfId="4367" xr:uid="{00000000-0005-0000-0000-000078110000}"/>
    <cellStyle name="Normal 2 7" xfId="4368" xr:uid="{00000000-0005-0000-0000-000079110000}"/>
    <cellStyle name="Normal 2 7 10" xfId="4369" xr:uid="{00000000-0005-0000-0000-00007A110000}"/>
    <cellStyle name="Normal 2 7 11" xfId="4370" xr:uid="{00000000-0005-0000-0000-00007B110000}"/>
    <cellStyle name="Normal 2 7 12" xfId="4371" xr:uid="{00000000-0005-0000-0000-00007C110000}"/>
    <cellStyle name="Normal 2 7 2" xfId="4372" xr:uid="{00000000-0005-0000-0000-00007D110000}"/>
    <cellStyle name="Normal 2 7 3" xfId="4373" xr:uid="{00000000-0005-0000-0000-00007E110000}"/>
    <cellStyle name="Normal 2 7 4" xfId="4374" xr:uid="{00000000-0005-0000-0000-00007F110000}"/>
    <cellStyle name="Normal 2 7 5" xfId="4375" xr:uid="{00000000-0005-0000-0000-000080110000}"/>
    <cellStyle name="Normal 2 7 6" xfId="4376" xr:uid="{00000000-0005-0000-0000-000081110000}"/>
    <cellStyle name="Normal 2 7 7" xfId="4377" xr:uid="{00000000-0005-0000-0000-000082110000}"/>
    <cellStyle name="Normal 2 7 8" xfId="4378" xr:uid="{00000000-0005-0000-0000-000083110000}"/>
    <cellStyle name="Normal 2 7 9" xfId="4379" xr:uid="{00000000-0005-0000-0000-000084110000}"/>
    <cellStyle name="Normal 2 7_ContasExternas" xfId="4380" xr:uid="{00000000-0005-0000-0000-000085110000}"/>
    <cellStyle name="Normal 2 8" xfId="4381" xr:uid="{00000000-0005-0000-0000-000086110000}"/>
    <cellStyle name="Normal 2 8 10" xfId="4382" xr:uid="{00000000-0005-0000-0000-000087110000}"/>
    <cellStyle name="Normal 2 8 11" xfId="4383" xr:uid="{00000000-0005-0000-0000-000088110000}"/>
    <cellStyle name="Normal 2 8 12" xfId="4384" xr:uid="{00000000-0005-0000-0000-000089110000}"/>
    <cellStyle name="Normal 2 8 2" xfId="4385" xr:uid="{00000000-0005-0000-0000-00008A110000}"/>
    <cellStyle name="Normal 2 8 3" xfId="4386" xr:uid="{00000000-0005-0000-0000-00008B110000}"/>
    <cellStyle name="Normal 2 8 4" xfId="4387" xr:uid="{00000000-0005-0000-0000-00008C110000}"/>
    <cellStyle name="Normal 2 8 5" xfId="4388" xr:uid="{00000000-0005-0000-0000-00008D110000}"/>
    <cellStyle name="Normal 2 8 6" xfId="4389" xr:uid="{00000000-0005-0000-0000-00008E110000}"/>
    <cellStyle name="Normal 2 8 7" xfId="4390" xr:uid="{00000000-0005-0000-0000-00008F110000}"/>
    <cellStyle name="Normal 2 8 8" xfId="4391" xr:uid="{00000000-0005-0000-0000-000090110000}"/>
    <cellStyle name="Normal 2 8 9" xfId="4392" xr:uid="{00000000-0005-0000-0000-000091110000}"/>
    <cellStyle name="Normal 2 8_ContasExternas" xfId="4393" xr:uid="{00000000-0005-0000-0000-000092110000}"/>
    <cellStyle name="Normal 2 9" xfId="4394" xr:uid="{00000000-0005-0000-0000-000093110000}"/>
    <cellStyle name="Normal 2 9 10" xfId="4395" xr:uid="{00000000-0005-0000-0000-000094110000}"/>
    <cellStyle name="Normal 2 9 11" xfId="4396" xr:uid="{00000000-0005-0000-0000-000095110000}"/>
    <cellStyle name="Normal 2 9 12" xfId="4397" xr:uid="{00000000-0005-0000-0000-000096110000}"/>
    <cellStyle name="Normal 2 9 2" xfId="4398" xr:uid="{00000000-0005-0000-0000-000097110000}"/>
    <cellStyle name="Normal 2 9 3" xfId="4399" xr:uid="{00000000-0005-0000-0000-000098110000}"/>
    <cellStyle name="Normal 2 9 4" xfId="4400" xr:uid="{00000000-0005-0000-0000-000099110000}"/>
    <cellStyle name="Normal 2 9 5" xfId="4401" xr:uid="{00000000-0005-0000-0000-00009A110000}"/>
    <cellStyle name="Normal 2 9 6" xfId="4402" xr:uid="{00000000-0005-0000-0000-00009B110000}"/>
    <cellStyle name="Normal 2 9 7" xfId="4403" xr:uid="{00000000-0005-0000-0000-00009C110000}"/>
    <cellStyle name="Normal 2 9 8" xfId="4404" xr:uid="{00000000-0005-0000-0000-00009D110000}"/>
    <cellStyle name="Normal 2 9 9" xfId="4405" xr:uid="{00000000-0005-0000-0000-00009E110000}"/>
    <cellStyle name="Normal 2 9_ContasExternas" xfId="4406" xr:uid="{00000000-0005-0000-0000-00009F110000}"/>
    <cellStyle name="Normal 2_ContasExternas" xfId="4407" xr:uid="{00000000-0005-0000-0000-0000A0110000}"/>
    <cellStyle name="Normal 20" xfId="4408" xr:uid="{00000000-0005-0000-0000-0000A1110000}"/>
    <cellStyle name="Normal 200" xfId="5394" xr:uid="{00000000-0005-0000-0000-0000A2110000}"/>
    <cellStyle name="Normal 201" xfId="5395" xr:uid="{00000000-0005-0000-0000-0000A3110000}"/>
    <cellStyle name="Normal 202" xfId="5396" xr:uid="{00000000-0005-0000-0000-0000A4110000}"/>
    <cellStyle name="Normal 203" xfId="5398" xr:uid="{00000000-0005-0000-0000-0000A5110000}"/>
    <cellStyle name="Normal 204" xfId="5399" xr:uid="{00000000-0005-0000-0000-0000A6110000}"/>
    <cellStyle name="Normal 205" xfId="5400" xr:uid="{00000000-0005-0000-0000-0000A7110000}"/>
    <cellStyle name="Normal 206" xfId="5401" xr:uid="{00000000-0005-0000-0000-0000A8110000}"/>
    <cellStyle name="Normal 207" xfId="5402" xr:uid="{00000000-0005-0000-0000-0000A9110000}"/>
    <cellStyle name="Normal 208" xfId="5403" xr:uid="{00000000-0005-0000-0000-0000AA110000}"/>
    <cellStyle name="Normal 209" xfId="5404" xr:uid="{00000000-0005-0000-0000-0000AB110000}"/>
    <cellStyle name="Normal 21" xfId="4409" xr:uid="{00000000-0005-0000-0000-0000AC110000}"/>
    <cellStyle name="Normal 210" xfId="5405" xr:uid="{00000000-0005-0000-0000-0000AD110000}"/>
    <cellStyle name="Normal 211" xfId="5406" xr:uid="{00000000-0005-0000-0000-0000AE110000}"/>
    <cellStyle name="Normal 212" xfId="5407" xr:uid="{00000000-0005-0000-0000-0000AF110000}"/>
    <cellStyle name="Normal 213" xfId="5408" xr:uid="{00000000-0005-0000-0000-0000B0110000}"/>
    <cellStyle name="Normal 214" xfId="5409" xr:uid="{00000000-0005-0000-0000-0000B1110000}"/>
    <cellStyle name="Normal 215" xfId="5410" xr:uid="{00000000-0005-0000-0000-0000B2110000}"/>
    <cellStyle name="Normal 216" xfId="5411" xr:uid="{00000000-0005-0000-0000-0000B3110000}"/>
    <cellStyle name="Normal 217" xfId="5412" xr:uid="{00000000-0005-0000-0000-0000B4110000}"/>
    <cellStyle name="Normal 218" xfId="5413" xr:uid="{00000000-0005-0000-0000-0000B5110000}"/>
    <cellStyle name="Normal 219" xfId="5415" xr:uid="{00000000-0005-0000-0000-0000B6110000}"/>
    <cellStyle name="Normal 22" xfId="4410" xr:uid="{00000000-0005-0000-0000-0000B7110000}"/>
    <cellStyle name="Normal 220" xfId="5419" xr:uid="{00000000-0005-0000-0000-0000B8110000}"/>
    <cellStyle name="Normal 221" xfId="5418" xr:uid="{00000000-0005-0000-0000-0000B9110000}"/>
    <cellStyle name="Normal 222" xfId="5420" xr:uid="{00000000-0005-0000-0000-0000BA110000}"/>
    <cellStyle name="Normal 223" xfId="5421" xr:uid="{00000000-0005-0000-0000-0000BB110000}"/>
    <cellStyle name="Normal 224" xfId="5422" xr:uid="{00000000-0005-0000-0000-0000BC110000}"/>
    <cellStyle name="Normal 225" xfId="5423" xr:uid="{00000000-0005-0000-0000-0000BD110000}"/>
    <cellStyle name="Normal 226" xfId="5424" xr:uid="{00000000-0005-0000-0000-0000BE110000}"/>
    <cellStyle name="Normal 227" xfId="5425" xr:uid="{00000000-0005-0000-0000-0000BF110000}"/>
    <cellStyle name="Normal 228" xfId="5427" xr:uid="{00000000-0005-0000-0000-0000C0110000}"/>
    <cellStyle name="Normal 229" xfId="5428" xr:uid="{00000000-0005-0000-0000-0000C1110000}"/>
    <cellStyle name="Normal 23" xfId="4411" xr:uid="{00000000-0005-0000-0000-0000C2110000}"/>
    <cellStyle name="Normal 230" xfId="5429" xr:uid="{00000000-0005-0000-0000-0000C3110000}"/>
    <cellStyle name="Normal 231" xfId="5430" xr:uid="{00000000-0005-0000-0000-0000C4110000}"/>
    <cellStyle name="Normal 232" xfId="5431" xr:uid="{00000000-0005-0000-0000-0000C5110000}"/>
    <cellStyle name="Normal 233" xfId="5432" xr:uid="{00000000-0005-0000-0000-0000C6110000}"/>
    <cellStyle name="Normal 234" xfId="5433" xr:uid="{00000000-0005-0000-0000-0000C7110000}"/>
    <cellStyle name="Normal 235" xfId="5434" xr:uid="{00000000-0005-0000-0000-0000C8110000}"/>
    <cellStyle name="Normal 236" xfId="5435" xr:uid="{00000000-0005-0000-0000-0000C9110000}"/>
    <cellStyle name="Normal 237" xfId="5436" xr:uid="{00000000-0005-0000-0000-0000CA110000}"/>
    <cellStyle name="Normal 238" xfId="5437" xr:uid="{00000000-0005-0000-0000-0000CB110000}"/>
    <cellStyle name="Normal 239" xfId="5438" xr:uid="{00000000-0005-0000-0000-0000CC110000}"/>
    <cellStyle name="Normal 24" xfId="4412" xr:uid="{00000000-0005-0000-0000-0000CD110000}"/>
    <cellStyle name="Normal 240" xfId="5439" xr:uid="{00000000-0005-0000-0000-0000CE110000}"/>
    <cellStyle name="Normal 25" xfId="4413" xr:uid="{00000000-0005-0000-0000-0000CF110000}"/>
    <cellStyle name="Normal 26" xfId="4414" xr:uid="{00000000-0005-0000-0000-0000D0110000}"/>
    <cellStyle name="Normal 27" xfId="4415" xr:uid="{00000000-0005-0000-0000-0000D1110000}"/>
    <cellStyle name="Normal 28" xfId="4416" xr:uid="{00000000-0005-0000-0000-0000D2110000}"/>
    <cellStyle name="Normal 29" xfId="4417" xr:uid="{00000000-0005-0000-0000-0000D3110000}"/>
    <cellStyle name="Normal 3" xfId="9" xr:uid="{00000000-0005-0000-0000-0000D4110000}"/>
    <cellStyle name="Normal 3 2" xfId="4418" xr:uid="{00000000-0005-0000-0000-0000D5110000}"/>
    <cellStyle name="Normal 3 2 2" xfId="4419" xr:uid="{00000000-0005-0000-0000-0000D6110000}"/>
    <cellStyle name="Normal 3 2 2 2" xfId="4420" xr:uid="{00000000-0005-0000-0000-0000D7110000}"/>
    <cellStyle name="Normal 3 2 2 3" xfId="4421" xr:uid="{00000000-0005-0000-0000-0000D8110000}"/>
    <cellStyle name="Normal 3 3" xfId="4422" xr:uid="{00000000-0005-0000-0000-0000D9110000}"/>
    <cellStyle name="Normal 3 4" xfId="4423" xr:uid="{00000000-0005-0000-0000-0000DA110000}"/>
    <cellStyle name="Normal 30" xfId="4424" xr:uid="{00000000-0005-0000-0000-0000DB110000}"/>
    <cellStyle name="Normal 31" xfId="4425" xr:uid="{00000000-0005-0000-0000-0000DC110000}"/>
    <cellStyle name="Normal 32" xfId="4426" xr:uid="{00000000-0005-0000-0000-0000DD110000}"/>
    <cellStyle name="Normal 33" xfId="4427" xr:uid="{00000000-0005-0000-0000-0000DE110000}"/>
    <cellStyle name="Normal 34" xfId="4428" xr:uid="{00000000-0005-0000-0000-0000DF110000}"/>
    <cellStyle name="Normal 35" xfId="4429" xr:uid="{00000000-0005-0000-0000-0000E0110000}"/>
    <cellStyle name="Normal 36" xfId="4430" xr:uid="{00000000-0005-0000-0000-0000E1110000}"/>
    <cellStyle name="Normal 37" xfId="4431" xr:uid="{00000000-0005-0000-0000-0000E2110000}"/>
    <cellStyle name="Normal 38" xfId="4432" xr:uid="{00000000-0005-0000-0000-0000E3110000}"/>
    <cellStyle name="Normal 39" xfId="4433" xr:uid="{00000000-0005-0000-0000-0000E4110000}"/>
    <cellStyle name="Normal 4" xfId="4434" xr:uid="{00000000-0005-0000-0000-0000E5110000}"/>
    <cellStyle name="Normal 4 2" xfId="4435" xr:uid="{00000000-0005-0000-0000-0000E6110000}"/>
    <cellStyle name="Normal 4 2 2" xfId="4436" xr:uid="{00000000-0005-0000-0000-0000E7110000}"/>
    <cellStyle name="Normal 4 3" xfId="4437" xr:uid="{00000000-0005-0000-0000-0000E8110000}"/>
    <cellStyle name="Normal 4 4" xfId="4438" xr:uid="{00000000-0005-0000-0000-0000E9110000}"/>
    <cellStyle name="Normal 4 5" xfId="4439" xr:uid="{00000000-0005-0000-0000-0000EA110000}"/>
    <cellStyle name="Normal 4_ContasExternas" xfId="4440" xr:uid="{00000000-0005-0000-0000-0000EB110000}"/>
    <cellStyle name="Normal 40" xfId="4441" xr:uid="{00000000-0005-0000-0000-0000EC110000}"/>
    <cellStyle name="Normal 41" xfId="5240" xr:uid="{00000000-0005-0000-0000-0000ED110000}"/>
    <cellStyle name="Normal 42" xfId="4442" xr:uid="{00000000-0005-0000-0000-0000EE110000}"/>
    <cellStyle name="Normal 43" xfId="5242" xr:uid="{00000000-0005-0000-0000-0000EF110000}"/>
    <cellStyle name="Normal 44" xfId="5243" xr:uid="{00000000-0005-0000-0000-0000F0110000}"/>
    <cellStyle name="Normal 45" xfId="5244" xr:uid="{00000000-0005-0000-0000-0000F1110000}"/>
    <cellStyle name="Normal 46" xfId="5245" xr:uid="{00000000-0005-0000-0000-0000F2110000}"/>
    <cellStyle name="Normal 47" xfId="4443" xr:uid="{00000000-0005-0000-0000-0000F3110000}"/>
    <cellStyle name="Normal 48" xfId="4444" xr:uid="{00000000-0005-0000-0000-0000F4110000}"/>
    <cellStyle name="Normal 49" xfId="4445" xr:uid="{00000000-0005-0000-0000-0000F5110000}"/>
    <cellStyle name="Normal 5" xfId="4446" xr:uid="{00000000-0005-0000-0000-0000F6110000}"/>
    <cellStyle name="Normal 5 2" xfId="4447" xr:uid="{00000000-0005-0000-0000-0000F7110000}"/>
    <cellStyle name="Normal 50" xfId="4448" xr:uid="{00000000-0005-0000-0000-0000F8110000}"/>
    <cellStyle name="Normal 51" xfId="4449" xr:uid="{00000000-0005-0000-0000-0000F9110000}"/>
    <cellStyle name="Normal 52" xfId="5246" xr:uid="{00000000-0005-0000-0000-0000FA110000}"/>
    <cellStyle name="Normal 53" xfId="5247" xr:uid="{00000000-0005-0000-0000-0000FB110000}"/>
    <cellStyle name="Normal 54" xfId="5248" xr:uid="{00000000-0005-0000-0000-0000FC110000}"/>
    <cellStyle name="Normal 55" xfId="5249" xr:uid="{00000000-0005-0000-0000-0000FD110000}"/>
    <cellStyle name="Normal 56" xfId="5250" xr:uid="{00000000-0005-0000-0000-0000FE110000}"/>
    <cellStyle name="Normal 57" xfId="5251" xr:uid="{00000000-0005-0000-0000-0000FF110000}"/>
    <cellStyle name="Normal 58" xfId="5252" xr:uid="{00000000-0005-0000-0000-000000120000}"/>
    <cellStyle name="Normal 59" xfId="5253" xr:uid="{00000000-0005-0000-0000-000001120000}"/>
    <cellStyle name="Normal 6" xfId="4450" xr:uid="{00000000-0005-0000-0000-000002120000}"/>
    <cellStyle name="Normal 6 2" xfId="4451" xr:uid="{00000000-0005-0000-0000-000003120000}"/>
    <cellStyle name="Normal 60" xfId="5254" xr:uid="{00000000-0005-0000-0000-000004120000}"/>
    <cellStyle name="Normal 61" xfId="5255" xr:uid="{00000000-0005-0000-0000-000005120000}"/>
    <cellStyle name="Normal 62" xfId="5256" xr:uid="{00000000-0005-0000-0000-000006120000}"/>
    <cellStyle name="Normal 63" xfId="5257" xr:uid="{00000000-0005-0000-0000-000007120000}"/>
    <cellStyle name="Normal 64" xfId="5258" xr:uid="{00000000-0005-0000-0000-000008120000}"/>
    <cellStyle name="Normal 65" xfId="5259" xr:uid="{00000000-0005-0000-0000-000009120000}"/>
    <cellStyle name="Normal 66" xfId="5260" xr:uid="{00000000-0005-0000-0000-00000A120000}"/>
    <cellStyle name="Normal 67" xfId="5261" xr:uid="{00000000-0005-0000-0000-00000B120000}"/>
    <cellStyle name="Normal 68" xfId="5262" xr:uid="{00000000-0005-0000-0000-00000C120000}"/>
    <cellStyle name="Normal 69" xfId="5263" xr:uid="{00000000-0005-0000-0000-00000D120000}"/>
    <cellStyle name="Normal 7" xfId="4452" xr:uid="{00000000-0005-0000-0000-00000E120000}"/>
    <cellStyle name="Normal 7 2" xfId="4453" xr:uid="{00000000-0005-0000-0000-00000F120000}"/>
    <cellStyle name="Normal 70" xfId="5264" xr:uid="{00000000-0005-0000-0000-000010120000}"/>
    <cellStyle name="Normal 71" xfId="5265" xr:uid="{00000000-0005-0000-0000-000011120000}"/>
    <cellStyle name="Normal 72" xfId="5266" xr:uid="{00000000-0005-0000-0000-000012120000}"/>
    <cellStyle name="Normal 73" xfId="5267" xr:uid="{00000000-0005-0000-0000-000013120000}"/>
    <cellStyle name="Normal 74" xfId="5268" xr:uid="{00000000-0005-0000-0000-000014120000}"/>
    <cellStyle name="Normal 75" xfId="5269" xr:uid="{00000000-0005-0000-0000-000015120000}"/>
    <cellStyle name="Normal 76" xfId="5270" xr:uid="{00000000-0005-0000-0000-000016120000}"/>
    <cellStyle name="Normal 77" xfId="5271" xr:uid="{00000000-0005-0000-0000-000017120000}"/>
    <cellStyle name="Normal 78" xfId="5272" xr:uid="{00000000-0005-0000-0000-000018120000}"/>
    <cellStyle name="Normal 79" xfId="5273" xr:uid="{00000000-0005-0000-0000-000019120000}"/>
    <cellStyle name="Normal 8" xfId="4454" xr:uid="{00000000-0005-0000-0000-00001A120000}"/>
    <cellStyle name="Normal 8 10" xfId="4455" xr:uid="{00000000-0005-0000-0000-00001B120000}"/>
    <cellStyle name="Normal 8 11" xfId="4456" xr:uid="{00000000-0005-0000-0000-00001C120000}"/>
    <cellStyle name="Normal 8 12" xfId="4457" xr:uid="{00000000-0005-0000-0000-00001D120000}"/>
    <cellStyle name="Normal 8 2" xfId="4458" xr:uid="{00000000-0005-0000-0000-00001E120000}"/>
    <cellStyle name="Normal 8 3" xfId="4459" xr:uid="{00000000-0005-0000-0000-00001F120000}"/>
    <cellStyle name="Normal 8 4" xfId="4460" xr:uid="{00000000-0005-0000-0000-000020120000}"/>
    <cellStyle name="Normal 8 5" xfId="4461" xr:uid="{00000000-0005-0000-0000-000021120000}"/>
    <cellStyle name="Normal 8 6" xfId="4462" xr:uid="{00000000-0005-0000-0000-000022120000}"/>
    <cellStyle name="Normal 8 7" xfId="4463" xr:uid="{00000000-0005-0000-0000-000023120000}"/>
    <cellStyle name="Normal 8 8" xfId="4464" xr:uid="{00000000-0005-0000-0000-000024120000}"/>
    <cellStyle name="Normal 8 9" xfId="4465" xr:uid="{00000000-0005-0000-0000-000025120000}"/>
    <cellStyle name="Normal 8_ContasExternas" xfId="4466" xr:uid="{00000000-0005-0000-0000-000026120000}"/>
    <cellStyle name="Normal 80" xfId="5274" xr:uid="{00000000-0005-0000-0000-000027120000}"/>
    <cellStyle name="Normal 81" xfId="5275" xr:uid="{00000000-0005-0000-0000-000028120000}"/>
    <cellStyle name="Normal 82" xfId="5276" xr:uid="{00000000-0005-0000-0000-000029120000}"/>
    <cellStyle name="Normal 83" xfId="5277" xr:uid="{00000000-0005-0000-0000-00002A120000}"/>
    <cellStyle name="Normal 84" xfId="5278" xr:uid="{00000000-0005-0000-0000-00002B120000}"/>
    <cellStyle name="Normal 85" xfId="5279" xr:uid="{00000000-0005-0000-0000-00002C120000}"/>
    <cellStyle name="Normal 86" xfId="5280" xr:uid="{00000000-0005-0000-0000-00002D120000}"/>
    <cellStyle name="Normal 87" xfId="5281" xr:uid="{00000000-0005-0000-0000-00002E120000}"/>
    <cellStyle name="Normal 88" xfId="5282" xr:uid="{00000000-0005-0000-0000-00002F120000}"/>
    <cellStyle name="Normal 89" xfId="5283" xr:uid="{00000000-0005-0000-0000-000030120000}"/>
    <cellStyle name="Normal 9" xfId="4467" xr:uid="{00000000-0005-0000-0000-000031120000}"/>
    <cellStyle name="Normal 9 2" xfId="4468" xr:uid="{00000000-0005-0000-0000-000032120000}"/>
    <cellStyle name="Normal 90" xfId="5284" xr:uid="{00000000-0005-0000-0000-000033120000}"/>
    <cellStyle name="Normal 91" xfId="5285" xr:uid="{00000000-0005-0000-0000-000034120000}"/>
    <cellStyle name="Normal 92" xfId="5286" xr:uid="{00000000-0005-0000-0000-000035120000}"/>
    <cellStyle name="Normal 93" xfId="5287" xr:uid="{00000000-0005-0000-0000-000036120000}"/>
    <cellStyle name="Normal 94" xfId="5288" xr:uid="{00000000-0005-0000-0000-000037120000}"/>
    <cellStyle name="Normal 95" xfId="5289" xr:uid="{00000000-0005-0000-0000-000038120000}"/>
    <cellStyle name="Normal 96" xfId="5290" xr:uid="{00000000-0005-0000-0000-000039120000}"/>
    <cellStyle name="Normal 97" xfId="5291" xr:uid="{00000000-0005-0000-0000-00003A120000}"/>
    <cellStyle name="Normal 98" xfId="5292" xr:uid="{00000000-0005-0000-0000-00003B120000}"/>
    <cellStyle name="Normal 99" xfId="5293" xr:uid="{00000000-0005-0000-0000-00003C120000}"/>
    <cellStyle name="Nota 10" xfId="4469" xr:uid="{00000000-0005-0000-0000-00003D120000}"/>
    <cellStyle name="Nota 11" xfId="4470" xr:uid="{00000000-0005-0000-0000-00003E120000}"/>
    <cellStyle name="Nota 12" xfId="4471" xr:uid="{00000000-0005-0000-0000-00003F120000}"/>
    <cellStyle name="Nota 13" xfId="4472" xr:uid="{00000000-0005-0000-0000-000040120000}"/>
    <cellStyle name="Nota 14" xfId="4473" xr:uid="{00000000-0005-0000-0000-000041120000}"/>
    <cellStyle name="Nota 15" xfId="4474" xr:uid="{00000000-0005-0000-0000-000042120000}"/>
    <cellStyle name="Nota 16" xfId="4475" xr:uid="{00000000-0005-0000-0000-000043120000}"/>
    <cellStyle name="Nota 2" xfId="4476" xr:uid="{00000000-0005-0000-0000-000044120000}"/>
    <cellStyle name="Nota 2 2" xfId="4477" xr:uid="{00000000-0005-0000-0000-000045120000}"/>
    <cellStyle name="Nota 2 3" xfId="4478" xr:uid="{00000000-0005-0000-0000-000046120000}"/>
    <cellStyle name="Nota 2 4" xfId="4479" xr:uid="{00000000-0005-0000-0000-000047120000}"/>
    <cellStyle name="Nota 3" xfId="4480" xr:uid="{00000000-0005-0000-0000-000048120000}"/>
    <cellStyle name="Nota 4" xfId="4481" xr:uid="{00000000-0005-0000-0000-000049120000}"/>
    <cellStyle name="Nota 5" xfId="4482" xr:uid="{00000000-0005-0000-0000-00004A120000}"/>
    <cellStyle name="Nota 6" xfId="4483" xr:uid="{00000000-0005-0000-0000-00004B120000}"/>
    <cellStyle name="Nota 7" xfId="4484" xr:uid="{00000000-0005-0000-0000-00004C120000}"/>
    <cellStyle name="Nota 8" xfId="4485" xr:uid="{00000000-0005-0000-0000-00004D120000}"/>
    <cellStyle name="Nota 9" xfId="4486" xr:uid="{00000000-0005-0000-0000-00004E120000}"/>
    <cellStyle name="Note 10" xfId="4487" xr:uid="{00000000-0005-0000-0000-00004F120000}"/>
    <cellStyle name="Note 2" xfId="4488" xr:uid="{00000000-0005-0000-0000-000050120000}"/>
    <cellStyle name="Note 2 10" xfId="4489" xr:uid="{00000000-0005-0000-0000-000051120000}"/>
    <cellStyle name="Note 2 11" xfId="4490" xr:uid="{00000000-0005-0000-0000-000052120000}"/>
    <cellStyle name="Note 2 12" xfId="4491" xr:uid="{00000000-0005-0000-0000-000053120000}"/>
    <cellStyle name="Note 2 2" xfId="4492" xr:uid="{00000000-0005-0000-0000-000054120000}"/>
    <cellStyle name="Note 2 3" xfId="4493" xr:uid="{00000000-0005-0000-0000-000055120000}"/>
    <cellStyle name="Note 2 4" xfId="4494" xr:uid="{00000000-0005-0000-0000-000056120000}"/>
    <cellStyle name="Note 2 5" xfId="4495" xr:uid="{00000000-0005-0000-0000-000057120000}"/>
    <cellStyle name="Note 2 6" xfId="4496" xr:uid="{00000000-0005-0000-0000-000058120000}"/>
    <cellStyle name="Note 2 7" xfId="4497" xr:uid="{00000000-0005-0000-0000-000059120000}"/>
    <cellStyle name="Note 2 8" xfId="4498" xr:uid="{00000000-0005-0000-0000-00005A120000}"/>
    <cellStyle name="Note 2 9" xfId="4499" xr:uid="{00000000-0005-0000-0000-00005B120000}"/>
    <cellStyle name="Note 3" xfId="4500" xr:uid="{00000000-0005-0000-0000-00005C120000}"/>
    <cellStyle name="Note 3 10" xfId="4501" xr:uid="{00000000-0005-0000-0000-00005D120000}"/>
    <cellStyle name="Note 3 11" xfId="4502" xr:uid="{00000000-0005-0000-0000-00005E120000}"/>
    <cellStyle name="Note 3 12" xfId="4503" xr:uid="{00000000-0005-0000-0000-00005F120000}"/>
    <cellStyle name="Note 3 2" xfId="4504" xr:uid="{00000000-0005-0000-0000-000060120000}"/>
    <cellStyle name="Note 3 3" xfId="4505" xr:uid="{00000000-0005-0000-0000-000061120000}"/>
    <cellStyle name="Note 3 4" xfId="4506" xr:uid="{00000000-0005-0000-0000-000062120000}"/>
    <cellStyle name="Note 3 5" xfId="4507" xr:uid="{00000000-0005-0000-0000-000063120000}"/>
    <cellStyle name="Note 3 6" xfId="4508" xr:uid="{00000000-0005-0000-0000-000064120000}"/>
    <cellStyle name="Note 3 7" xfId="4509" xr:uid="{00000000-0005-0000-0000-000065120000}"/>
    <cellStyle name="Note 3 8" xfId="4510" xr:uid="{00000000-0005-0000-0000-000066120000}"/>
    <cellStyle name="Note 3 9" xfId="4511" xr:uid="{00000000-0005-0000-0000-000067120000}"/>
    <cellStyle name="Note 4" xfId="4512" xr:uid="{00000000-0005-0000-0000-000068120000}"/>
    <cellStyle name="Note 4 10" xfId="4513" xr:uid="{00000000-0005-0000-0000-000069120000}"/>
    <cellStyle name="Note 4 11" xfId="4514" xr:uid="{00000000-0005-0000-0000-00006A120000}"/>
    <cellStyle name="Note 4 12" xfId="4515" xr:uid="{00000000-0005-0000-0000-00006B120000}"/>
    <cellStyle name="Note 4 2" xfId="4516" xr:uid="{00000000-0005-0000-0000-00006C120000}"/>
    <cellStyle name="Note 4 3" xfId="4517" xr:uid="{00000000-0005-0000-0000-00006D120000}"/>
    <cellStyle name="Note 4 4" xfId="4518" xr:uid="{00000000-0005-0000-0000-00006E120000}"/>
    <cellStyle name="Note 4 5" xfId="4519" xr:uid="{00000000-0005-0000-0000-00006F120000}"/>
    <cellStyle name="Note 4 6" xfId="4520" xr:uid="{00000000-0005-0000-0000-000070120000}"/>
    <cellStyle name="Note 4 7" xfId="4521" xr:uid="{00000000-0005-0000-0000-000071120000}"/>
    <cellStyle name="Note 4 8" xfId="4522" xr:uid="{00000000-0005-0000-0000-000072120000}"/>
    <cellStyle name="Note 4 9" xfId="4523" xr:uid="{00000000-0005-0000-0000-000073120000}"/>
    <cellStyle name="Note 5" xfId="4524" xr:uid="{00000000-0005-0000-0000-000074120000}"/>
    <cellStyle name="Note 5 10" xfId="4525" xr:uid="{00000000-0005-0000-0000-000075120000}"/>
    <cellStyle name="Note 5 11" xfId="4526" xr:uid="{00000000-0005-0000-0000-000076120000}"/>
    <cellStyle name="Note 5 12" xfId="4527" xr:uid="{00000000-0005-0000-0000-000077120000}"/>
    <cellStyle name="Note 5 2" xfId="4528" xr:uid="{00000000-0005-0000-0000-000078120000}"/>
    <cellStyle name="Note 5 3" xfId="4529" xr:uid="{00000000-0005-0000-0000-000079120000}"/>
    <cellStyle name="Note 5 4" xfId="4530" xr:uid="{00000000-0005-0000-0000-00007A120000}"/>
    <cellStyle name="Note 5 5" xfId="4531" xr:uid="{00000000-0005-0000-0000-00007B120000}"/>
    <cellStyle name="Note 5 6" xfId="4532" xr:uid="{00000000-0005-0000-0000-00007C120000}"/>
    <cellStyle name="Note 5 7" xfId="4533" xr:uid="{00000000-0005-0000-0000-00007D120000}"/>
    <cellStyle name="Note 5 8" xfId="4534" xr:uid="{00000000-0005-0000-0000-00007E120000}"/>
    <cellStyle name="Note 5 9" xfId="4535" xr:uid="{00000000-0005-0000-0000-00007F120000}"/>
    <cellStyle name="Note 6" xfId="4536" xr:uid="{00000000-0005-0000-0000-000080120000}"/>
    <cellStyle name="Note 6 10" xfId="4537" xr:uid="{00000000-0005-0000-0000-000081120000}"/>
    <cellStyle name="Note 6 11" xfId="4538" xr:uid="{00000000-0005-0000-0000-000082120000}"/>
    <cellStyle name="Note 6 12" xfId="4539" xr:uid="{00000000-0005-0000-0000-000083120000}"/>
    <cellStyle name="Note 6 2" xfId="4540" xr:uid="{00000000-0005-0000-0000-000084120000}"/>
    <cellStyle name="Note 6 3" xfId="4541" xr:uid="{00000000-0005-0000-0000-000085120000}"/>
    <cellStyle name="Note 6 4" xfId="4542" xr:uid="{00000000-0005-0000-0000-000086120000}"/>
    <cellStyle name="Note 6 5" xfId="4543" xr:uid="{00000000-0005-0000-0000-000087120000}"/>
    <cellStyle name="Note 6 6" xfId="4544" xr:uid="{00000000-0005-0000-0000-000088120000}"/>
    <cellStyle name="Note 6 7" xfId="4545" xr:uid="{00000000-0005-0000-0000-000089120000}"/>
    <cellStyle name="Note 6 8" xfId="4546" xr:uid="{00000000-0005-0000-0000-00008A120000}"/>
    <cellStyle name="Note 6 9" xfId="4547" xr:uid="{00000000-0005-0000-0000-00008B120000}"/>
    <cellStyle name="Note 7" xfId="4548" xr:uid="{00000000-0005-0000-0000-00008C120000}"/>
    <cellStyle name="Note 7 10" xfId="4549" xr:uid="{00000000-0005-0000-0000-00008D120000}"/>
    <cellStyle name="Note 7 11" xfId="4550" xr:uid="{00000000-0005-0000-0000-00008E120000}"/>
    <cellStyle name="Note 7 12" xfId="4551" xr:uid="{00000000-0005-0000-0000-00008F120000}"/>
    <cellStyle name="Note 7 2" xfId="4552" xr:uid="{00000000-0005-0000-0000-000090120000}"/>
    <cellStyle name="Note 7 3" xfId="4553" xr:uid="{00000000-0005-0000-0000-000091120000}"/>
    <cellStyle name="Note 7 4" xfId="4554" xr:uid="{00000000-0005-0000-0000-000092120000}"/>
    <cellStyle name="Note 7 5" xfId="4555" xr:uid="{00000000-0005-0000-0000-000093120000}"/>
    <cellStyle name="Note 7 6" xfId="4556" xr:uid="{00000000-0005-0000-0000-000094120000}"/>
    <cellStyle name="Note 7 7" xfId="4557" xr:uid="{00000000-0005-0000-0000-000095120000}"/>
    <cellStyle name="Note 7 8" xfId="4558" xr:uid="{00000000-0005-0000-0000-000096120000}"/>
    <cellStyle name="Note 7 9" xfId="4559" xr:uid="{00000000-0005-0000-0000-000097120000}"/>
    <cellStyle name="Note 8" xfId="4560" xr:uid="{00000000-0005-0000-0000-000098120000}"/>
    <cellStyle name="Note 8 10" xfId="4561" xr:uid="{00000000-0005-0000-0000-000099120000}"/>
    <cellStyle name="Note 8 11" xfId="4562" xr:uid="{00000000-0005-0000-0000-00009A120000}"/>
    <cellStyle name="Note 8 12" xfId="4563" xr:uid="{00000000-0005-0000-0000-00009B120000}"/>
    <cellStyle name="Note 8 2" xfId="4564" xr:uid="{00000000-0005-0000-0000-00009C120000}"/>
    <cellStyle name="Note 8 3" xfId="4565" xr:uid="{00000000-0005-0000-0000-00009D120000}"/>
    <cellStyle name="Note 8 4" xfId="4566" xr:uid="{00000000-0005-0000-0000-00009E120000}"/>
    <cellStyle name="Note 8 5" xfId="4567" xr:uid="{00000000-0005-0000-0000-00009F120000}"/>
    <cellStyle name="Note 8 6" xfId="4568" xr:uid="{00000000-0005-0000-0000-0000A0120000}"/>
    <cellStyle name="Note 8 7" xfId="4569" xr:uid="{00000000-0005-0000-0000-0000A1120000}"/>
    <cellStyle name="Note 8 8" xfId="4570" xr:uid="{00000000-0005-0000-0000-0000A2120000}"/>
    <cellStyle name="Note 8 9" xfId="4571" xr:uid="{00000000-0005-0000-0000-0000A3120000}"/>
    <cellStyle name="Note 9" xfId="4572" xr:uid="{00000000-0005-0000-0000-0000A4120000}"/>
    <cellStyle name="Nulos" xfId="4573" xr:uid="{00000000-0005-0000-0000-0000A5120000}"/>
    <cellStyle name="Output 10" xfId="4574" xr:uid="{00000000-0005-0000-0000-0000A6120000}"/>
    <cellStyle name="Output 2" xfId="4575" xr:uid="{00000000-0005-0000-0000-0000A7120000}"/>
    <cellStyle name="Output 2 10" xfId="4576" xr:uid="{00000000-0005-0000-0000-0000A8120000}"/>
    <cellStyle name="Output 2 11" xfId="4577" xr:uid="{00000000-0005-0000-0000-0000A9120000}"/>
    <cellStyle name="Output 2 12" xfId="4578" xr:uid="{00000000-0005-0000-0000-0000AA120000}"/>
    <cellStyle name="Output 2 2" xfId="4579" xr:uid="{00000000-0005-0000-0000-0000AB120000}"/>
    <cellStyle name="Output 2 3" xfId="4580" xr:uid="{00000000-0005-0000-0000-0000AC120000}"/>
    <cellStyle name="Output 2 4" xfId="4581" xr:uid="{00000000-0005-0000-0000-0000AD120000}"/>
    <cellStyle name="Output 2 5" xfId="4582" xr:uid="{00000000-0005-0000-0000-0000AE120000}"/>
    <cellStyle name="Output 2 6" xfId="4583" xr:uid="{00000000-0005-0000-0000-0000AF120000}"/>
    <cellStyle name="Output 2 7" xfId="4584" xr:uid="{00000000-0005-0000-0000-0000B0120000}"/>
    <cellStyle name="Output 2 8" xfId="4585" xr:uid="{00000000-0005-0000-0000-0000B1120000}"/>
    <cellStyle name="Output 2 9" xfId="4586" xr:uid="{00000000-0005-0000-0000-0000B2120000}"/>
    <cellStyle name="Output 3" xfId="4587" xr:uid="{00000000-0005-0000-0000-0000B3120000}"/>
    <cellStyle name="Output 3 10" xfId="4588" xr:uid="{00000000-0005-0000-0000-0000B4120000}"/>
    <cellStyle name="Output 3 11" xfId="4589" xr:uid="{00000000-0005-0000-0000-0000B5120000}"/>
    <cellStyle name="Output 3 12" xfId="4590" xr:uid="{00000000-0005-0000-0000-0000B6120000}"/>
    <cellStyle name="Output 3 2" xfId="4591" xr:uid="{00000000-0005-0000-0000-0000B7120000}"/>
    <cellStyle name="Output 3 3" xfId="4592" xr:uid="{00000000-0005-0000-0000-0000B8120000}"/>
    <cellStyle name="Output 3 4" xfId="4593" xr:uid="{00000000-0005-0000-0000-0000B9120000}"/>
    <cellStyle name="Output 3 5" xfId="4594" xr:uid="{00000000-0005-0000-0000-0000BA120000}"/>
    <cellStyle name="Output 3 6" xfId="4595" xr:uid="{00000000-0005-0000-0000-0000BB120000}"/>
    <cellStyle name="Output 3 7" xfId="4596" xr:uid="{00000000-0005-0000-0000-0000BC120000}"/>
    <cellStyle name="Output 3 8" xfId="4597" xr:uid="{00000000-0005-0000-0000-0000BD120000}"/>
    <cellStyle name="Output 3 9" xfId="4598" xr:uid="{00000000-0005-0000-0000-0000BE120000}"/>
    <cellStyle name="Output 4" xfId="4599" xr:uid="{00000000-0005-0000-0000-0000BF120000}"/>
    <cellStyle name="Output 4 10" xfId="4600" xr:uid="{00000000-0005-0000-0000-0000C0120000}"/>
    <cellStyle name="Output 4 11" xfId="4601" xr:uid="{00000000-0005-0000-0000-0000C1120000}"/>
    <cellStyle name="Output 4 12" xfId="4602" xr:uid="{00000000-0005-0000-0000-0000C2120000}"/>
    <cellStyle name="Output 4 2" xfId="4603" xr:uid="{00000000-0005-0000-0000-0000C3120000}"/>
    <cellStyle name="Output 4 3" xfId="4604" xr:uid="{00000000-0005-0000-0000-0000C4120000}"/>
    <cellStyle name="Output 4 4" xfId="4605" xr:uid="{00000000-0005-0000-0000-0000C5120000}"/>
    <cellStyle name="Output 4 5" xfId="4606" xr:uid="{00000000-0005-0000-0000-0000C6120000}"/>
    <cellStyle name="Output 4 6" xfId="4607" xr:uid="{00000000-0005-0000-0000-0000C7120000}"/>
    <cellStyle name="Output 4 7" xfId="4608" xr:uid="{00000000-0005-0000-0000-0000C8120000}"/>
    <cellStyle name="Output 4 8" xfId="4609" xr:uid="{00000000-0005-0000-0000-0000C9120000}"/>
    <cellStyle name="Output 4 9" xfId="4610" xr:uid="{00000000-0005-0000-0000-0000CA120000}"/>
    <cellStyle name="Output 5" xfId="4611" xr:uid="{00000000-0005-0000-0000-0000CB120000}"/>
    <cellStyle name="Output 5 10" xfId="4612" xr:uid="{00000000-0005-0000-0000-0000CC120000}"/>
    <cellStyle name="Output 5 11" xfId="4613" xr:uid="{00000000-0005-0000-0000-0000CD120000}"/>
    <cellStyle name="Output 5 12" xfId="4614" xr:uid="{00000000-0005-0000-0000-0000CE120000}"/>
    <cellStyle name="Output 5 2" xfId="4615" xr:uid="{00000000-0005-0000-0000-0000CF120000}"/>
    <cellStyle name="Output 5 3" xfId="4616" xr:uid="{00000000-0005-0000-0000-0000D0120000}"/>
    <cellStyle name="Output 5 4" xfId="4617" xr:uid="{00000000-0005-0000-0000-0000D1120000}"/>
    <cellStyle name="Output 5 5" xfId="4618" xr:uid="{00000000-0005-0000-0000-0000D2120000}"/>
    <cellStyle name="Output 5 6" xfId="4619" xr:uid="{00000000-0005-0000-0000-0000D3120000}"/>
    <cellStyle name="Output 5 7" xfId="4620" xr:uid="{00000000-0005-0000-0000-0000D4120000}"/>
    <cellStyle name="Output 5 8" xfId="4621" xr:uid="{00000000-0005-0000-0000-0000D5120000}"/>
    <cellStyle name="Output 5 9" xfId="4622" xr:uid="{00000000-0005-0000-0000-0000D6120000}"/>
    <cellStyle name="Output 6" xfId="4623" xr:uid="{00000000-0005-0000-0000-0000D7120000}"/>
    <cellStyle name="Output 6 10" xfId="4624" xr:uid="{00000000-0005-0000-0000-0000D8120000}"/>
    <cellStyle name="Output 6 11" xfId="4625" xr:uid="{00000000-0005-0000-0000-0000D9120000}"/>
    <cellStyle name="Output 6 12" xfId="4626" xr:uid="{00000000-0005-0000-0000-0000DA120000}"/>
    <cellStyle name="Output 6 2" xfId="4627" xr:uid="{00000000-0005-0000-0000-0000DB120000}"/>
    <cellStyle name="Output 6 3" xfId="4628" xr:uid="{00000000-0005-0000-0000-0000DC120000}"/>
    <cellStyle name="Output 6 4" xfId="4629" xr:uid="{00000000-0005-0000-0000-0000DD120000}"/>
    <cellStyle name="Output 6 5" xfId="4630" xr:uid="{00000000-0005-0000-0000-0000DE120000}"/>
    <cellStyle name="Output 6 6" xfId="4631" xr:uid="{00000000-0005-0000-0000-0000DF120000}"/>
    <cellStyle name="Output 6 7" xfId="4632" xr:uid="{00000000-0005-0000-0000-0000E0120000}"/>
    <cellStyle name="Output 6 8" xfId="4633" xr:uid="{00000000-0005-0000-0000-0000E1120000}"/>
    <cellStyle name="Output 6 9" xfId="4634" xr:uid="{00000000-0005-0000-0000-0000E2120000}"/>
    <cellStyle name="Output 7" xfId="4635" xr:uid="{00000000-0005-0000-0000-0000E3120000}"/>
    <cellStyle name="Output 7 10" xfId="4636" xr:uid="{00000000-0005-0000-0000-0000E4120000}"/>
    <cellStyle name="Output 7 11" xfId="4637" xr:uid="{00000000-0005-0000-0000-0000E5120000}"/>
    <cellStyle name="Output 7 12" xfId="4638" xr:uid="{00000000-0005-0000-0000-0000E6120000}"/>
    <cellStyle name="Output 7 2" xfId="4639" xr:uid="{00000000-0005-0000-0000-0000E7120000}"/>
    <cellStyle name="Output 7 3" xfId="4640" xr:uid="{00000000-0005-0000-0000-0000E8120000}"/>
    <cellStyle name="Output 7 4" xfId="4641" xr:uid="{00000000-0005-0000-0000-0000E9120000}"/>
    <cellStyle name="Output 7 5" xfId="4642" xr:uid="{00000000-0005-0000-0000-0000EA120000}"/>
    <cellStyle name="Output 7 6" xfId="4643" xr:uid="{00000000-0005-0000-0000-0000EB120000}"/>
    <cellStyle name="Output 7 7" xfId="4644" xr:uid="{00000000-0005-0000-0000-0000EC120000}"/>
    <cellStyle name="Output 7 8" xfId="4645" xr:uid="{00000000-0005-0000-0000-0000ED120000}"/>
    <cellStyle name="Output 7 9" xfId="4646" xr:uid="{00000000-0005-0000-0000-0000EE120000}"/>
    <cellStyle name="Output 8" xfId="4647" xr:uid="{00000000-0005-0000-0000-0000EF120000}"/>
    <cellStyle name="Output 8 10" xfId="4648" xr:uid="{00000000-0005-0000-0000-0000F0120000}"/>
    <cellStyle name="Output 8 11" xfId="4649" xr:uid="{00000000-0005-0000-0000-0000F1120000}"/>
    <cellStyle name="Output 8 12" xfId="4650" xr:uid="{00000000-0005-0000-0000-0000F2120000}"/>
    <cellStyle name="Output 8 2" xfId="4651" xr:uid="{00000000-0005-0000-0000-0000F3120000}"/>
    <cellStyle name="Output 8 3" xfId="4652" xr:uid="{00000000-0005-0000-0000-0000F4120000}"/>
    <cellStyle name="Output 8 4" xfId="4653" xr:uid="{00000000-0005-0000-0000-0000F5120000}"/>
    <cellStyle name="Output 8 5" xfId="4654" xr:uid="{00000000-0005-0000-0000-0000F6120000}"/>
    <cellStyle name="Output 8 6" xfId="4655" xr:uid="{00000000-0005-0000-0000-0000F7120000}"/>
    <cellStyle name="Output 8 7" xfId="4656" xr:uid="{00000000-0005-0000-0000-0000F8120000}"/>
    <cellStyle name="Output 8 8" xfId="4657" xr:uid="{00000000-0005-0000-0000-0000F9120000}"/>
    <cellStyle name="Output 8 9" xfId="4658" xr:uid="{00000000-0005-0000-0000-0000FA120000}"/>
    <cellStyle name="Output 9" xfId="4659" xr:uid="{00000000-0005-0000-0000-0000FB120000}"/>
    <cellStyle name="Percent 10" xfId="4660" xr:uid="{00000000-0005-0000-0000-0000FC120000}"/>
    <cellStyle name="Percent 11" xfId="4661" xr:uid="{00000000-0005-0000-0000-0000FD120000}"/>
    <cellStyle name="Percent 12" xfId="4662" xr:uid="{00000000-0005-0000-0000-0000FE120000}"/>
    <cellStyle name="Percent 13" xfId="4663" xr:uid="{00000000-0005-0000-0000-0000FF120000}"/>
    <cellStyle name="Percent 14" xfId="4664" xr:uid="{00000000-0005-0000-0000-000000130000}"/>
    <cellStyle name="Percent 15" xfId="4665" xr:uid="{00000000-0005-0000-0000-000001130000}"/>
    <cellStyle name="Percent 16" xfId="4666" xr:uid="{00000000-0005-0000-0000-000002130000}"/>
    <cellStyle name="Percent 17" xfId="4667" xr:uid="{00000000-0005-0000-0000-000003130000}"/>
    <cellStyle name="Percent 18" xfId="4668" xr:uid="{00000000-0005-0000-0000-000004130000}"/>
    <cellStyle name="Percent 19" xfId="4669" xr:uid="{00000000-0005-0000-0000-000005130000}"/>
    <cellStyle name="Percent 2" xfId="4670" xr:uid="{00000000-0005-0000-0000-000006130000}"/>
    <cellStyle name="Percent 2 10" xfId="4671" xr:uid="{00000000-0005-0000-0000-000007130000}"/>
    <cellStyle name="Percent 2 10 10" xfId="4672" xr:uid="{00000000-0005-0000-0000-000008130000}"/>
    <cellStyle name="Percent 2 10 11" xfId="4673" xr:uid="{00000000-0005-0000-0000-000009130000}"/>
    <cellStyle name="Percent 2 10 12" xfId="4674" xr:uid="{00000000-0005-0000-0000-00000A130000}"/>
    <cellStyle name="Percent 2 10 2" xfId="4675" xr:uid="{00000000-0005-0000-0000-00000B130000}"/>
    <cellStyle name="Percent 2 10 3" xfId="4676" xr:uid="{00000000-0005-0000-0000-00000C130000}"/>
    <cellStyle name="Percent 2 10 4" xfId="4677" xr:uid="{00000000-0005-0000-0000-00000D130000}"/>
    <cellStyle name="Percent 2 10 5" xfId="4678" xr:uid="{00000000-0005-0000-0000-00000E130000}"/>
    <cellStyle name="Percent 2 10 6" xfId="4679" xr:uid="{00000000-0005-0000-0000-00000F130000}"/>
    <cellStyle name="Percent 2 10 7" xfId="4680" xr:uid="{00000000-0005-0000-0000-000010130000}"/>
    <cellStyle name="Percent 2 10 8" xfId="4681" xr:uid="{00000000-0005-0000-0000-000011130000}"/>
    <cellStyle name="Percent 2 10 9" xfId="4682" xr:uid="{00000000-0005-0000-0000-000012130000}"/>
    <cellStyle name="Percent 2 11" xfId="4683" xr:uid="{00000000-0005-0000-0000-000013130000}"/>
    <cellStyle name="Percent 2 12" xfId="4684" xr:uid="{00000000-0005-0000-0000-000014130000}"/>
    <cellStyle name="Percent 2 13" xfId="4685" xr:uid="{00000000-0005-0000-0000-000015130000}"/>
    <cellStyle name="Percent 2 14" xfId="4686" xr:uid="{00000000-0005-0000-0000-000016130000}"/>
    <cellStyle name="Percent 2 15" xfId="4687" xr:uid="{00000000-0005-0000-0000-000017130000}"/>
    <cellStyle name="Percent 2 16" xfId="4688" xr:uid="{00000000-0005-0000-0000-000018130000}"/>
    <cellStyle name="Percent 2 17" xfId="4689" xr:uid="{00000000-0005-0000-0000-000019130000}"/>
    <cellStyle name="Percent 2 18" xfId="4690" xr:uid="{00000000-0005-0000-0000-00001A130000}"/>
    <cellStyle name="Percent 2 19" xfId="4691" xr:uid="{00000000-0005-0000-0000-00001B130000}"/>
    <cellStyle name="Percent 2 2" xfId="4692" xr:uid="{00000000-0005-0000-0000-00001C130000}"/>
    <cellStyle name="Percent 2 2 10" xfId="4693" xr:uid="{00000000-0005-0000-0000-00001D130000}"/>
    <cellStyle name="Percent 2 2 11" xfId="4694" xr:uid="{00000000-0005-0000-0000-00001E130000}"/>
    <cellStyle name="Percent 2 2 12" xfId="4695" xr:uid="{00000000-0005-0000-0000-00001F130000}"/>
    <cellStyle name="Percent 2 2 13" xfId="4696" xr:uid="{00000000-0005-0000-0000-000020130000}"/>
    <cellStyle name="Percent 2 2 2" xfId="4697" xr:uid="{00000000-0005-0000-0000-000021130000}"/>
    <cellStyle name="Percent 2 2 3" xfId="4698" xr:uid="{00000000-0005-0000-0000-000022130000}"/>
    <cellStyle name="Percent 2 2 4" xfId="4699" xr:uid="{00000000-0005-0000-0000-000023130000}"/>
    <cellStyle name="Percent 2 2 5" xfId="4700" xr:uid="{00000000-0005-0000-0000-000024130000}"/>
    <cellStyle name="Percent 2 2 6" xfId="4701" xr:uid="{00000000-0005-0000-0000-000025130000}"/>
    <cellStyle name="Percent 2 2 7" xfId="4702" xr:uid="{00000000-0005-0000-0000-000026130000}"/>
    <cellStyle name="Percent 2 2 8" xfId="4703" xr:uid="{00000000-0005-0000-0000-000027130000}"/>
    <cellStyle name="Percent 2 2 9" xfId="4704" xr:uid="{00000000-0005-0000-0000-000028130000}"/>
    <cellStyle name="Percent 2 20" xfId="4705" xr:uid="{00000000-0005-0000-0000-000029130000}"/>
    <cellStyle name="Percent 2 21" xfId="4706" xr:uid="{00000000-0005-0000-0000-00002A130000}"/>
    <cellStyle name="Percent 2 22" xfId="4707" xr:uid="{00000000-0005-0000-0000-00002B130000}"/>
    <cellStyle name="Percent 2 23" xfId="4708" xr:uid="{00000000-0005-0000-0000-00002C130000}"/>
    <cellStyle name="Percent 2 3" xfId="4709" xr:uid="{00000000-0005-0000-0000-00002D130000}"/>
    <cellStyle name="Percent 2 3 10" xfId="4710" xr:uid="{00000000-0005-0000-0000-00002E130000}"/>
    <cellStyle name="Percent 2 3 11" xfId="4711" xr:uid="{00000000-0005-0000-0000-00002F130000}"/>
    <cellStyle name="Percent 2 3 12" xfId="4712" xr:uid="{00000000-0005-0000-0000-000030130000}"/>
    <cellStyle name="Percent 2 3 2" xfId="4713" xr:uid="{00000000-0005-0000-0000-000031130000}"/>
    <cellStyle name="Percent 2 3 3" xfId="4714" xr:uid="{00000000-0005-0000-0000-000032130000}"/>
    <cellStyle name="Percent 2 3 4" xfId="4715" xr:uid="{00000000-0005-0000-0000-000033130000}"/>
    <cellStyle name="Percent 2 3 5" xfId="4716" xr:uid="{00000000-0005-0000-0000-000034130000}"/>
    <cellStyle name="Percent 2 3 6" xfId="4717" xr:uid="{00000000-0005-0000-0000-000035130000}"/>
    <cellStyle name="Percent 2 3 7" xfId="4718" xr:uid="{00000000-0005-0000-0000-000036130000}"/>
    <cellStyle name="Percent 2 3 8" xfId="4719" xr:uid="{00000000-0005-0000-0000-000037130000}"/>
    <cellStyle name="Percent 2 3 9" xfId="4720" xr:uid="{00000000-0005-0000-0000-000038130000}"/>
    <cellStyle name="Percent 2 4" xfId="4721" xr:uid="{00000000-0005-0000-0000-000039130000}"/>
    <cellStyle name="Percent 2 4 10" xfId="4722" xr:uid="{00000000-0005-0000-0000-00003A130000}"/>
    <cellStyle name="Percent 2 4 11" xfId="4723" xr:uid="{00000000-0005-0000-0000-00003B130000}"/>
    <cellStyle name="Percent 2 4 12" xfId="4724" xr:uid="{00000000-0005-0000-0000-00003C130000}"/>
    <cellStyle name="Percent 2 4 2" xfId="4725" xr:uid="{00000000-0005-0000-0000-00003D130000}"/>
    <cellStyle name="Percent 2 4 3" xfId="4726" xr:uid="{00000000-0005-0000-0000-00003E130000}"/>
    <cellStyle name="Percent 2 4 4" xfId="4727" xr:uid="{00000000-0005-0000-0000-00003F130000}"/>
    <cellStyle name="Percent 2 4 5" xfId="4728" xr:uid="{00000000-0005-0000-0000-000040130000}"/>
    <cellStyle name="Percent 2 4 6" xfId="4729" xr:uid="{00000000-0005-0000-0000-000041130000}"/>
    <cellStyle name="Percent 2 4 7" xfId="4730" xr:uid="{00000000-0005-0000-0000-000042130000}"/>
    <cellStyle name="Percent 2 4 8" xfId="4731" xr:uid="{00000000-0005-0000-0000-000043130000}"/>
    <cellStyle name="Percent 2 4 9" xfId="4732" xr:uid="{00000000-0005-0000-0000-000044130000}"/>
    <cellStyle name="Percent 2 5" xfId="4733" xr:uid="{00000000-0005-0000-0000-000045130000}"/>
    <cellStyle name="Percent 2 5 10" xfId="4734" xr:uid="{00000000-0005-0000-0000-000046130000}"/>
    <cellStyle name="Percent 2 5 11" xfId="4735" xr:uid="{00000000-0005-0000-0000-000047130000}"/>
    <cellStyle name="Percent 2 5 12" xfId="4736" xr:uid="{00000000-0005-0000-0000-000048130000}"/>
    <cellStyle name="Percent 2 5 2" xfId="4737" xr:uid="{00000000-0005-0000-0000-000049130000}"/>
    <cellStyle name="Percent 2 5 3" xfId="4738" xr:uid="{00000000-0005-0000-0000-00004A130000}"/>
    <cellStyle name="Percent 2 5 4" xfId="4739" xr:uid="{00000000-0005-0000-0000-00004B130000}"/>
    <cellStyle name="Percent 2 5 5" xfId="4740" xr:uid="{00000000-0005-0000-0000-00004C130000}"/>
    <cellStyle name="Percent 2 5 6" xfId="4741" xr:uid="{00000000-0005-0000-0000-00004D130000}"/>
    <cellStyle name="Percent 2 5 7" xfId="4742" xr:uid="{00000000-0005-0000-0000-00004E130000}"/>
    <cellStyle name="Percent 2 5 8" xfId="4743" xr:uid="{00000000-0005-0000-0000-00004F130000}"/>
    <cellStyle name="Percent 2 5 9" xfId="4744" xr:uid="{00000000-0005-0000-0000-000050130000}"/>
    <cellStyle name="Percent 2 6" xfId="4745" xr:uid="{00000000-0005-0000-0000-000051130000}"/>
    <cellStyle name="Percent 2 6 10" xfId="4746" xr:uid="{00000000-0005-0000-0000-000052130000}"/>
    <cellStyle name="Percent 2 6 11" xfId="4747" xr:uid="{00000000-0005-0000-0000-000053130000}"/>
    <cellStyle name="Percent 2 6 12" xfId="4748" xr:uid="{00000000-0005-0000-0000-000054130000}"/>
    <cellStyle name="Percent 2 6 2" xfId="4749" xr:uid="{00000000-0005-0000-0000-000055130000}"/>
    <cellStyle name="Percent 2 6 3" xfId="4750" xr:uid="{00000000-0005-0000-0000-000056130000}"/>
    <cellStyle name="Percent 2 6 4" xfId="4751" xr:uid="{00000000-0005-0000-0000-000057130000}"/>
    <cellStyle name="Percent 2 6 5" xfId="4752" xr:uid="{00000000-0005-0000-0000-000058130000}"/>
    <cellStyle name="Percent 2 6 6" xfId="4753" xr:uid="{00000000-0005-0000-0000-000059130000}"/>
    <cellStyle name="Percent 2 6 7" xfId="4754" xr:uid="{00000000-0005-0000-0000-00005A130000}"/>
    <cellStyle name="Percent 2 6 8" xfId="4755" xr:uid="{00000000-0005-0000-0000-00005B130000}"/>
    <cellStyle name="Percent 2 6 9" xfId="4756" xr:uid="{00000000-0005-0000-0000-00005C130000}"/>
    <cellStyle name="Percent 2 7" xfId="4757" xr:uid="{00000000-0005-0000-0000-00005D130000}"/>
    <cellStyle name="Percent 2 7 10" xfId="4758" xr:uid="{00000000-0005-0000-0000-00005E130000}"/>
    <cellStyle name="Percent 2 7 11" xfId="4759" xr:uid="{00000000-0005-0000-0000-00005F130000}"/>
    <cellStyle name="Percent 2 7 12" xfId="4760" xr:uid="{00000000-0005-0000-0000-000060130000}"/>
    <cellStyle name="Percent 2 7 2" xfId="4761" xr:uid="{00000000-0005-0000-0000-000061130000}"/>
    <cellStyle name="Percent 2 7 3" xfId="4762" xr:uid="{00000000-0005-0000-0000-000062130000}"/>
    <cellStyle name="Percent 2 7 4" xfId="4763" xr:uid="{00000000-0005-0000-0000-000063130000}"/>
    <cellStyle name="Percent 2 7 5" xfId="4764" xr:uid="{00000000-0005-0000-0000-000064130000}"/>
    <cellStyle name="Percent 2 7 6" xfId="4765" xr:uid="{00000000-0005-0000-0000-000065130000}"/>
    <cellStyle name="Percent 2 7 7" xfId="4766" xr:uid="{00000000-0005-0000-0000-000066130000}"/>
    <cellStyle name="Percent 2 7 8" xfId="4767" xr:uid="{00000000-0005-0000-0000-000067130000}"/>
    <cellStyle name="Percent 2 7 9" xfId="4768" xr:uid="{00000000-0005-0000-0000-000068130000}"/>
    <cellStyle name="Percent 2 8" xfId="4769" xr:uid="{00000000-0005-0000-0000-000069130000}"/>
    <cellStyle name="Percent 2 8 10" xfId="4770" xr:uid="{00000000-0005-0000-0000-00006A130000}"/>
    <cellStyle name="Percent 2 8 11" xfId="4771" xr:uid="{00000000-0005-0000-0000-00006B130000}"/>
    <cellStyle name="Percent 2 8 12" xfId="4772" xr:uid="{00000000-0005-0000-0000-00006C130000}"/>
    <cellStyle name="Percent 2 8 2" xfId="4773" xr:uid="{00000000-0005-0000-0000-00006D130000}"/>
    <cellStyle name="Percent 2 8 3" xfId="4774" xr:uid="{00000000-0005-0000-0000-00006E130000}"/>
    <cellStyle name="Percent 2 8 4" xfId="4775" xr:uid="{00000000-0005-0000-0000-00006F130000}"/>
    <cellStyle name="Percent 2 8 5" xfId="4776" xr:uid="{00000000-0005-0000-0000-000070130000}"/>
    <cellStyle name="Percent 2 8 6" xfId="4777" xr:uid="{00000000-0005-0000-0000-000071130000}"/>
    <cellStyle name="Percent 2 8 7" xfId="4778" xr:uid="{00000000-0005-0000-0000-000072130000}"/>
    <cellStyle name="Percent 2 8 8" xfId="4779" xr:uid="{00000000-0005-0000-0000-000073130000}"/>
    <cellStyle name="Percent 2 8 9" xfId="4780" xr:uid="{00000000-0005-0000-0000-000074130000}"/>
    <cellStyle name="Percent 2 9" xfId="4781" xr:uid="{00000000-0005-0000-0000-000075130000}"/>
    <cellStyle name="Percent 2 9 10" xfId="4782" xr:uid="{00000000-0005-0000-0000-000076130000}"/>
    <cellStyle name="Percent 2 9 11" xfId="4783" xr:uid="{00000000-0005-0000-0000-000077130000}"/>
    <cellStyle name="Percent 2 9 12" xfId="4784" xr:uid="{00000000-0005-0000-0000-000078130000}"/>
    <cellStyle name="Percent 2 9 2" xfId="4785" xr:uid="{00000000-0005-0000-0000-000079130000}"/>
    <cellStyle name="Percent 2 9 3" xfId="4786" xr:uid="{00000000-0005-0000-0000-00007A130000}"/>
    <cellStyle name="Percent 2 9 4" xfId="4787" xr:uid="{00000000-0005-0000-0000-00007B130000}"/>
    <cellStyle name="Percent 2 9 5" xfId="4788" xr:uid="{00000000-0005-0000-0000-00007C130000}"/>
    <cellStyle name="Percent 2 9 6" xfId="4789" xr:uid="{00000000-0005-0000-0000-00007D130000}"/>
    <cellStyle name="Percent 2 9 7" xfId="4790" xr:uid="{00000000-0005-0000-0000-00007E130000}"/>
    <cellStyle name="Percent 2 9 8" xfId="4791" xr:uid="{00000000-0005-0000-0000-00007F130000}"/>
    <cellStyle name="Percent 2 9 9" xfId="4792" xr:uid="{00000000-0005-0000-0000-000080130000}"/>
    <cellStyle name="Percent 20" xfId="4793" xr:uid="{00000000-0005-0000-0000-000081130000}"/>
    <cellStyle name="Percent 21" xfId="4794" xr:uid="{00000000-0005-0000-0000-000082130000}"/>
    <cellStyle name="Percent 22" xfId="4795" xr:uid="{00000000-0005-0000-0000-000083130000}"/>
    <cellStyle name="Percent 23" xfId="4796" xr:uid="{00000000-0005-0000-0000-000084130000}"/>
    <cellStyle name="Percent 24" xfId="4797" xr:uid="{00000000-0005-0000-0000-000085130000}"/>
    <cellStyle name="Percent 25" xfId="4798" xr:uid="{00000000-0005-0000-0000-000086130000}"/>
    <cellStyle name="Percent 26" xfId="4799" xr:uid="{00000000-0005-0000-0000-000087130000}"/>
    <cellStyle name="Percent 27" xfId="4800" xr:uid="{00000000-0005-0000-0000-000088130000}"/>
    <cellStyle name="Percent 3" xfId="4801" xr:uid="{00000000-0005-0000-0000-000089130000}"/>
    <cellStyle name="Percent 4" xfId="4802" xr:uid="{00000000-0005-0000-0000-00008A130000}"/>
    <cellStyle name="Percent 5" xfId="4803" xr:uid="{00000000-0005-0000-0000-00008B130000}"/>
    <cellStyle name="Percent 5 2" xfId="4804" xr:uid="{00000000-0005-0000-0000-00008C130000}"/>
    <cellStyle name="Percent 6" xfId="4805" xr:uid="{00000000-0005-0000-0000-00008D130000}"/>
    <cellStyle name="Percent 7" xfId="4806" xr:uid="{00000000-0005-0000-0000-00008E130000}"/>
    <cellStyle name="Percent 8" xfId="4807" xr:uid="{00000000-0005-0000-0000-00008F130000}"/>
    <cellStyle name="Percent 9" xfId="4808" xr:uid="{00000000-0005-0000-0000-000090130000}"/>
    <cellStyle name="Percentual" xfId="4809" xr:uid="{00000000-0005-0000-0000-000091130000}"/>
    <cellStyle name="Ponto" xfId="4810" xr:uid="{00000000-0005-0000-0000-000092130000}"/>
    <cellStyle name="Porcentagem" xfId="3" builtinId="5"/>
    <cellStyle name="Porcentagem 10" xfId="4811" xr:uid="{00000000-0005-0000-0000-000094130000}"/>
    <cellStyle name="Porcentagem 11" xfId="4812" xr:uid="{00000000-0005-0000-0000-000095130000}"/>
    <cellStyle name="Porcentagem 12" xfId="4813" xr:uid="{00000000-0005-0000-0000-000096130000}"/>
    <cellStyle name="Porcentagem 13" xfId="4814" xr:uid="{00000000-0005-0000-0000-000097130000}"/>
    <cellStyle name="Porcentagem 14" xfId="4815" xr:uid="{00000000-0005-0000-0000-000098130000}"/>
    <cellStyle name="Porcentagem 15" xfId="4816" xr:uid="{00000000-0005-0000-0000-000099130000}"/>
    <cellStyle name="Porcentagem 16" xfId="5241" xr:uid="{00000000-0005-0000-0000-00009A130000}"/>
    <cellStyle name="Porcentagem 2" xfId="7" xr:uid="{00000000-0005-0000-0000-00009B130000}"/>
    <cellStyle name="Porcentagem 2 10" xfId="4817" xr:uid="{00000000-0005-0000-0000-00009C130000}"/>
    <cellStyle name="Porcentagem 2 11" xfId="4818" xr:uid="{00000000-0005-0000-0000-00009D130000}"/>
    <cellStyle name="Porcentagem 2 12" xfId="4819" xr:uid="{00000000-0005-0000-0000-00009E130000}"/>
    <cellStyle name="Porcentagem 2 13" xfId="4820" xr:uid="{00000000-0005-0000-0000-00009F130000}"/>
    <cellStyle name="Porcentagem 2 14" xfId="4821" xr:uid="{00000000-0005-0000-0000-0000A0130000}"/>
    <cellStyle name="Porcentagem 2 15" xfId="4822" xr:uid="{00000000-0005-0000-0000-0000A1130000}"/>
    <cellStyle name="Porcentagem 2 16" xfId="4823" xr:uid="{00000000-0005-0000-0000-0000A2130000}"/>
    <cellStyle name="Porcentagem 2 17" xfId="4824" xr:uid="{00000000-0005-0000-0000-0000A3130000}"/>
    <cellStyle name="Porcentagem 2 18" xfId="4825" xr:uid="{00000000-0005-0000-0000-0000A4130000}"/>
    <cellStyle name="Porcentagem 2 19" xfId="4826" xr:uid="{00000000-0005-0000-0000-0000A5130000}"/>
    <cellStyle name="Porcentagem 2 2" xfId="4827" xr:uid="{00000000-0005-0000-0000-0000A6130000}"/>
    <cellStyle name="Porcentagem 2 20" xfId="4828" xr:uid="{00000000-0005-0000-0000-0000A7130000}"/>
    <cellStyle name="Porcentagem 2 21" xfId="4829" xr:uid="{00000000-0005-0000-0000-0000A8130000}"/>
    <cellStyle name="Porcentagem 2 22" xfId="4830" xr:uid="{00000000-0005-0000-0000-0000A9130000}"/>
    <cellStyle name="Porcentagem 2 23" xfId="4831" xr:uid="{00000000-0005-0000-0000-0000AA130000}"/>
    <cellStyle name="Porcentagem 2 24" xfId="4832" xr:uid="{00000000-0005-0000-0000-0000AB130000}"/>
    <cellStyle name="Porcentagem 2 3" xfId="4833" xr:uid="{00000000-0005-0000-0000-0000AC130000}"/>
    <cellStyle name="Porcentagem 2 4" xfId="4834" xr:uid="{00000000-0005-0000-0000-0000AD130000}"/>
    <cellStyle name="Porcentagem 2 5" xfId="4835" xr:uid="{00000000-0005-0000-0000-0000AE130000}"/>
    <cellStyle name="Porcentagem 2 6" xfId="4836" xr:uid="{00000000-0005-0000-0000-0000AF130000}"/>
    <cellStyle name="Porcentagem 2 7" xfId="4837" xr:uid="{00000000-0005-0000-0000-0000B0130000}"/>
    <cellStyle name="Porcentagem 2 8" xfId="4838" xr:uid="{00000000-0005-0000-0000-0000B1130000}"/>
    <cellStyle name="Porcentagem 2 9" xfId="4839" xr:uid="{00000000-0005-0000-0000-0000B2130000}"/>
    <cellStyle name="Porcentagem 3" xfId="4840" xr:uid="{00000000-0005-0000-0000-0000B3130000}"/>
    <cellStyle name="Porcentagem 3 2" xfId="4841" xr:uid="{00000000-0005-0000-0000-0000B4130000}"/>
    <cellStyle name="Porcentagem 3 3" xfId="4842" xr:uid="{00000000-0005-0000-0000-0000B5130000}"/>
    <cellStyle name="Porcentagem 3 4" xfId="4843" xr:uid="{00000000-0005-0000-0000-0000B6130000}"/>
    <cellStyle name="Porcentagem 4" xfId="4844" xr:uid="{00000000-0005-0000-0000-0000B7130000}"/>
    <cellStyle name="Porcentagem 4 2" xfId="4845" xr:uid="{00000000-0005-0000-0000-0000B8130000}"/>
    <cellStyle name="Porcentagem 4 3" xfId="4846" xr:uid="{00000000-0005-0000-0000-0000B9130000}"/>
    <cellStyle name="Porcentagem 5" xfId="4847" xr:uid="{00000000-0005-0000-0000-0000BA130000}"/>
    <cellStyle name="Porcentagem 5 2" xfId="4848" xr:uid="{00000000-0005-0000-0000-0000BB130000}"/>
    <cellStyle name="Porcentagem 6" xfId="4849" xr:uid="{00000000-0005-0000-0000-0000BC130000}"/>
    <cellStyle name="Porcentagem 7" xfId="4850" xr:uid="{00000000-0005-0000-0000-0000BD130000}"/>
    <cellStyle name="Porcentagem 7 2" xfId="4851" xr:uid="{00000000-0005-0000-0000-0000BE130000}"/>
    <cellStyle name="Porcentagem 8" xfId="4852" xr:uid="{00000000-0005-0000-0000-0000BF130000}"/>
    <cellStyle name="Porcentagem 8 2" xfId="4853" xr:uid="{00000000-0005-0000-0000-0000C0130000}"/>
    <cellStyle name="Porcentagem 8 2 2" xfId="4854" xr:uid="{00000000-0005-0000-0000-0000C1130000}"/>
    <cellStyle name="Porcentagem 9" xfId="4855" xr:uid="{00000000-0005-0000-0000-0000C2130000}"/>
    <cellStyle name="Porcentual_PlazoRend-II01" xfId="4856" xr:uid="{00000000-0005-0000-0000-0000C3130000}"/>
    <cellStyle name="RightNumber" xfId="4857" xr:uid="{00000000-0005-0000-0000-0000C4130000}"/>
    <cellStyle name="rodape" xfId="4858" xr:uid="{00000000-0005-0000-0000-0000C5130000}"/>
    <cellStyle name="Saída 10" xfId="4859" xr:uid="{00000000-0005-0000-0000-0000C6130000}"/>
    <cellStyle name="Saída 11" xfId="4860" xr:uid="{00000000-0005-0000-0000-0000C7130000}"/>
    <cellStyle name="Saída 12" xfId="4861" xr:uid="{00000000-0005-0000-0000-0000C8130000}"/>
    <cellStyle name="Saída 13" xfId="4862" xr:uid="{00000000-0005-0000-0000-0000C9130000}"/>
    <cellStyle name="Saída 14" xfId="4863" xr:uid="{00000000-0005-0000-0000-0000CA130000}"/>
    <cellStyle name="Saída 15" xfId="4864" xr:uid="{00000000-0005-0000-0000-0000CB130000}"/>
    <cellStyle name="Saída 16" xfId="4865" xr:uid="{00000000-0005-0000-0000-0000CC130000}"/>
    <cellStyle name="Saída 2" xfId="4866" xr:uid="{00000000-0005-0000-0000-0000CD130000}"/>
    <cellStyle name="Saída 3" xfId="4867" xr:uid="{00000000-0005-0000-0000-0000CE130000}"/>
    <cellStyle name="Saída 4" xfId="4868" xr:uid="{00000000-0005-0000-0000-0000CF130000}"/>
    <cellStyle name="Saída 5" xfId="4869" xr:uid="{00000000-0005-0000-0000-0000D0130000}"/>
    <cellStyle name="Saída 6" xfId="4870" xr:uid="{00000000-0005-0000-0000-0000D1130000}"/>
    <cellStyle name="Saída 7" xfId="4871" xr:uid="{00000000-0005-0000-0000-0000D2130000}"/>
    <cellStyle name="Saída 8" xfId="4872" xr:uid="{00000000-0005-0000-0000-0000D3130000}"/>
    <cellStyle name="Saída 9" xfId="4873" xr:uid="{00000000-0005-0000-0000-0000D4130000}"/>
    <cellStyle name="Sep. milhar [0]" xfId="4874" xr:uid="{00000000-0005-0000-0000-0000D5130000}"/>
    <cellStyle name="Sep. milhar [2]" xfId="4875" xr:uid="{00000000-0005-0000-0000-0000D6130000}"/>
    <cellStyle name="Separador de m" xfId="4876" xr:uid="{00000000-0005-0000-0000-0000D7130000}"/>
    <cellStyle name="Separador de milhares 10" xfId="4877" xr:uid="{00000000-0005-0000-0000-0000D8130000}"/>
    <cellStyle name="Separador de milhares 10 2 2" xfId="4878" xr:uid="{00000000-0005-0000-0000-0000D9130000}"/>
    <cellStyle name="Separador de milhares 12" xfId="4879" xr:uid="{00000000-0005-0000-0000-0000DA130000}"/>
    <cellStyle name="Separador de milhares 14" xfId="4880" xr:uid="{00000000-0005-0000-0000-0000DB130000}"/>
    <cellStyle name="Separador de milhares 2" xfId="4881" xr:uid="{00000000-0005-0000-0000-0000DC130000}"/>
    <cellStyle name="Separador de milhares 2 10" xfId="4882" xr:uid="{00000000-0005-0000-0000-0000DD130000}"/>
    <cellStyle name="Separador de milhares 2 11" xfId="4883" xr:uid="{00000000-0005-0000-0000-0000DE130000}"/>
    <cellStyle name="Separador de milhares 2 12" xfId="4884" xr:uid="{00000000-0005-0000-0000-0000DF130000}"/>
    <cellStyle name="Separador de milhares 2 13" xfId="4885" xr:uid="{00000000-0005-0000-0000-0000E0130000}"/>
    <cellStyle name="Separador de milhares 2 14" xfId="4886" xr:uid="{00000000-0005-0000-0000-0000E1130000}"/>
    <cellStyle name="Separador de milhares 2 15" xfId="4887" xr:uid="{00000000-0005-0000-0000-0000E2130000}"/>
    <cellStyle name="Separador de milhares 2 2" xfId="4888" xr:uid="{00000000-0005-0000-0000-0000E3130000}"/>
    <cellStyle name="Separador de milhares 2 2 2" xfId="4889" xr:uid="{00000000-0005-0000-0000-0000E4130000}"/>
    <cellStyle name="Separador de milhares 2 2 2 4" xfId="4890" xr:uid="{00000000-0005-0000-0000-0000E5130000}"/>
    <cellStyle name="Separador de milhares 2 2 3" xfId="4891" xr:uid="{00000000-0005-0000-0000-0000E6130000}"/>
    <cellStyle name="Separador de milhares 2 3" xfId="4892" xr:uid="{00000000-0005-0000-0000-0000E7130000}"/>
    <cellStyle name="Separador de milhares 2 30" xfId="4893" xr:uid="{00000000-0005-0000-0000-0000E8130000}"/>
    <cellStyle name="Separador de milhares 2 4" xfId="4894" xr:uid="{00000000-0005-0000-0000-0000E9130000}"/>
    <cellStyle name="Separador de milhares 2 5" xfId="4895" xr:uid="{00000000-0005-0000-0000-0000EA130000}"/>
    <cellStyle name="Separador de milhares 2 5 2" xfId="4896" xr:uid="{00000000-0005-0000-0000-0000EB130000}"/>
    <cellStyle name="Separador de milhares 2 5 2 2" xfId="4897" xr:uid="{00000000-0005-0000-0000-0000EC130000}"/>
    <cellStyle name="Separador de milhares 2 6" xfId="4898" xr:uid="{00000000-0005-0000-0000-0000ED130000}"/>
    <cellStyle name="Separador de milhares 2 6 2" xfId="4899" xr:uid="{00000000-0005-0000-0000-0000EE130000}"/>
    <cellStyle name="Separador de milhares 2 7" xfId="4900" xr:uid="{00000000-0005-0000-0000-0000EF130000}"/>
    <cellStyle name="Separador de milhares 2 8" xfId="4901" xr:uid="{00000000-0005-0000-0000-0000F0130000}"/>
    <cellStyle name="Separador de milhares 2 9" xfId="4902" xr:uid="{00000000-0005-0000-0000-0000F1130000}"/>
    <cellStyle name="Separador de milhares 3" xfId="4903" xr:uid="{00000000-0005-0000-0000-0000F2130000}"/>
    <cellStyle name="Separador de milhares 3 2" xfId="4904" xr:uid="{00000000-0005-0000-0000-0000F3130000}"/>
    <cellStyle name="Separador de milhares 3 3" xfId="4905" xr:uid="{00000000-0005-0000-0000-0000F4130000}"/>
    <cellStyle name="Separador de milhares 4" xfId="4906" xr:uid="{00000000-0005-0000-0000-0000F5130000}"/>
    <cellStyle name="Separador de milhares 4 2" xfId="4907" xr:uid="{00000000-0005-0000-0000-0000F6130000}"/>
    <cellStyle name="Separador de milhares 5" xfId="4908" xr:uid="{00000000-0005-0000-0000-0000F7130000}"/>
    <cellStyle name="Separador de milhares 5 2" xfId="4909" xr:uid="{00000000-0005-0000-0000-0000F8130000}"/>
    <cellStyle name="Separador de milhares 6" xfId="4910" xr:uid="{00000000-0005-0000-0000-0000F9130000}"/>
    <cellStyle name="Separador de milhares 6 2" xfId="4911" xr:uid="{00000000-0005-0000-0000-0000FA130000}"/>
    <cellStyle name="Separador de milhares 7" xfId="4912" xr:uid="{00000000-0005-0000-0000-0000FB130000}"/>
    <cellStyle name="Separador de milhares 7 2" xfId="4913" xr:uid="{00000000-0005-0000-0000-0000FC130000}"/>
    <cellStyle name="Separador de milhares 8" xfId="4914" xr:uid="{00000000-0005-0000-0000-0000FD130000}"/>
    <cellStyle name="Texto de Aviso 10" xfId="4915" xr:uid="{00000000-0005-0000-0000-0000FE130000}"/>
    <cellStyle name="Texto de Aviso 11" xfId="4916" xr:uid="{00000000-0005-0000-0000-0000FF130000}"/>
    <cellStyle name="Texto de Aviso 12" xfId="4917" xr:uid="{00000000-0005-0000-0000-000000140000}"/>
    <cellStyle name="Texto de Aviso 13" xfId="4918" xr:uid="{00000000-0005-0000-0000-000001140000}"/>
    <cellStyle name="Texto de Aviso 14" xfId="4919" xr:uid="{00000000-0005-0000-0000-000002140000}"/>
    <cellStyle name="Texto de Aviso 15" xfId="4920" xr:uid="{00000000-0005-0000-0000-000003140000}"/>
    <cellStyle name="Texto de Aviso 16" xfId="4921" xr:uid="{00000000-0005-0000-0000-000004140000}"/>
    <cellStyle name="Texto de Aviso 2" xfId="4922" xr:uid="{00000000-0005-0000-0000-000005140000}"/>
    <cellStyle name="Texto de Aviso 3" xfId="4923" xr:uid="{00000000-0005-0000-0000-000006140000}"/>
    <cellStyle name="Texto de Aviso 4" xfId="4924" xr:uid="{00000000-0005-0000-0000-000007140000}"/>
    <cellStyle name="Texto de Aviso 5" xfId="4925" xr:uid="{00000000-0005-0000-0000-000008140000}"/>
    <cellStyle name="Texto de Aviso 6" xfId="4926" xr:uid="{00000000-0005-0000-0000-000009140000}"/>
    <cellStyle name="Texto de Aviso 7" xfId="4927" xr:uid="{00000000-0005-0000-0000-00000A140000}"/>
    <cellStyle name="Texto de Aviso 8" xfId="4928" xr:uid="{00000000-0005-0000-0000-00000B140000}"/>
    <cellStyle name="Texto de Aviso 9" xfId="4929" xr:uid="{00000000-0005-0000-0000-00000C140000}"/>
    <cellStyle name="Texto Explicativo 10" xfId="4930" xr:uid="{00000000-0005-0000-0000-00000D140000}"/>
    <cellStyle name="Texto Explicativo 11" xfId="4931" xr:uid="{00000000-0005-0000-0000-00000E140000}"/>
    <cellStyle name="Texto Explicativo 12" xfId="4932" xr:uid="{00000000-0005-0000-0000-00000F140000}"/>
    <cellStyle name="Texto Explicativo 13" xfId="4933" xr:uid="{00000000-0005-0000-0000-000010140000}"/>
    <cellStyle name="Texto Explicativo 14" xfId="4934" xr:uid="{00000000-0005-0000-0000-000011140000}"/>
    <cellStyle name="Texto Explicativo 15" xfId="4935" xr:uid="{00000000-0005-0000-0000-000012140000}"/>
    <cellStyle name="Texto Explicativo 16" xfId="4936" xr:uid="{00000000-0005-0000-0000-000013140000}"/>
    <cellStyle name="Texto Explicativo 2" xfId="4937" xr:uid="{00000000-0005-0000-0000-000014140000}"/>
    <cellStyle name="Texto Explicativo 3" xfId="4938" xr:uid="{00000000-0005-0000-0000-000015140000}"/>
    <cellStyle name="Texto Explicativo 4" xfId="4939" xr:uid="{00000000-0005-0000-0000-000016140000}"/>
    <cellStyle name="Texto Explicativo 5" xfId="4940" xr:uid="{00000000-0005-0000-0000-000017140000}"/>
    <cellStyle name="Texto Explicativo 6" xfId="4941" xr:uid="{00000000-0005-0000-0000-000018140000}"/>
    <cellStyle name="Texto Explicativo 7" xfId="4942" xr:uid="{00000000-0005-0000-0000-000019140000}"/>
    <cellStyle name="Texto Explicativo 8" xfId="4943" xr:uid="{00000000-0005-0000-0000-00001A140000}"/>
    <cellStyle name="Texto Explicativo 9" xfId="4944" xr:uid="{00000000-0005-0000-0000-00001B140000}"/>
    <cellStyle name="Title 2" xfId="4945" xr:uid="{00000000-0005-0000-0000-00001C140000}"/>
    <cellStyle name="Title 2 10" xfId="4946" xr:uid="{00000000-0005-0000-0000-00001D140000}"/>
    <cellStyle name="Title 2 11" xfId="4947" xr:uid="{00000000-0005-0000-0000-00001E140000}"/>
    <cellStyle name="Title 2 12" xfId="4948" xr:uid="{00000000-0005-0000-0000-00001F140000}"/>
    <cellStyle name="Title 2 2" xfId="4949" xr:uid="{00000000-0005-0000-0000-000020140000}"/>
    <cellStyle name="Title 2 2 10" xfId="4950" xr:uid="{00000000-0005-0000-0000-000021140000}"/>
    <cellStyle name="Title 2 2 11" xfId="4951" xr:uid="{00000000-0005-0000-0000-000022140000}"/>
    <cellStyle name="Title 2 2 12" xfId="4952" xr:uid="{00000000-0005-0000-0000-000023140000}"/>
    <cellStyle name="Title 2 2 2" xfId="4953" xr:uid="{00000000-0005-0000-0000-000024140000}"/>
    <cellStyle name="Title 2 2 3" xfId="4954" xr:uid="{00000000-0005-0000-0000-000025140000}"/>
    <cellStyle name="Title 2 2 4" xfId="4955" xr:uid="{00000000-0005-0000-0000-000026140000}"/>
    <cellStyle name="Title 2 2 5" xfId="4956" xr:uid="{00000000-0005-0000-0000-000027140000}"/>
    <cellStyle name="Title 2 2 6" xfId="4957" xr:uid="{00000000-0005-0000-0000-000028140000}"/>
    <cellStyle name="Title 2 2 7" xfId="4958" xr:uid="{00000000-0005-0000-0000-000029140000}"/>
    <cellStyle name="Title 2 2 8" xfId="4959" xr:uid="{00000000-0005-0000-0000-00002A140000}"/>
    <cellStyle name="Title 2 2 9" xfId="4960" xr:uid="{00000000-0005-0000-0000-00002B140000}"/>
    <cellStyle name="Title 2 3" xfId="4961" xr:uid="{00000000-0005-0000-0000-00002C140000}"/>
    <cellStyle name="Title 2 4" xfId="4962" xr:uid="{00000000-0005-0000-0000-00002D140000}"/>
    <cellStyle name="Title 2 5" xfId="4963" xr:uid="{00000000-0005-0000-0000-00002E140000}"/>
    <cellStyle name="Title 2 6" xfId="4964" xr:uid="{00000000-0005-0000-0000-00002F140000}"/>
    <cellStyle name="Title 2 7" xfId="4965" xr:uid="{00000000-0005-0000-0000-000030140000}"/>
    <cellStyle name="Title 2 8" xfId="4966" xr:uid="{00000000-0005-0000-0000-000031140000}"/>
    <cellStyle name="Title 2 9" xfId="4967" xr:uid="{00000000-0005-0000-0000-000032140000}"/>
    <cellStyle name="Title 2_ContasExternas" xfId="4968" xr:uid="{00000000-0005-0000-0000-000033140000}"/>
    <cellStyle name="Title 3" xfId="4969" xr:uid="{00000000-0005-0000-0000-000034140000}"/>
    <cellStyle name="Title 3 10" xfId="4970" xr:uid="{00000000-0005-0000-0000-000035140000}"/>
    <cellStyle name="Title 3 11" xfId="4971" xr:uid="{00000000-0005-0000-0000-000036140000}"/>
    <cellStyle name="Title 3 12" xfId="4972" xr:uid="{00000000-0005-0000-0000-000037140000}"/>
    <cellStyle name="Title 3 2" xfId="4973" xr:uid="{00000000-0005-0000-0000-000038140000}"/>
    <cellStyle name="Title 3 3" xfId="4974" xr:uid="{00000000-0005-0000-0000-000039140000}"/>
    <cellStyle name="Title 3 4" xfId="4975" xr:uid="{00000000-0005-0000-0000-00003A140000}"/>
    <cellStyle name="Title 3 5" xfId="4976" xr:uid="{00000000-0005-0000-0000-00003B140000}"/>
    <cellStyle name="Title 3 6" xfId="4977" xr:uid="{00000000-0005-0000-0000-00003C140000}"/>
    <cellStyle name="Title 3 7" xfId="4978" xr:uid="{00000000-0005-0000-0000-00003D140000}"/>
    <cellStyle name="Title 3 8" xfId="4979" xr:uid="{00000000-0005-0000-0000-00003E140000}"/>
    <cellStyle name="Title 3 9" xfId="4980" xr:uid="{00000000-0005-0000-0000-00003F140000}"/>
    <cellStyle name="Title 3_ContasExternas" xfId="4981" xr:uid="{00000000-0005-0000-0000-000040140000}"/>
    <cellStyle name="Title 4" xfId="4982" xr:uid="{00000000-0005-0000-0000-000041140000}"/>
    <cellStyle name="Title 4 10" xfId="4983" xr:uid="{00000000-0005-0000-0000-000042140000}"/>
    <cellStyle name="Title 4 11" xfId="4984" xr:uid="{00000000-0005-0000-0000-000043140000}"/>
    <cellStyle name="Title 4 12" xfId="4985" xr:uid="{00000000-0005-0000-0000-000044140000}"/>
    <cellStyle name="Title 4 2" xfId="4986" xr:uid="{00000000-0005-0000-0000-000045140000}"/>
    <cellStyle name="Title 4 3" xfId="4987" xr:uid="{00000000-0005-0000-0000-000046140000}"/>
    <cellStyle name="Title 4 4" xfId="4988" xr:uid="{00000000-0005-0000-0000-000047140000}"/>
    <cellStyle name="Title 4 5" xfId="4989" xr:uid="{00000000-0005-0000-0000-000048140000}"/>
    <cellStyle name="Title 4 6" xfId="4990" xr:uid="{00000000-0005-0000-0000-000049140000}"/>
    <cellStyle name="Title 4 7" xfId="4991" xr:uid="{00000000-0005-0000-0000-00004A140000}"/>
    <cellStyle name="Title 4 8" xfId="4992" xr:uid="{00000000-0005-0000-0000-00004B140000}"/>
    <cellStyle name="Title 4 9" xfId="4993" xr:uid="{00000000-0005-0000-0000-00004C140000}"/>
    <cellStyle name="Title 4_ContasExternas" xfId="4994" xr:uid="{00000000-0005-0000-0000-00004D140000}"/>
    <cellStyle name="Title 5" xfId="4995" xr:uid="{00000000-0005-0000-0000-00004E140000}"/>
    <cellStyle name="Title 6" xfId="4996" xr:uid="{00000000-0005-0000-0000-00004F140000}"/>
    <cellStyle name="Title 7" xfId="4997" xr:uid="{00000000-0005-0000-0000-000050140000}"/>
    <cellStyle name="Titulo" xfId="4998" xr:uid="{00000000-0005-0000-0000-000051140000}"/>
    <cellStyle name="Título 1 10" xfId="4999" xr:uid="{00000000-0005-0000-0000-000052140000}"/>
    <cellStyle name="Título 1 11" xfId="5000" xr:uid="{00000000-0005-0000-0000-000053140000}"/>
    <cellStyle name="Título 1 12" xfId="5001" xr:uid="{00000000-0005-0000-0000-000054140000}"/>
    <cellStyle name="Título 1 13" xfId="5002" xr:uid="{00000000-0005-0000-0000-000055140000}"/>
    <cellStyle name="Título 1 14" xfId="5003" xr:uid="{00000000-0005-0000-0000-000056140000}"/>
    <cellStyle name="Título 1 15" xfId="5004" xr:uid="{00000000-0005-0000-0000-000057140000}"/>
    <cellStyle name="Título 1 16" xfId="5005" xr:uid="{00000000-0005-0000-0000-000058140000}"/>
    <cellStyle name="Título 1 2" xfId="5006" xr:uid="{00000000-0005-0000-0000-000059140000}"/>
    <cellStyle name="Título 1 3" xfId="5007" xr:uid="{00000000-0005-0000-0000-00005A140000}"/>
    <cellStyle name="Título 1 4" xfId="5008" xr:uid="{00000000-0005-0000-0000-00005B140000}"/>
    <cellStyle name="Título 1 5" xfId="5009" xr:uid="{00000000-0005-0000-0000-00005C140000}"/>
    <cellStyle name="Título 1 6" xfId="5010" xr:uid="{00000000-0005-0000-0000-00005D140000}"/>
    <cellStyle name="Título 1 7" xfId="5011" xr:uid="{00000000-0005-0000-0000-00005E140000}"/>
    <cellStyle name="Título 1 8" xfId="5012" xr:uid="{00000000-0005-0000-0000-00005F140000}"/>
    <cellStyle name="Título 1 9" xfId="5013" xr:uid="{00000000-0005-0000-0000-000060140000}"/>
    <cellStyle name="Título 2 10" xfId="5014" xr:uid="{00000000-0005-0000-0000-000061140000}"/>
    <cellStyle name="Título 2 11" xfId="5015" xr:uid="{00000000-0005-0000-0000-000062140000}"/>
    <cellStyle name="Título 2 12" xfId="5016" xr:uid="{00000000-0005-0000-0000-000063140000}"/>
    <cellStyle name="Título 2 13" xfId="5017" xr:uid="{00000000-0005-0000-0000-000064140000}"/>
    <cellStyle name="Título 2 14" xfId="5018" xr:uid="{00000000-0005-0000-0000-000065140000}"/>
    <cellStyle name="Título 2 15" xfId="5019" xr:uid="{00000000-0005-0000-0000-000066140000}"/>
    <cellStyle name="Título 2 16" xfId="5020" xr:uid="{00000000-0005-0000-0000-000067140000}"/>
    <cellStyle name="Título 2 2" xfId="5021" xr:uid="{00000000-0005-0000-0000-000068140000}"/>
    <cellStyle name="Título 2 3" xfId="5022" xr:uid="{00000000-0005-0000-0000-000069140000}"/>
    <cellStyle name="Título 2 4" xfId="5023" xr:uid="{00000000-0005-0000-0000-00006A140000}"/>
    <cellStyle name="Título 2 5" xfId="5024" xr:uid="{00000000-0005-0000-0000-00006B140000}"/>
    <cellStyle name="Título 2 6" xfId="5025" xr:uid="{00000000-0005-0000-0000-00006C140000}"/>
    <cellStyle name="Título 2 7" xfId="5026" xr:uid="{00000000-0005-0000-0000-00006D140000}"/>
    <cellStyle name="Título 2 8" xfId="5027" xr:uid="{00000000-0005-0000-0000-00006E140000}"/>
    <cellStyle name="Título 2 9" xfId="5028" xr:uid="{00000000-0005-0000-0000-00006F140000}"/>
    <cellStyle name="Título 3 10" xfId="5029" xr:uid="{00000000-0005-0000-0000-000070140000}"/>
    <cellStyle name="Título 3 11" xfId="5030" xr:uid="{00000000-0005-0000-0000-000071140000}"/>
    <cellStyle name="Título 3 12" xfId="5031" xr:uid="{00000000-0005-0000-0000-000072140000}"/>
    <cellStyle name="Título 3 13" xfId="5032" xr:uid="{00000000-0005-0000-0000-000073140000}"/>
    <cellStyle name="Título 3 14" xfId="5033" xr:uid="{00000000-0005-0000-0000-000074140000}"/>
    <cellStyle name="Título 3 15" xfId="5034" xr:uid="{00000000-0005-0000-0000-000075140000}"/>
    <cellStyle name="Título 3 16" xfId="5035" xr:uid="{00000000-0005-0000-0000-000076140000}"/>
    <cellStyle name="Título 3 2" xfId="5036" xr:uid="{00000000-0005-0000-0000-000077140000}"/>
    <cellStyle name="Título 3 3" xfId="5037" xr:uid="{00000000-0005-0000-0000-000078140000}"/>
    <cellStyle name="Título 3 4" xfId="5038" xr:uid="{00000000-0005-0000-0000-000079140000}"/>
    <cellStyle name="Título 3 5" xfId="5039" xr:uid="{00000000-0005-0000-0000-00007A140000}"/>
    <cellStyle name="Título 3 6" xfId="5040" xr:uid="{00000000-0005-0000-0000-00007B140000}"/>
    <cellStyle name="Título 3 7" xfId="5041" xr:uid="{00000000-0005-0000-0000-00007C140000}"/>
    <cellStyle name="Título 3 8" xfId="5042" xr:uid="{00000000-0005-0000-0000-00007D140000}"/>
    <cellStyle name="Título 3 9" xfId="5043" xr:uid="{00000000-0005-0000-0000-00007E140000}"/>
    <cellStyle name="Título 4 10" xfId="5044" xr:uid="{00000000-0005-0000-0000-00007F140000}"/>
    <cellStyle name="Título 4 11" xfId="5045" xr:uid="{00000000-0005-0000-0000-000080140000}"/>
    <cellStyle name="Título 4 12" xfId="5046" xr:uid="{00000000-0005-0000-0000-000081140000}"/>
    <cellStyle name="Título 4 13" xfId="5047" xr:uid="{00000000-0005-0000-0000-000082140000}"/>
    <cellStyle name="Título 4 14" xfId="5048" xr:uid="{00000000-0005-0000-0000-000083140000}"/>
    <cellStyle name="Título 4 15" xfId="5049" xr:uid="{00000000-0005-0000-0000-000084140000}"/>
    <cellStyle name="Título 4 16" xfId="5050" xr:uid="{00000000-0005-0000-0000-000085140000}"/>
    <cellStyle name="Título 4 2" xfId="5051" xr:uid="{00000000-0005-0000-0000-000086140000}"/>
    <cellStyle name="Título 4 3" xfId="5052" xr:uid="{00000000-0005-0000-0000-000087140000}"/>
    <cellStyle name="Título 4 4" xfId="5053" xr:uid="{00000000-0005-0000-0000-000088140000}"/>
    <cellStyle name="Título 4 5" xfId="5054" xr:uid="{00000000-0005-0000-0000-000089140000}"/>
    <cellStyle name="Título 4 6" xfId="5055" xr:uid="{00000000-0005-0000-0000-00008A140000}"/>
    <cellStyle name="Título 4 7" xfId="5056" xr:uid="{00000000-0005-0000-0000-00008B140000}"/>
    <cellStyle name="Título 4 8" xfId="5057" xr:uid="{00000000-0005-0000-0000-00008C140000}"/>
    <cellStyle name="Título 4 9" xfId="5058" xr:uid="{00000000-0005-0000-0000-00008D140000}"/>
    <cellStyle name="Título 5" xfId="5059" xr:uid="{00000000-0005-0000-0000-00008E140000}"/>
    <cellStyle name="Título 6" xfId="5060" xr:uid="{00000000-0005-0000-0000-00008F140000}"/>
    <cellStyle name="Título 7" xfId="5061" xr:uid="{00000000-0005-0000-0000-000090140000}"/>
    <cellStyle name="Titulo_Annually" xfId="5062" xr:uid="{00000000-0005-0000-0000-000091140000}"/>
    <cellStyle name="Titulo1" xfId="5063" xr:uid="{00000000-0005-0000-0000-000092140000}"/>
    <cellStyle name="Titulo2" xfId="5064" xr:uid="{00000000-0005-0000-0000-000093140000}"/>
    <cellStyle name="Total" xfId="2" builtinId="25"/>
    <cellStyle name="Total 10" xfId="5065" xr:uid="{00000000-0005-0000-0000-000095140000}"/>
    <cellStyle name="Total 11" xfId="5066" xr:uid="{00000000-0005-0000-0000-000096140000}"/>
    <cellStyle name="Total 12" xfId="5067" xr:uid="{00000000-0005-0000-0000-000097140000}"/>
    <cellStyle name="Total 13" xfId="5068" xr:uid="{00000000-0005-0000-0000-000098140000}"/>
    <cellStyle name="Total 14" xfId="5069" xr:uid="{00000000-0005-0000-0000-000099140000}"/>
    <cellStyle name="Total 2" xfId="5070" xr:uid="{00000000-0005-0000-0000-00009A140000}"/>
    <cellStyle name="Total 2 10" xfId="5071" xr:uid="{00000000-0005-0000-0000-00009B140000}"/>
    <cellStyle name="Total 2 11" xfId="5072" xr:uid="{00000000-0005-0000-0000-00009C140000}"/>
    <cellStyle name="Total 2 12" xfId="5073" xr:uid="{00000000-0005-0000-0000-00009D140000}"/>
    <cellStyle name="Total 2 2" xfId="5074" xr:uid="{00000000-0005-0000-0000-00009E140000}"/>
    <cellStyle name="Total 2 3" xfId="5075" xr:uid="{00000000-0005-0000-0000-00009F140000}"/>
    <cellStyle name="Total 2 4" xfId="5076" xr:uid="{00000000-0005-0000-0000-0000A0140000}"/>
    <cellStyle name="Total 2 5" xfId="5077" xr:uid="{00000000-0005-0000-0000-0000A1140000}"/>
    <cellStyle name="Total 2 6" xfId="5078" xr:uid="{00000000-0005-0000-0000-0000A2140000}"/>
    <cellStyle name="Total 2 7" xfId="5079" xr:uid="{00000000-0005-0000-0000-0000A3140000}"/>
    <cellStyle name="Total 2 8" xfId="5080" xr:uid="{00000000-0005-0000-0000-0000A4140000}"/>
    <cellStyle name="Total 2 9" xfId="5081" xr:uid="{00000000-0005-0000-0000-0000A5140000}"/>
    <cellStyle name="Total 2_ContasExternas" xfId="5082" xr:uid="{00000000-0005-0000-0000-0000A6140000}"/>
    <cellStyle name="Total 3" xfId="5083" xr:uid="{00000000-0005-0000-0000-0000A7140000}"/>
    <cellStyle name="Total 3 10" xfId="5084" xr:uid="{00000000-0005-0000-0000-0000A8140000}"/>
    <cellStyle name="Total 3 11" xfId="5085" xr:uid="{00000000-0005-0000-0000-0000A9140000}"/>
    <cellStyle name="Total 3 12" xfId="5086" xr:uid="{00000000-0005-0000-0000-0000AA140000}"/>
    <cellStyle name="Total 3 2" xfId="5087" xr:uid="{00000000-0005-0000-0000-0000AB140000}"/>
    <cellStyle name="Total 3 3" xfId="5088" xr:uid="{00000000-0005-0000-0000-0000AC140000}"/>
    <cellStyle name="Total 3 4" xfId="5089" xr:uid="{00000000-0005-0000-0000-0000AD140000}"/>
    <cellStyle name="Total 3 5" xfId="5090" xr:uid="{00000000-0005-0000-0000-0000AE140000}"/>
    <cellStyle name="Total 3 6" xfId="5091" xr:uid="{00000000-0005-0000-0000-0000AF140000}"/>
    <cellStyle name="Total 3 7" xfId="5092" xr:uid="{00000000-0005-0000-0000-0000B0140000}"/>
    <cellStyle name="Total 3 8" xfId="5093" xr:uid="{00000000-0005-0000-0000-0000B1140000}"/>
    <cellStyle name="Total 3 9" xfId="5094" xr:uid="{00000000-0005-0000-0000-0000B2140000}"/>
    <cellStyle name="Total 3_ContasExternas" xfId="5095" xr:uid="{00000000-0005-0000-0000-0000B3140000}"/>
    <cellStyle name="Total 4" xfId="5096" xr:uid="{00000000-0005-0000-0000-0000B4140000}"/>
    <cellStyle name="Total 4 10" xfId="5097" xr:uid="{00000000-0005-0000-0000-0000B5140000}"/>
    <cellStyle name="Total 4 11" xfId="5098" xr:uid="{00000000-0005-0000-0000-0000B6140000}"/>
    <cellStyle name="Total 4 12" xfId="5099" xr:uid="{00000000-0005-0000-0000-0000B7140000}"/>
    <cellStyle name="Total 4 2" xfId="5100" xr:uid="{00000000-0005-0000-0000-0000B8140000}"/>
    <cellStyle name="Total 4 3" xfId="5101" xr:uid="{00000000-0005-0000-0000-0000B9140000}"/>
    <cellStyle name="Total 4 4" xfId="5102" xr:uid="{00000000-0005-0000-0000-0000BA140000}"/>
    <cellStyle name="Total 4 5" xfId="5103" xr:uid="{00000000-0005-0000-0000-0000BB140000}"/>
    <cellStyle name="Total 4 6" xfId="5104" xr:uid="{00000000-0005-0000-0000-0000BC140000}"/>
    <cellStyle name="Total 4 7" xfId="5105" xr:uid="{00000000-0005-0000-0000-0000BD140000}"/>
    <cellStyle name="Total 4 8" xfId="5106" xr:uid="{00000000-0005-0000-0000-0000BE140000}"/>
    <cellStyle name="Total 4 9" xfId="5107" xr:uid="{00000000-0005-0000-0000-0000BF140000}"/>
    <cellStyle name="Total 4_ContasExternas" xfId="5108" xr:uid="{00000000-0005-0000-0000-0000C0140000}"/>
    <cellStyle name="Total 5" xfId="5109" xr:uid="{00000000-0005-0000-0000-0000C1140000}"/>
    <cellStyle name="Total 5 10" xfId="5110" xr:uid="{00000000-0005-0000-0000-0000C2140000}"/>
    <cellStyle name="Total 5 11" xfId="5111" xr:uid="{00000000-0005-0000-0000-0000C3140000}"/>
    <cellStyle name="Total 5 12" xfId="5112" xr:uid="{00000000-0005-0000-0000-0000C4140000}"/>
    <cellStyle name="Total 5 2" xfId="5113" xr:uid="{00000000-0005-0000-0000-0000C5140000}"/>
    <cellStyle name="Total 5 3" xfId="5114" xr:uid="{00000000-0005-0000-0000-0000C6140000}"/>
    <cellStyle name="Total 5 4" xfId="5115" xr:uid="{00000000-0005-0000-0000-0000C7140000}"/>
    <cellStyle name="Total 5 5" xfId="5116" xr:uid="{00000000-0005-0000-0000-0000C8140000}"/>
    <cellStyle name="Total 5 6" xfId="5117" xr:uid="{00000000-0005-0000-0000-0000C9140000}"/>
    <cellStyle name="Total 5 7" xfId="5118" xr:uid="{00000000-0005-0000-0000-0000CA140000}"/>
    <cellStyle name="Total 5 8" xfId="5119" xr:uid="{00000000-0005-0000-0000-0000CB140000}"/>
    <cellStyle name="Total 5 9" xfId="5120" xr:uid="{00000000-0005-0000-0000-0000CC140000}"/>
    <cellStyle name="Total 5_ContasExternas" xfId="5121" xr:uid="{00000000-0005-0000-0000-0000CD140000}"/>
    <cellStyle name="Total 6" xfId="5122" xr:uid="{00000000-0005-0000-0000-0000CE140000}"/>
    <cellStyle name="Total 6 10" xfId="5123" xr:uid="{00000000-0005-0000-0000-0000CF140000}"/>
    <cellStyle name="Total 6 11" xfId="5124" xr:uid="{00000000-0005-0000-0000-0000D0140000}"/>
    <cellStyle name="Total 6 12" xfId="5125" xr:uid="{00000000-0005-0000-0000-0000D1140000}"/>
    <cellStyle name="Total 6 2" xfId="5126" xr:uid="{00000000-0005-0000-0000-0000D2140000}"/>
    <cellStyle name="Total 6 3" xfId="5127" xr:uid="{00000000-0005-0000-0000-0000D3140000}"/>
    <cellStyle name="Total 6 4" xfId="5128" xr:uid="{00000000-0005-0000-0000-0000D4140000}"/>
    <cellStyle name="Total 6 5" xfId="5129" xr:uid="{00000000-0005-0000-0000-0000D5140000}"/>
    <cellStyle name="Total 6 6" xfId="5130" xr:uid="{00000000-0005-0000-0000-0000D6140000}"/>
    <cellStyle name="Total 6 7" xfId="5131" xr:uid="{00000000-0005-0000-0000-0000D7140000}"/>
    <cellStyle name="Total 6 8" xfId="5132" xr:uid="{00000000-0005-0000-0000-0000D8140000}"/>
    <cellStyle name="Total 6 9" xfId="5133" xr:uid="{00000000-0005-0000-0000-0000D9140000}"/>
    <cellStyle name="Total 6_ContasExternas" xfId="5134" xr:uid="{00000000-0005-0000-0000-0000DA140000}"/>
    <cellStyle name="Total 7" xfId="5135" xr:uid="{00000000-0005-0000-0000-0000DB140000}"/>
    <cellStyle name="Total 7 10" xfId="5136" xr:uid="{00000000-0005-0000-0000-0000DC140000}"/>
    <cellStyle name="Total 7 11" xfId="5137" xr:uid="{00000000-0005-0000-0000-0000DD140000}"/>
    <cellStyle name="Total 7 12" xfId="5138" xr:uid="{00000000-0005-0000-0000-0000DE140000}"/>
    <cellStyle name="Total 7 2" xfId="5139" xr:uid="{00000000-0005-0000-0000-0000DF140000}"/>
    <cellStyle name="Total 7 3" xfId="5140" xr:uid="{00000000-0005-0000-0000-0000E0140000}"/>
    <cellStyle name="Total 7 4" xfId="5141" xr:uid="{00000000-0005-0000-0000-0000E1140000}"/>
    <cellStyle name="Total 7 5" xfId="5142" xr:uid="{00000000-0005-0000-0000-0000E2140000}"/>
    <cellStyle name="Total 7 6" xfId="5143" xr:uid="{00000000-0005-0000-0000-0000E3140000}"/>
    <cellStyle name="Total 7 7" xfId="5144" xr:uid="{00000000-0005-0000-0000-0000E4140000}"/>
    <cellStyle name="Total 7 8" xfId="5145" xr:uid="{00000000-0005-0000-0000-0000E5140000}"/>
    <cellStyle name="Total 7 9" xfId="5146" xr:uid="{00000000-0005-0000-0000-0000E6140000}"/>
    <cellStyle name="Total 7_ContasExternas" xfId="5147" xr:uid="{00000000-0005-0000-0000-0000E7140000}"/>
    <cellStyle name="Total 8" xfId="5148" xr:uid="{00000000-0005-0000-0000-0000E8140000}"/>
    <cellStyle name="Total 8 10" xfId="5149" xr:uid="{00000000-0005-0000-0000-0000E9140000}"/>
    <cellStyle name="Total 8 11" xfId="5150" xr:uid="{00000000-0005-0000-0000-0000EA140000}"/>
    <cellStyle name="Total 8 12" xfId="5151" xr:uid="{00000000-0005-0000-0000-0000EB140000}"/>
    <cellStyle name="Total 8 2" xfId="5152" xr:uid="{00000000-0005-0000-0000-0000EC140000}"/>
    <cellStyle name="Total 8 3" xfId="5153" xr:uid="{00000000-0005-0000-0000-0000ED140000}"/>
    <cellStyle name="Total 8 4" xfId="5154" xr:uid="{00000000-0005-0000-0000-0000EE140000}"/>
    <cellStyle name="Total 8 5" xfId="5155" xr:uid="{00000000-0005-0000-0000-0000EF140000}"/>
    <cellStyle name="Total 8 6" xfId="5156" xr:uid="{00000000-0005-0000-0000-0000F0140000}"/>
    <cellStyle name="Total 8 7" xfId="5157" xr:uid="{00000000-0005-0000-0000-0000F1140000}"/>
    <cellStyle name="Total 8 8" xfId="5158" xr:uid="{00000000-0005-0000-0000-0000F2140000}"/>
    <cellStyle name="Total 8 9" xfId="5159" xr:uid="{00000000-0005-0000-0000-0000F3140000}"/>
    <cellStyle name="Total 8_ContasExternas" xfId="5160" xr:uid="{00000000-0005-0000-0000-0000F4140000}"/>
    <cellStyle name="Total 9" xfId="5161" xr:uid="{00000000-0005-0000-0000-0000F5140000}"/>
    <cellStyle name="V¡rgula" xfId="5162" xr:uid="{00000000-0005-0000-0000-0000F6140000}"/>
    <cellStyle name="V¡rgula0" xfId="5163" xr:uid="{00000000-0005-0000-0000-0000F7140000}"/>
    <cellStyle name="Vírgul - Estilo1" xfId="5164" xr:uid="{00000000-0005-0000-0000-0000F8140000}"/>
    <cellStyle name="Vírgula" xfId="1" builtinId="3"/>
    <cellStyle name="Vírgula 10" xfId="5165" xr:uid="{00000000-0005-0000-0000-0000FA140000}"/>
    <cellStyle name="Vírgula 11" xfId="5166" xr:uid="{00000000-0005-0000-0000-0000FB140000}"/>
    <cellStyle name="Vírgula 12" xfId="5167" xr:uid="{00000000-0005-0000-0000-0000FC140000}"/>
    <cellStyle name="Vírgula 13" xfId="5168" xr:uid="{00000000-0005-0000-0000-0000FD140000}"/>
    <cellStyle name="Vírgula 14" xfId="5241" xr:uid="{00000000-0005-0000-0000-0000FE140000}"/>
    <cellStyle name="Vírgula 15" xfId="5414" xr:uid="{00000000-0005-0000-0000-0000FF140000}"/>
    <cellStyle name="Vírgula 2" xfId="7" xr:uid="{00000000-0005-0000-0000-000000150000}"/>
    <cellStyle name="Vírgula 2 2" xfId="5169" xr:uid="{00000000-0005-0000-0000-000001150000}"/>
    <cellStyle name="Vírgula 2 2 2" xfId="5170" xr:uid="{00000000-0005-0000-0000-000002150000}"/>
    <cellStyle name="Vírgula 2 3" xfId="5171" xr:uid="{00000000-0005-0000-0000-000003150000}"/>
    <cellStyle name="Vírgula 2 4" xfId="5172" xr:uid="{00000000-0005-0000-0000-000004150000}"/>
    <cellStyle name="Vírgula 2 5" xfId="5173" xr:uid="{00000000-0005-0000-0000-000005150000}"/>
    <cellStyle name="Vírgula 2 6" xfId="5174" xr:uid="{00000000-0005-0000-0000-000006150000}"/>
    <cellStyle name="Vírgula 3" xfId="5175" xr:uid="{00000000-0005-0000-0000-000007150000}"/>
    <cellStyle name="Vírgula 3 2" xfId="5176" xr:uid="{00000000-0005-0000-0000-000008150000}"/>
    <cellStyle name="Vírgula 3 3" xfId="5177" xr:uid="{00000000-0005-0000-0000-000009150000}"/>
    <cellStyle name="Vírgula 3 4" xfId="5178" xr:uid="{00000000-0005-0000-0000-00000A150000}"/>
    <cellStyle name="Vírgula 4" xfId="5179" xr:uid="{00000000-0005-0000-0000-00000B150000}"/>
    <cellStyle name="Vírgula 4 2" xfId="5180" xr:uid="{00000000-0005-0000-0000-00000C150000}"/>
    <cellStyle name="Vírgula 4 3" xfId="5181" xr:uid="{00000000-0005-0000-0000-00000D150000}"/>
    <cellStyle name="Vírgula 5" xfId="5182" xr:uid="{00000000-0005-0000-0000-00000E150000}"/>
    <cellStyle name="Vírgula 6" xfId="5183" xr:uid="{00000000-0005-0000-0000-00000F150000}"/>
    <cellStyle name="Vírgula 7" xfId="5184" xr:uid="{00000000-0005-0000-0000-000010150000}"/>
    <cellStyle name="Vírgula 8" xfId="5185" xr:uid="{00000000-0005-0000-0000-000011150000}"/>
    <cellStyle name="Vírgula 9" xfId="5186" xr:uid="{00000000-0005-0000-0000-000012150000}"/>
    <cellStyle name="Vírgula0" xfId="5187" xr:uid="{00000000-0005-0000-0000-000013150000}"/>
    <cellStyle name="Warning Text 2" xfId="5188" xr:uid="{00000000-0005-0000-0000-000014150000}"/>
    <cellStyle name="Warning Text 2 10" xfId="5189" xr:uid="{00000000-0005-0000-0000-000015150000}"/>
    <cellStyle name="Warning Text 2 11" xfId="5190" xr:uid="{00000000-0005-0000-0000-000016150000}"/>
    <cellStyle name="Warning Text 2 12" xfId="5191" xr:uid="{00000000-0005-0000-0000-000017150000}"/>
    <cellStyle name="Warning Text 2 2" xfId="5192" xr:uid="{00000000-0005-0000-0000-000018150000}"/>
    <cellStyle name="Warning Text 2 3" xfId="5193" xr:uid="{00000000-0005-0000-0000-000019150000}"/>
    <cellStyle name="Warning Text 2 4" xfId="5194" xr:uid="{00000000-0005-0000-0000-00001A150000}"/>
    <cellStyle name="Warning Text 2 5" xfId="5195" xr:uid="{00000000-0005-0000-0000-00001B150000}"/>
    <cellStyle name="Warning Text 2 6" xfId="5196" xr:uid="{00000000-0005-0000-0000-00001C150000}"/>
    <cellStyle name="Warning Text 2 7" xfId="5197" xr:uid="{00000000-0005-0000-0000-00001D150000}"/>
    <cellStyle name="Warning Text 2 8" xfId="5198" xr:uid="{00000000-0005-0000-0000-00001E150000}"/>
    <cellStyle name="Warning Text 2 9" xfId="5199" xr:uid="{00000000-0005-0000-0000-00001F150000}"/>
    <cellStyle name="Warning Text 2_ContasExternas" xfId="5200" xr:uid="{00000000-0005-0000-0000-000020150000}"/>
    <cellStyle name="Warning Text 3" xfId="5201" xr:uid="{00000000-0005-0000-0000-000021150000}"/>
    <cellStyle name="Warning Text 3 10" xfId="5202" xr:uid="{00000000-0005-0000-0000-000022150000}"/>
    <cellStyle name="Warning Text 3 11" xfId="5203" xr:uid="{00000000-0005-0000-0000-000023150000}"/>
    <cellStyle name="Warning Text 3 12" xfId="5204" xr:uid="{00000000-0005-0000-0000-000024150000}"/>
    <cellStyle name="Warning Text 3 2" xfId="5205" xr:uid="{00000000-0005-0000-0000-000025150000}"/>
    <cellStyle name="Warning Text 3 3" xfId="5206" xr:uid="{00000000-0005-0000-0000-000026150000}"/>
    <cellStyle name="Warning Text 3 4" xfId="5207" xr:uid="{00000000-0005-0000-0000-000027150000}"/>
    <cellStyle name="Warning Text 3 5" xfId="5208" xr:uid="{00000000-0005-0000-0000-000028150000}"/>
    <cellStyle name="Warning Text 3 6" xfId="5209" xr:uid="{00000000-0005-0000-0000-000029150000}"/>
    <cellStyle name="Warning Text 3 7" xfId="5210" xr:uid="{00000000-0005-0000-0000-00002A150000}"/>
    <cellStyle name="Warning Text 3 8" xfId="5211" xr:uid="{00000000-0005-0000-0000-00002B150000}"/>
    <cellStyle name="Warning Text 3 9" xfId="5212" xr:uid="{00000000-0005-0000-0000-00002C150000}"/>
    <cellStyle name="Warning Text 4" xfId="5213" xr:uid="{00000000-0005-0000-0000-00002D150000}"/>
    <cellStyle name="Warning Text 4 10" xfId="5214" xr:uid="{00000000-0005-0000-0000-00002E150000}"/>
    <cellStyle name="Warning Text 4 11" xfId="5215" xr:uid="{00000000-0005-0000-0000-00002F150000}"/>
    <cellStyle name="Warning Text 4 12" xfId="5216" xr:uid="{00000000-0005-0000-0000-000030150000}"/>
    <cellStyle name="Warning Text 4 2" xfId="5217" xr:uid="{00000000-0005-0000-0000-000031150000}"/>
    <cellStyle name="Warning Text 4 3" xfId="5218" xr:uid="{00000000-0005-0000-0000-000032150000}"/>
    <cellStyle name="Warning Text 4 4" xfId="5219" xr:uid="{00000000-0005-0000-0000-000033150000}"/>
    <cellStyle name="Warning Text 4 5" xfId="5220" xr:uid="{00000000-0005-0000-0000-000034150000}"/>
    <cellStyle name="Warning Text 4 6" xfId="5221" xr:uid="{00000000-0005-0000-0000-000035150000}"/>
    <cellStyle name="Warning Text 4 7" xfId="5222" xr:uid="{00000000-0005-0000-0000-000036150000}"/>
    <cellStyle name="Warning Text 4 8" xfId="5223" xr:uid="{00000000-0005-0000-0000-000037150000}"/>
    <cellStyle name="Warning Text 4 9" xfId="5224" xr:uid="{00000000-0005-0000-0000-000038150000}"/>
    <cellStyle name="Warning Text 5" xfId="5225" xr:uid="{00000000-0005-0000-0000-000039150000}"/>
    <cellStyle name="Warning Text 5 10" xfId="5226" xr:uid="{00000000-0005-0000-0000-00003A150000}"/>
    <cellStyle name="Warning Text 5 11" xfId="5227" xr:uid="{00000000-0005-0000-0000-00003B150000}"/>
    <cellStyle name="Warning Text 5 12" xfId="5228" xr:uid="{00000000-0005-0000-0000-00003C150000}"/>
    <cellStyle name="Warning Text 5 2" xfId="5229" xr:uid="{00000000-0005-0000-0000-00003D150000}"/>
    <cellStyle name="Warning Text 5 3" xfId="5230" xr:uid="{00000000-0005-0000-0000-00003E150000}"/>
    <cellStyle name="Warning Text 5 4" xfId="5231" xr:uid="{00000000-0005-0000-0000-00003F150000}"/>
    <cellStyle name="Warning Text 5 5" xfId="5232" xr:uid="{00000000-0005-0000-0000-000040150000}"/>
    <cellStyle name="Warning Text 5 6" xfId="5233" xr:uid="{00000000-0005-0000-0000-000041150000}"/>
    <cellStyle name="Warning Text 5 7" xfId="5234" xr:uid="{00000000-0005-0000-0000-000042150000}"/>
    <cellStyle name="Warning Text 5 8" xfId="5235" xr:uid="{00000000-0005-0000-0000-000043150000}"/>
    <cellStyle name="Warning Text 5 9" xfId="5236" xr:uid="{00000000-0005-0000-0000-000044150000}"/>
    <cellStyle name="Warning Text 6" xfId="5237" xr:uid="{00000000-0005-0000-0000-000045150000}"/>
    <cellStyle name="Warning Text 7" xfId="5238" xr:uid="{00000000-0005-0000-0000-000046150000}"/>
    <cellStyle name="Year" xfId="5239" xr:uid="{00000000-0005-0000-0000-000047150000}"/>
  </cellStyles>
  <dxfs count="80"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1" formatCode="dd\/mm\/yyyy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191" formatCode="dd\/mm\/yyyy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1" formatCode="dd\/mm\/yyyy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191" formatCode="dd\/mm\/yyyy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1" formatCode="dd\/mm\/yyyy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191" formatCode="dd\/mm\/yyyy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1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1"/>
    </dxf>
    <dxf>
      <border>
        <top style="thin">
          <color indexed="64"/>
        </top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/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/>
    </dxf>
    <dxf>
      <alignment wrapTex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376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5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5"/>
          <c:dLbls>
            <c:dLbl>
              <c:idx val="0"/>
              <c:layout>
                <c:manualLayout>
                  <c:x val="-0.11077351268591426"/>
                  <c:y val="6.32389180519101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D18-464A-BAE2-D43C05AB23C0}"/>
                </c:ext>
              </c:extLst>
            </c:dLbl>
            <c:dLbl>
              <c:idx val="1"/>
              <c:layout>
                <c:manualLayout>
                  <c:x val="0.18940769903762025"/>
                  <c:y val="-0.2000597841936424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18-464A-BAE2-D43C05AB23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Estoque!$B$26:$B$27</c:f>
              <c:strCache>
                <c:ptCount val="2"/>
                <c:pt idx="0">
                  <c:v>Estoque</c:v>
                </c:pt>
                <c:pt idx="1">
                  <c:v>Vendidos</c:v>
                </c:pt>
              </c:strCache>
            </c:strRef>
          </c:cat>
          <c:val>
            <c:numRef>
              <c:f>Estoque!$C$26:$C$27</c:f>
              <c:numCache>
                <c:formatCode>0.00%</c:formatCode>
                <c:ptCount val="2"/>
                <c:pt idx="0">
                  <c:v>0.23688663282571912</c:v>
                </c:pt>
                <c:pt idx="1">
                  <c:v>0.76311336717428091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18-464A-BAE2-D43C05AB2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Estoque!$C$18</c:f>
              <c:strCache>
                <c:ptCount val="1"/>
                <c:pt idx="0">
                  <c:v>Estoque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Estoque!$B$19:$B$22</c:f>
              <c:strCache>
                <c:ptCount val="4"/>
                <c:pt idx="0">
                  <c:v>Araçari</c:v>
                </c:pt>
                <c:pt idx="1">
                  <c:v>Tangará</c:v>
                </c:pt>
                <c:pt idx="2">
                  <c:v>Aranguá</c:v>
                </c:pt>
                <c:pt idx="3">
                  <c:v>Araguari</c:v>
                </c:pt>
              </c:strCache>
            </c:strRef>
          </c:cat>
          <c:val>
            <c:numRef>
              <c:f>Estoque!$C$19:$C$22</c:f>
              <c:numCache>
                <c:formatCode>General</c:formatCode>
                <c:ptCount val="4"/>
                <c:pt idx="0">
                  <c:v>18</c:v>
                </c:pt>
                <c:pt idx="1">
                  <c:v>22</c:v>
                </c:pt>
                <c:pt idx="2">
                  <c:v>52</c:v>
                </c:pt>
                <c:pt idx="3">
                  <c:v>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F-48EC-910E-8E698055A0FE}"/>
            </c:ext>
          </c:extLst>
        </c:ser>
        <c:ser>
          <c:idx val="1"/>
          <c:order val="1"/>
          <c:tx>
            <c:strRef>
              <c:f>Estoque!$D$18</c:f>
              <c:strCache>
                <c:ptCount val="1"/>
                <c:pt idx="0">
                  <c:v>Vendidos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Estoque!$B$19:$B$22</c:f>
              <c:strCache>
                <c:ptCount val="4"/>
                <c:pt idx="0">
                  <c:v>Araçari</c:v>
                </c:pt>
                <c:pt idx="1">
                  <c:v>Tangará</c:v>
                </c:pt>
                <c:pt idx="2">
                  <c:v>Aranguá</c:v>
                </c:pt>
                <c:pt idx="3">
                  <c:v>Araguari</c:v>
                </c:pt>
              </c:strCache>
            </c:strRef>
          </c:cat>
          <c:val>
            <c:numRef>
              <c:f>Estoque!$D$19:$D$22</c:f>
              <c:numCache>
                <c:formatCode>General</c:formatCode>
                <c:ptCount val="4"/>
                <c:pt idx="0">
                  <c:v>245</c:v>
                </c:pt>
                <c:pt idx="1">
                  <c:v>308</c:v>
                </c:pt>
                <c:pt idx="2">
                  <c:v>298</c:v>
                </c:pt>
                <c:pt idx="3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CF-48EC-910E-8E698055A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6566272"/>
        <c:axId val="253823808"/>
      </c:barChart>
      <c:catAx>
        <c:axId val="216566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3823808"/>
        <c:crosses val="autoZero"/>
        <c:auto val="1"/>
        <c:lblAlgn val="ctr"/>
        <c:lblOffset val="100"/>
        <c:noMultiLvlLbl val="0"/>
      </c:catAx>
      <c:valAx>
        <c:axId val="253823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6566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28</xdr:row>
      <xdr:rowOff>152400</xdr:rowOff>
    </xdr:from>
    <xdr:to>
      <xdr:col>5</xdr:col>
      <xdr:colOff>361950</xdr:colOff>
      <xdr:row>43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12</xdr:row>
      <xdr:rowOff>0</xdr:rowOff>
    </xdr:from>
    <xdr:to>
      <xdr:col>13</xdr:col>
      <xdr:colOff>466725</xdr:colOff>
      <xdr:row>24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428625</xdr:colOff>
      <xdr:row>2</xdr:row>
      <xdr:rowOff>0</xdr:rowOff>
    </xdr:from>
    <xdr:to>
      <xdr:col>12</xdr:col>
      <xdr:colOff>613356</xdr:colOff>
      <xdr:row>3</xdr:row>
      <xdr:rowOff>121685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14394543" y="1133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pt-BR" sz="1100"/>
        </a:p>
      </xdr:txBody>
    </xdr:sp>
    <xdr:clientData/>
  </xdr:twoCellAnchor>
  <xdr:twoCellAnchor editAs="oneCell">
    <xdr:from>
      <xdr:col>12</xdr:col>
      <xdr:colOff>428625</xdr:colOff>
      <xdr:row>2</xdr:row>
      <xdr:rowOff>0</xdr:rowOff>
    </xdr:from>
    <xdr:to>
      <xdr:col>12</xdr:col>
      <xdr:colOff>613356</xdr:colOff>
      <xdr:row>3</xdr:row>
      <xdr:rowOff>121685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4394543" y="1133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pt-BR" sz="1100"/>
        </a:p>
      </xdr:txBody>
    </xdr:sp>
    <xdr:clientData/>
  </xdr:twoCellAnchor>
  <xdr:twoCellAnchor editAs="oneCell">
    <xdr:from>
      <xdr:col>12</xdr:col>
      <xdr:colOff>428625</xdr:colOff>
      <xdr:row>2</xdr:row>
      <xdr:rowOff>0</xdr:rowOff>
    </xdr:from>
    <xdr:to>
      <xdr:col>12</xdr:col>
      <xdr:colOff>613356</xdr:colOff>
      <xdr:row>3</xdr:row>
      <xdr:rowOff>121685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61E0625-C5CA-4DBC-B1E0-0C041FF5365A}"/>
            </a:ext>
          </a:extLst>
        </xdr:cNvPr>
        <xdr:cNvSpPr txBox="1"/>
      </xdr:nvSpPr>
      <xdr:spPr>
        <a:xfrm>
          <a:off x="10687050" y="28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pt-BR" sz="1100"/>
        </a:p>
      </xdr:txBody>
    </xdr:sp>
    <xdr:clientData/>
  </xdr:twoCellAnchor>
  <xdr:twoCellAnchor editAs="oneCell">
    <xdr:from>
      <xdr:col>12</xdr:col>
      <xdr:colOff>428625</xdr:colOff>
      <xdr:row>2</xdr:row>
      <xdr:rowOff>0</xdr:rowOff>
    </xdr:from>
    <xdr:to>
      <xdr:col>12</xdr:col>
      <xdr:colOff>613356</xdr:colOff>
      <xdr:row>3</xdr:row>
      <xdr:rowOff>121685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34AFF561-1D5D-4B50-9D36-FE10E5776F24}"/>
            </a:ext>
          </a:extLst>
        </xdr:cNvPr>
        <xdr:cNvSpPr txBox="1"/>
      </xdr:nvSpPr>
      <xdr:spPr>
        <a:xfrm>
          <a:off x="10687050" y="28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pt-BR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048.637137847225" createdVersion="6" refreshedVersion="6" minRefreshableVersion="3" recordCount="470" xr:uid="{00000000-000A-0000-FFFF-FFFF01000000}">
  <cacheSource type="worksheet">
    <worksheetSource ref="B4:L395" sheet="Recebíveis"/>
  </cacheSource>
  <cacheFields count="11">
    <cacheField name="EMPREENDIMENTO" numFmtId="0">
      <sharedItems count="8">
        <s v="LONDRINA [ETAPA 01 - AREAS EXTERNAS G1 - G5]"/>
        <s v="LONDRINA [ETAPA 01 - CONDOMINIO ARAÇARI]"/>
        <s v="LONDRINA [ETAPA 02 - AREAS EXTERNAS G2 - G6]"/>
        <s v="LONDRINA [ETAPA 02 - CONDOMINIO TANGARA]"/>
        <s v="LONDRINA [ETAPA 03 - AREAS EXTERNAS G3 - G7]"/>
        <s v="LONDRINA [ETAPA 03 - CONDOMINIO ARANGUA]"/>
        <s v="LONDRINA [ETAPA 04 - AREAS EXTERNAS G4 - G8]"/>
        <s v="LONDRINA [ETAPA 04 - CONDOMINIO ARAGUARI]"/>
      </sharedItems>
    </cacheField>
    <cacheField name="BLOCO" numFmtId="49">
      <sharedItems/>
    </cacheField>
    <cacheField name="UNIDADE" numFmtId="0">
      <sharedItems containsMixedTypes="1" containsNumber="1" containsInteger="1" minValue="1" maxValue="47"/>
    </cacheField>
    <cacheField name="M²" numFmtId="43">
      <sharedItems containsSemiMixedTypes="0" containsString="0" containsNumber="1" minValue="250.41" maxValue="532.03"/>
    </cacheField>
    <cacheField name="CONTRATO" numFmtId="0">
      <sharedItems containsBlank="1" containsMixedTypes="1" containsNumber="1" containsInteger="1" minValue="2056" maxValue="7250"/>
    </cacheField>
    <cacheField name="CLIENTE" numFmtId="0">
      <sharedItems/>
    </cacheField>
    <cacheField name="DATA DO CONTRATO" numFmtId="14">
      <sharedItems containsSemiMixedTypes="0" containsNonDate="0" containsDate="1" containsString="0" minDate="2013-06-06T00:00:00" maxDate="2020-07-23T00:00:00"/>
    </cacheField>
    <cacheField name="VALOR DO CONTRATO" numFmtId="43">
      <sharedItems containsSemiMixedTypes="0" containsString="0" containsNumber="1" minValue="72989.87" maxValue="272538.23"/>
    </cacheField>
    <cacheField name="SITUAÇÃO" numFmtId="43">
      <sharedItems count="3">
        <s v="ATIVO"/>
        <s v="INADIMPLENTE"/>
        <s v="ATRASO"/>
      </sharedItems>
    </cacheField>
    <cacheField name="SALDO DEVEDOR" numFmtId="43">
      <sharedItems containsSemiMixedTypes="0" containsString="0" containsNumber="1" minValue="1598.04" maxValue="315548.49"/>
    </cacheField>
    <cacheField name="LTV Garantia" numFmtId="9">
      <sharedItems containsSemiMixedTypes="0" containsString="0" containsNumber="1" minValue="1.549993908812203E-2" maxValue="2.49990798565936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048.704825347224" createdVersion="6" refreshedVersion="6" minRefreshableVersion="3" recordCount="184" xr:uid="{00000000-000A-0000-FFFF-FFFF02000000}">
  <cacheSource type="worksheet">
    <worksheetSource ref="B5:K85" sheet="Inadimplencia"/>
  </cacheSource>
  <cacheFields count="10">
    <cacheField name="EMPREENDIMENTO" numFmtId="0">
      <sharedItems count="8">
        <s v="LONDRINA [ETAPA 01 - CONDOMINIO ARAÇARI]"/>
        <s v="LONDRINA [ETAPA 02 - AREAS EXTERNAS G2 - G6]"/>
        <s v="LONDRINA [ETAPA 02 - CONDOMINIO TANGARA]"/>
        <s v="LONDRINA [ETAPA 03 - CONDOMINIO ARANGUA]"/>
        <s v="LONDRINA [ETAPA 03 - AREAS EXTERNAS G3 - G7]"/>
        <s v="LONDRINA [ETAPA 01 - AREAS EXTERNAS G1 - G5]"/>
        <s v="LONDRINA [ETAPA 04 - CONDOMINIO ARAGUARI]"/>
        <s v="LONDRINA [ETAPA 04 - AREAS EXTERNAS G4 - G8]"/>
      </sharedItems>
    </cacheField>
    <cacheField name="BLOCO" numFmtId="49">
      <sharedItems/>
    </cacheField>
    <cacheField name="UNIDADE" numFmtId="0">
      <sharedItems containsSemiMixedTypes="0" containsString="0" containsNumber="1" containsInteger="1" minValue="1" maxValue="43"/>
    </cacheField>
    <cacheField name="CLIENTE" numFmtId="0">
      <sharedItems/>
    </cacheField>
    <cacheField name="SITUAÇÃO" numFmtId="14">
      <sharedItems count="2">
        <s v="INADIMPLENTE"/>
        <s v="ATRASO"/>
      </sharedItems>
    </cacheField>
    <cacheField name="PARCELAS EM ATRASO" numFmtId="0">
      <sharedItems containsSemiMixedTypes="0" containsString="0" containsNumber="1" containsInteger="1" minValue="1" maxValue="70"/>
    </cacheField>
    <cacheField name="CLASSE" numFmtId="0">
      <sharedItems count="4">
        <s v="IV"/>
        <s v="III"/>
        <s v="II"/>
        <s v="I"/>
      </sharedItems>
    </cacheField>
    <cacheField name="VALOR EM ATRASO" numFmtId="0">
      <sharedItems containsSemiMixedTypes="0" containsString="0" containsNumber="1" minValue="198.4" maxValue="202944.89"/>
    </cacheField>
    <cacheField name="SALDO DEVEDOR" numFmtId="43">
      <sharedItems containsSemiMixedTypes="0" containsString="0" containsNumber="1" minValue="21204.99" maxValue="315548.49"/>
    </cacheField>
    <cacheField name="% INADIMPLÊNCIA" numFmtId="9">
      <sharedItems containsSemiMixedTypes="0" containsString="0" containsNumber="1" minValue="3.3297943079985889E-3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30.390079976853" createdVersion="6" refreshedVersion="6" minRefreshableVersion="3" recordCount="508" xr:uid="{DADAD2CC-D93F-47B6-8498-6CCA369DD837}">
  <cacheSource type="worksheet">
    <worksheetSource ref="B4:L488" sheet="Recebíveis"/>
  </cacheSource>
  <cacheFields count="11">
    <cacheField name="EMPREENDIMENTO" numFmtId="0">
      <sharedItems count="8">
        <s v="LONDRINA [ETAPA 01 - AREAS EXTERNAS G1 - G5]"/>
        <s v="LONDRINA [ETAPA 01 - CONDOMINIO ARAÇARI]"/>
        <s v="LONDRINA [ETAPA 02 - AREAS EXTERNAS G2 - G6]"/>
        <s v="LONDRINA [ETAPA 02 - CONDOMINIO TANGARA]"/>
        <s v="LONDRINA [ETAPA 03 - AREAS EXTERNAS G3 - G7]"/>
        <s v="LONDRINA [ETAPA 03 - CONDOMINIO ARANGUA]"/>
        <s v="LONDRINA [ETAPA 04 - AREAS EXTERNAS G4 - G8]"/>
        <s v="LONDRINA [ETAPA 04 - CONDOMINIO ARAGUARI]"/>
      </sharedItems>
    </cacheField>
    <cacheField name="BLOCO" numFmtId="49">
      <sharedItems/>
    </cacheField>
    <cacheField name="UNIDADE" numFmtId="0">
      <sharedItems containsMixedTypes="1" containsNumber="1" containsInteger="1" minValue="1" maxValue="47"/>
    </cacheField>
    <cacheField name="M²" numFmtId="43">
      <sharedItems containsSemiMixedTypes="0" containsString="0" containsNumber="1" minValue="250.07" maxValue="532.03"/>
    </cacheField>
    <cacheField name="CONTRATO" numFmtId="0">
      <sharedItems containsBlank="1" containsMixedTypes="1" containsNumber="1" containsInteger="1" minValue="2056" maxValue="7250"/>
    </cacheField>
    <cacheField name="CLIENTE" numFmtId="0">
      <sharedItems/>
    </cacheField>
    <cacheField name="DATA DO CONTRATO" numFmtId="14">
      <sharedItems containsDate="1" containsMixedTypes="1" minDate="2013-06-06T00:00:00" maxDate="2021-01-27T00:00:00"/>
    </cacheField>
    <cacheField name="VALOR DO CONTRATO" numFmtId="43">
      <sharedItems containsSemiMixedTypes="0" containsString="0" containsNumber="1" minValue="72989.87" maxValue="272538.23"/>
    </cacheField>
    <cacheField name="SITUAÇÃO" numFmtId="43">
      <sharedItems count="3">
        <s v="ATIVO"/>
        <s v="INADIMPLENTE"/>
        <s v="ATRASO"/>
      </sharedItems>
    </cacheField>
    <cacheField name="SALDO DEVEDOR" numFmtId="43">
      <sharedItems containsSemiMixedTypes="0" containsString="0" containsNumber="1" minValue="4715.1000000000004" maxValue="346354.24"/>
    </cacheField>
    <cacheField name="LTV Garantia" numFmtId="9">
      <sharedItems containsSemiMixedTypes="0" containsString="0" containsNumber="1" minValue="3.3306740347667743E-2" maxValue="2.75035829237707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30.390337962963" createdVersion="6" refreshedVersion="6" minRefreshableVersion="3" recordCount="139" xr:uid="{55448391-427C-4DF1-A690-4FDE24E98BE9}">
  <cacheSource type="worksheet">
    <worksheetSource ref="B5:K110" sheet="Inadimplencia"/>
  </cacheSource>
  <cacheFields count="10">
    <cacheField name="EMPREENDIMENTO" numFmtId="0">
      <sharedItems count="8">
        <s v="LONDRINA [ETAPA 02 - AREAS EXTERNAS G2 - G6]"/>
        <s v="LONDRINA [ETAPA 02 - CONDOMINIO TANGARA]"/>
        <s v="LONDRINA [ETAPA 01 - CONDOMINIO ARAÇARI]"/>
        <s v="LONDRINA [ETAPA 03 - CONDOMINIO ARANGUA]"/>
        <s v="LONDRINA [ETAPA 03 - AREAS EXTERNAS G3 - G7]"/>
        <s v="LONDRINA [ETAPA 01 - AREAS EXTERNAS G1 - G5]"/>
        <s v="LONDRINA [ETAPA 04 - CONDOMINIO ARAGUARI]"/>
        <s v="LONDRINA [ETAPA 04 - AREAS EXTERNAS G4 - G8]"/>
      </sharedItems>
    </cacheField>
    <cacheField name="BLOCO" numFmtId="0">
      <sharedItems/>
    </cacheField>
    <cacheField name="UNIDADE" numFmtId="0">
      <sharedItems containsSemiMixedTypes="0" containsString="0" containsNumber="1" containsInteger="1" minValue="1" maxValue="43"/>
    </cacheField>
    <cacheField name="CLIENTE" numFmtId="14">
      <sharedItems/>
    </cacheField>
    <cacheField name="SITUAÇÃO" numFmtId="14">
      <sharedItems count="2">
        <s v="INADIMPLENTE"/>
        <s v="ATRASO"/>
      </sharedItems>
    </cacheField>
    <cacheField name="PARCELAS EM ATRASO" numFmtId="1">
      <sharedItems containsSemiMixedTypes="0" containsString="0" containsNumber="1" containsInteger="1" minValue="1" maxValue="74"/>
    </cacheField>
    <cacheField name="CLASSE" numFmtId="2">
      <sharedItems/>
    </cacheField>
    <cacheField name="VALOR EM ATRASO" numFmtId="43">
      <sharedItems containsSemiMixedTypes="0" containsString="0" containsNumber="1" minValue="353.61" maxValue="211058.98"/>
    </cacheField>
    <cacheField name="SALDO DEVEDOR" numFmtId="43">
      <sharedItems containsSemiMixedTypes="0" containsString="0" containsNumber="1" minValue="8858.18" maxValue="346354.24"/>
    </cacheField>
    <cacheField name="% INADIMPLÊNCIA" numFmtId="9">
      <sharedItems containsSemiMixedTypes="0" containsString="0" containsNumber="1" minValue="4.0004226738197309E-3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93.378514351854" createdVersion="6" refreshedVersion="6" minRefreshableVersion="3" recordCount="103" xr:uid="{FFAC2728-8EA9-4909-9AF6-35E3C3FDE0D4}">
  <cacheSource type="worksheet">
    <worksheetSource ref="Z37:AG140" sheet="Vendas"/>
  </cacheSource>
  <cacheFields count="8">
    <cacheField name="EMPREENDIMENTO" numFmtId="0">
      <sharedItems count="7">
        <s v="LONDRINA [ETAPA 01 - AREAS EXTERNAS G1 - G5]"/>
        <s v="LONDRINA [ETAPA 01 - CONDOMINIO ARAÇARI]"/>
        <s v="LONDRINA [ETAPA 02 - CONDOMINIO TANGARA]"/>
        <s v="LONDRINA [ETAPA 03 - AREAS EXTERNAS G3 - G7]"/>
        <s v="LONDRINA [ETAPA 03 - CONDOMINIO ARANGUA]"/>
        <s v="LONDRINA [ETAPA 04 - AREAS EXTERNAS G4 - G8]"/>
        <s v="LONDRINA [ETAPA 04 - CONDOMINIO ARAGUARI]"/>
      </sharedItems>
    </cacheField>
    <cacheField name="QUADRA" numFmtId="49">
      <sharedItems/>
    </cacheField>
    <cacheField name="LOTE" numFmtId="0">
      <sharedItems containsSemiMixedTypes="0" containsString="0" containsNumber="1" containsInteger="1" minValue="1" maxValue="41"/>
    </cacheField>
    <cacheField name="METRAGEM" numFmtId="43">
      <sharedItems containsSemiMixedTypes="0" containsString="0" containsNumber="1" minValue="250.07" maxValue="396.16"/>
    </cacheField>
    <cacheField name="CONTRATO" numFmtId="0">
      <sharedItems containsString="0" containsBlank="1" containsNumber="1" containsInteger="1" minValue="4807" maxValue="5128"/>
    </cacheField>
    <cacheField name="CLIENTE" numFmtId="0">
      <sharedItems/>
    </cacheField>
    <cacheField name="DATA DO CONTRATO" numFmtId="14">
      <sharedItems containsSemiMixedTypes="0" containsNonDate="0" containsDate="1" containsString="0" minDate="2020-10-01T00:00:00" maxDate="2021-03-26T00:00:00"/>
    </cacheField>
    <cacheField name="VALOR DO CONTRATO" numFmtId="43">
      <sharedItems containsSemiMixedTypes="0" containsString="0" containsNumber="1" minValue="103635" maxValue="23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93.383107291666" createdVersion="6" refreshedVersion="6" minRefreshableVersion="3" recordCount="517" xr:uid="{4CE997CE-483C-405D-8BC7-3033BA066FCD}">
  <cacheSource type="worksheet">
    <worksheetSource ref="A2:Q519" sheet="LTV"/>
  </cacheSource>
  <cacheFields count="17">
    <cacheField name="EMPREENDIMENTO" numFmtId="0">
      <sharedItems containsBlank="1" count="9">
        <m/>
        <s v="LONDRINA [ETAPA 01 - AREAS EXTERNAS G1 - G5]"/>
        <s v="LONDRINA [ETAPA 01 - CONDOMINIO ARAÇARI]"/>
        <s v="LONDRINA [ETAPA 02 - AREAS EXTERNAS G2 - G6]"/>
        <s v="LONDRINA [ETAPA 02 - CONDOMINIO TANGARA]"/>
        <s v="LONDRINA [ETAPA 03 - AREAS EXTERNAS G3 - G7]"/>
        <s v="LONDRINA [ETAPA 03 - CONDOMINIO ARANGUA]"/>
        <s v="LONDRINA [ETAPA 04 - AREAS EXTERNAS G4 - G8]"/>
        <s v="LONDRINA [ETAPA 04 - CONDOMINIO ARAGUARI]"/>
      </sharedItems>
    </cacheField>
    <cacheField name="BLOCO" numFmtId="49">
      <sharedItems containsBlank="1"/>
    </cacheField>
    <cacheField name="UNIDADE" numFmtId="0">
      <sharedItems containsBlank="1" containsMixedTypes="1" containsNumber="1" containsInteger="1" minValue="1" maxValue="45"/>
    </cacheField>
    <cacheField name="M²" numFmtId="0">
      <sharedItems containsString="0" containsBlank="1" containsNumber="1" minValue="250.07" maxValue="532.03"/>
    </cacheField>
    <cacheField name="CONTRATO" numFmtId="0">
      <sharedItems containsString="0" containsBlank="1" containsNumber="1" containsInteger="1" minValue="2056" maxValue="7250"/>
    </cacheField>
    <cacheField name="CLIENTE" numFmtId="0">
      <sharedItems containsBlank="1"/>
    </cacheField>
    <cacheField name="conc" numFmtId="0">
      <sharedItems containsBlank="1"/>
    </cacheField>
    <cacheField name="DATA DO CONTRATO" numFmtId="14">
      <sharedItems containsDate="1" containsBlank="1" containsMixedTypes="1" minDate="2013-06-06T00:00:00" maxDate="2021-03-26T00:00:00"/>
    </cacheField>
    <cacheField name="VALOR DO CONTRATO" numFmtId="43">
      <sharedItems containsString="0" containsBlank="1" containsNumber="1" minValue="72989.87" maxValue="272538.23"/>
    </cacheField>
    <cacheField name="STATUS" numFmtId="43">
      <sharedItems containsBlank="1"/>
    </cacheField>
    <cacheField name="SALDO DEVEDOR" numFmtId="43">
      <sharedItems containsMixedTypes="1" containsNumber="1" minValue="3186.92" maxValue="355704.67"/>
    </cacheField>
    <cacheField name="LTV Compra" numFmtId="10">
      <sharedItems containsSemiMixedTypes="0" containsString="0" containsNumber="1" minValue="3.0457285523528676E-2" maxValue="2.6218495282829051"/>
    </cacheField>
    <cacheField name="VALOR COMPRA ATUALIZADO" numFmtId="43">
      <sharedItems containsSemiMixedTypes="0" containsString="0" containsNumber="1" minValue="30780.49" maxValue="89233968.699999973"/>
    </cacheField>
    <cacheField name="LTV Compra Atualizada" numFmtId="10">
      <sharedItems containsSemiMixedTypes="0" containsString="0" containsNumber="1" minValue="2.2271455962027235E-2" maxValue="1"/>
    </cacheField>
    <cacheField name="LTV Mercado" numFmtId="10">
      <sharedItems containsSemiMixedTypes="0" containsString="0" containsNumber="1" minValue="2.0731820515600515E-2" maxValue="1.8667722984267814"/>
    </cacheField>
    <cacheField name="LTV Últimas Vendas" numFmtId="10">
      <sharedItems containsMixedTypes="1" containsNumber="1" minValue="2.4257318957627644E-2" maxValue="1.6907216296213321"/>
    </cacheField>
    <cacheField name="LTV R$ m² Últimas Vendas" numFmtId="10">
      <sharedItems containsMixedTypes="1" containsNumber="1" minValue="2.4257318957627644E-2" maxValue="1.69072162962133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0">
  <r>
    <x v="0"/>
    <s v="VII"/>
    <n v="9"/>
    <n v="252.5"/>
    <n v="2367"/>
    <s v="ROMARIO LOMBARDE"/>
    <d v="2013-06-21T00:00:00"/>
    <n v="79749.600000000006"/>
    <x v="0"/>
    <n v="55648.67"/>
    <n v="0.69779246541675433"/>
  </r>
  <r>
    <x v="0"/>
    <s v="VII"/>
    <n v="11"/>
    <n v="252.5"/>
    <n v="2514"/>
    <s v="IVONE FERREIRA ROCHA"/>
    <d v="2013-06-10T00:00:00"/>
    <n v="79749.600000000006"/>
    <x v="1"/>
    <n v="69590.34"/>
    <n v="0.87261052093051239"/>
  </r>
  <r>
    <x v="0"/>
    <s v="VII"/>
    <n v="12"/>
    <n v="252.5"/>
    <n v="2515"/>
    <s v="IVONE FERREIRA ROCHA"/>
    <d v="2013-06-10T00:00:00"/>
    <n v="79749.600000000006"/>
    <x v="1"/>
    <n v="67645.11"/>
    <n v="0.84821879984351012"/>
  </r>
  <r>
    <x v="0"/>
    <s v="VII"/>
    <n v="13"/>
    <n v="252.5"/>
    <n v="2516"/>
    <s v="IVONE FERREIRA ROCHA"/>
    <d v="2013-06-10T00:00:00"/>
    <n v="79749.600000000006"/>
    <x v="1"/>
    <n v="67645.11"/>
    <n v="0.84821879984351012"/>
  </r>
  <r>
    <x v="0"/>
    <s v="VII"/>
    <n v="14"/>
    <n v="252.5"/>
    <n v="2540"/>
    <s v="ERMESON TIAGO MENDES LIMA"/>
    <d v="2013-06-22T00:00:00"/>
    <n v="79749.600000000006"/>
    <x v="0"/>
    <n v="79198.929999999993"/>
    <n v="0.99309501238877673"/>
  </r>
  <r>
    <x v="0"/>
    <s v="VII"/>
    <n v="18"/>
    <n v="252.5"/>
    <n v="2398"/>
    <s v="VALDELICE FLORENTINO"/>
    <d v="2013-06-17T00:00:00"/>
    <n v="79749.600000000006"/>
    <x v="1"/>
    <n v="104257.98"/>
    <n v="1.3073166511179992"/>
  </r>
  <r>
    <x v="0"/>
    <s v="VII"/>
    <n v="19"/>
    <n v="252.5"/>
    <n v="2399"/>
    <s v="VALDELICE FLORENTINO"/>
    <d v="2013-06-17T00:00:00"/>
    <n v="79749.600000000006"/>
    <x v="1"/>
    <n v="104257.98"/>
    <n v="1.3073166511179992"/>
  </r>
  <r>
    <x v="0"/>
    <s v="VII"/>
    <n v="24"/>
    <n v="252.5"/>
    <n v="2644"/>
    <s v="VANDERSON DA SILVA SOUZA"/>
    <d v="2013-06-16T00:00:00"/>
    <n v="79749.600000000006"/>
    <x v="1"/>
    <n v="120317.09"/>
    <n v="1.5086858115902775"/>
  </r>
  <r>
    <x v="0"/>
    <s v="XI"/>
    <n v="1"/>
    <n v="400.62"/>
    <n v="2633"/>
    <s v="THIAGO DE MENEZES CALDAS"/>
    <d v="2013-06-08T00:00:00"/>
    <n v="120506.5"/>
    <x v="2"/>
    <n v="119039.61"/>
    <n v="0.98782729562305771"/>
  </r>
  <r>
    <x v="0"/>
    <s v="XI"/>
    <n v="2"/>
    <n v="267.14"/>
    <n v="2634"/>
    <s v="THIAGO DE MENEZES CALDAS"/>
    <d v="2013-06-08T00:00:00"/>
    <n v="87889.06"/>
    <x v="2"/>
    <n v="87494.85"/>
    <n v="0.99551468635573082"/>
  </r>
  <r>
    <x v="0"/>
    <s v="XI"/>
    <n v="3"/>
    <n v="262.63"/>
    <n v="2638"/>
    <s v="THIAGO DE MENEZES CALDAS"/>
    <d v="2013-06-08T00:00:00"/>
    <n v="86405.27"/>
    <x v="2"/>
    <n v="83582.25"/>
    <n v="0.96732815023898422"/>
  </r>
  <r>
    <x v="0"/>
    <s v="XI"/>
    <n v="4"/>
    <n v="262.63"/>
    <n v="2639"/>
    <s v="THIAGO DE MENEZES CALDAS"/>
    <d v="2013-06-08T00:00:00"/>
    <n v="86405.27"/>
    <x v="0"/>
    <n v="73014.45"/>
    <n v="0.84502311028019461"/>
  </r>
  <r>
    <x v="0"/>
    <s v="XI"/>
    <n v="5"/>
    <n v="262.08999999999997"/>
    <n v="2658"/>
    <s v="MARCOS ALIPIO VASCONCELOS VIANA"/>
    <d v="2013-06-22T00:00:00"/>
    <n v="86227.69"/>
    <x v="0"/>
    <n v="76919.66"/>
    <n v="0.89205288927489534"/>
  </r>
  <r>
    <x v="0"/>
    <s v="XI"/>
    <n v="8"/>
    <n v="252.75"/>
    <n v="2454"/>
    <s v="MARIO CESAR VOLPE PAULO"/>
    <d v="2013-06-21T00:00:00"/>
    <n v="83154.75"/>
    <x v="0"/>
    <n v="84096.84"/>
    <n v="1.0113293588159424"/>
  </r>
  <r>
    <x v="0"/>
    <s v="XI"/>
    <n v="9"/>
    <n v="252.75"/>
    <n v="2455"/>
    <s v="MARIO CESAR VOLPE PAULO"/>
    <d v="2013-06-21T00:00:00"/>
    <n v="83154.75"/>
    <x v="0"/>
    <n v="36393.18"/>
    <n v="0.43765605693000098"/>
  </r>
  <r>
    <x v="0"/>
    <s v="XI"/>
    <n v="10"/>
    <n v="252.75"/>
    <n v="2630"/>
    <s v="LUIZ HIROAKI SATO"/>
    <d v="2013-06-06T00:00:00"/>
    <n v="83154.75"/>
    <x v="0"/>
    <n v="81547.19"/>
    <n v="0.98066785120513267"/>
  </r>
  <r>
    <x v="0"/>
    <s v="XI"/>
    <n v="11"/>
    <n v="252.75"/>
    <n v="2348"/>
    <s v="EUGENIA CAMPREGHER DA SILVA"/>
    <d v="2013-06-15T00:00:00"/>
    <n v="83154.75"/>
    <x v="0"/>
    <n v="24432.68"/>
    <n v="0.29382182016060415"/>
  </r>
  <r>
    <x v="0"/>
    <s v="XI"/>
    <n v="13"/>
    <n v="252.75"/>
    <n v="3801"/>
    <s v="ROBERTO CARLOS DE OLIVEIRA"/>
    <d v="2020-03-02T00:00:00"/>
    <n v="144759"/>
    <x v="0"/>
    <n v="53437.120000000003"/>
    <n v="0.36914540719402594"/>
  </r>
  <r>
    <x v="0"/>
    <s v="XI"/>
    <n v="14"/>
    <n v="252.75"/>
    <n v="2299"/>
    <s v="ANDERSON CARNEIRO"/>
    <d v="2013-06-20T00:00:00"/>
    <n v="83154.75"/>
    <x v="0"/>
    <n v="38649.97"/>
    <n v="0.46479569717905472"/>
  </r>
  <r>
    <x v="0"/>
    <s v="XI"/>
    <n v="17"/>
    <n v="252.75"/>
    <n v="7018"/>
    <s v="DOUGLAS ANTONIO DE LIMA"/>
    <d v="2019-03-01T00:00:00"/>
    <n v="154912"/>
    <x v="0"/>
    <n v="148796.92000000001"/>
    <n v="0.96052545961578195"/>
  </r>
  <r>
    <x v="0"/>
    <s v="XI"/>
    <n v="19"/>
    <n v="252.75"/>
    <n v="2614"/>
    <s v="ANGELA MARIA CARDOSO DE ALMEIDA"/>
    <d v="2013-06-20T00:00:00"/>
    <n v="83154.75"/>
    <x v="1"/>
    <n v="86720.44"/>
    <n v="1.0428801722090439"/>
  </r>
  <r>
    <x v="0"/>
    <s v="XI"/>
    <n v="20"/>
    <n v="252.75"/>
    <n v="2497"/>
    <s v="PAULA BERTONCINE SASSO"/>
    <d v="2013-06-10T00:00:00"/>
    <n v="83154.75"/>
    <x v="0"/>
    <n v="92513.06"/>
    <n v="1.1125408951382814"/>
  </r>
  <r>
    <x v="0"/>
    <s v="XI"/>
    <n v="21"/>
    <n v="252.75"/>
    <n v="6530"/>
    <s v="SUN FLEX REPRESENTACOES COMERCIAIS LTDA"/>
    <d v="2018-07-01T00:00:00"/>
    <n v="135360"/>
    <x v="0"/>
    <n v="12665.6"/>
    <n v="9.3569739952718681E-2"/>
  </r>
  <r>
    <x v="0"/>
    <s v="XI"/>
    <n v="22"/>
    <n v="252.75"/>
    <n v="2413"/>
    <s v="BIANCA SILVA DE LIMA"/>
    <d v="2013-06-10T00:00:00"/>
    <n v="83154.75"/>
    <x v="0"/>
    <n v="73128.75"/>
    <n v="0.8794296176706683"/>
  </r>
  <r>
    <x v="0"/>
    <s v="XI"/>
    <n v="25"/>
    <n v="252.75"/>
    <n v="3124"/>
    <s v="MARIO REGIS MARTINS DOS SANTOS"/>
    <d v="2019-10-14T00:00:00"/>
    <n v="150400"/>
    <x v="0"/>
    <n v="145119.76999999999"/>
    <n v="0.96489208776595736"/>
  </r>
  <r>
    <x v="0"/>
    <s v="XI"/>
    <n v="26"/>
    <n v="252.75"/>
    <n v="6006"/>
    <s v="CARLOS ROBERTO DA SILVA JUNIOR"/>
    <d v="2017-11-28T00:00:00"/>
    <n v="128780"/>
    <x v="0"/>
    <n v="125257.82"/>
    <n v="0.97264963503649637"/>
  </r>
  <r>
    <x v="0"/>
    <s v="XI"/>
    <n v="27"/>
    <n v="252.75"/>
    <n v="6007"/>
    <s v="CARLOS ROBERTO DA SILVA JUNIOR"/>
    <d v="2017-11-28T00:00:00"/>
    <n v="128779.81"/>
    <x v="0"/>
    <n v="77101.89"/>
    <n v="0.59871100912479991"/>
  </r>
  <r>
    <x v="0"/>
    <s v="XI"/>
    <s v="12 - A"/>
    <n v="252.75"/>
    <n v="2401"/>
    <s v="MARLENE SALLES DE OLIVEIRA TSAY"/>
    <d v="2013-06-15T00:00:00"/>
    <n v="83154.75"/>
    <x v="0"/>
    <n v="82578.28"/>
    <n v="0.99306750366034413"/>
  </r>
  <r>
    <x v="0"/>
    <s v="XI - A"/>
    <n v="1"/>
    <n v="343.7"/>
    <n v="2496"/>
    <s v="THIAGO DE MENEZES CALDAS"/>
    <d v="2013-06-08T00:00:00"/>
    <n v="108554.21"/>
    <x v="2"/>
    <n v="107334.93"/>
    <n v="0.98876800816845323"/>
  </r>
  <r>
    <x v="0"/>
    <s v="XI - A"/>
    <n v="2"/>
    <n v="338.02"/>
    <n v="2495"/>
    <s v="THIAGO DE MENEZES CALDAS"/>
    <d v="2013-06-08T00:00:00"/>
    <n v="106760.24"/>
    <x v="2"/>
    <n v="105565.17"/>
    <n v="0.98880603865259198"/>
  </r>
  <r>
    <x v="1"/>
    <s v="XIX"/>
    <n v="6"/>
    <n v="252.75"/>
    <n v="2579"/>
    <s v="GMO EMPREENDIMENTOS E ASSESSORIA EMPRESARIAL LTDA"/>
    <d v="2013-06-19T00:00:00"/>
    <n v="90282.3"/>
    <x v="0"/>
    <n v="89653.66"/>
    <n v="0.99303695187207242"/>
  </r>
  <r>
    <x v="1"/>
    <s v="XIX"/>
    <n v="7"/>
    <n v="252.75"/>
    <n v="2690"/>
    <s v="GMO EMPREENDIMENTOS E ASSESSORIA EMPRESARIAL LTDA"/>
    <d v="2013-06-22T00:00:00"/>
    <n v="93846.07"/>
    <x v="0"/>
    <n v="94465.23"/>
    <n v="1.0065976124519651"/>
  </r>
  <r>
    <x v="1"/>
    <s v="XIX"/>
    <n v="9"/>
    <n v="252.75"/>
    <n v="2530"/>
    <s v="MARCELO FELIX RAMPAZZO"/>
    <d v="2013-06-16T00:00:00"/>
    <n v="93846.07"/>
    <x v="0"/>
    <n v="93191.4"/>
    <n v="0.99302400196406715"/>
  </r>
  <r>
    <x v="1"/>
    <s v="XIX"/>
    <n v="10"/>
    <n v="252.75"/>
    <n v="2340"/>
    <s v="MARCELO RIBEIRO DA CRUZ"/>
    <d v="2013-06-14T00:00:00"/>
    <n v="93846.07"/>
    <x v="0"/>
    <n v="19799.41"/>
    <n v="0.21097750816842942"/>
  </r>
  <r>
    <x v="1"/>
    <s v="XIX"/>
    <n v="15"/>
    <n v="252.75"/>
    <n v="2711"/>
    <s v="ROSICLER RODINI MASIRONI"/>
    <d v="2013-07-29T00:00:00"/>
    <n v="90282.3"/>
    <x v="0"/>
    <n v="91553.67"/>
    <n v="1.0140821622843015"/>
  </r>
  <r>
    <x v="1"/>
    <s v="XIX"/>
    <n v="17"/>
    <n v="252.75"/>
    <n v="2343"/>
    <s v="ANTONIO ROBERTO DE MORAES"/>
    <d v="2013-06-14T00:00:00"/>
    <n v="90282.3"/>
    <x v="0"/>
    <n v="89653.66"/>
    <n v="0.99303695187207242"/>
  </r>
  <r>
    <x v="1"/>
    <s v="XIX"/>
    <n v="18"/>
    <n v="252.75"/>
    <n v="2344"/>
    <s v="ELAINE LOMBARDI"/>
    <d v="2013-06-19T00:00:00"/>
    <n v="90282.3"/>
    <x v="0"/>
    <n v="89671.88"/>
    <n v="0.99323876330133376"/>
  </r>
  <r>
    <x v="1"/>
    <s v="XXI"/>
    <n v="1"/>
    <n v="310.73"/>
    <n v="2791"/>
    <s v="GIELE ROSA ALVES"/>
    <d v="2013-08-20T00:00:00"/>
    <n v="123085.12"/>
    <x v="1"/>
    <n v="148071.12"/>
    <n v="1.2029977303511585"/>
  </r>
  <r>
    <x v="1"/>
    <s v="XXI"/>
    <n v="6"/>
    <n v="256.74"/>
    <n v="2412"/>
    <s v="DONIZETE DOMINGUES MORAES"/>
    <d v="2013-06-16T00:00:00"/>
    <n v="98947.6"/>
    <x v="1"/>
    <n v="172208.47"/>
    <n v="1.7404006767218203"/>
  </r>
  <r>
    <x v="1"/>
    <s v="XXI"/>
    <n v="10"/>
    <n v="256.74"/>
    <n v="2298"/>
    <s v="NILSON DE SOUZA FARIA"/>
    <d v="2013-06-22T00:00:00"/>
    <n v="98947.6"/>
    <x v="2"/>
    <n v="101495.43"/>
    <n v="1.0257492854803956"/>
  </r>
  <r>
    <x v="1"/>
    <s v="XXI"/>
    <n v="17"/>
    <n v="256.74"/>
    <n v="2500"/>
    <s v="NILTON CESAR BONINI"/>
    <d v="2013-06-22T00:00:00"/>
    <n v="96534.24"/>
    <x v="0"/>
    <n v="13944.55"/>
    <n v="0.14445185459584078"/>
  </r>
  <r>
    <x v="1"/>
    <s v="XXI"/>
    <n v="21"/>
    <n v="372.98"/>
    <n v="2802"/>
    <s v="FABIO HENRIQUE VILLAS BOAS"/>
    <d v="2013-09-10T00:00:00"/>
    <n v="126216.42"/>
    <x v="2"/>
    <n v="78090.45"/>
    <n v="0.61870278050985761"/>
  </r>
  <r>
    <x v="1"/>
    <s v="XXI"/>
    <n v="30"/>
    <n v="261.70999999999998"/>
    <n v="2365"/>
    <s v="ANTONIO SERGIO BARROTTI RODELLA"/>
    <d v="2013-06-14T00:00:00"/>
    <n v="95942.89"/>
    <x v="1"/>
    <n v="196305.98"/>
    <n v="2.0460711575396573"/>
  </r>
  <r>
    <x v="1"/>
    <s v="XXII"/>
    <n v="10"/>
    <n v="258.7"/>
    <n v="2410"/>
    <s v="ANGELA DO ROCIO DE OLIVEIRA LIMA"/>
    <d v="2013-06-14T00:00:00"/>
    <n v="94839.42"/>
    <x v="0"/>
    <n v="87584.76"/>
    <n v="0.9235058586397934"/>
  </r>
  <r>
    <x v="1"/>
    <s v="XXII"/>
    <n v="13"/>
    <n v="258.7"/>
    <n v="2292"/>
    <s v="MEIRE ADRIANA ARAUJO MARCONDES"/>
    <d v="2013-06-22T00:00:00"/>
    <n v="94839.42"/>
    <x v="0"/>
    <n v="19496.71"/>
    <n v="0.20557601469937289"/>
  </r>
  <r>
    <x v="1"/>
    <s v="XXII"/>
    <n v="14"/>
    <n v="258.7"/>
    <n v="2293"/>
    <s v="WELLINGTON TEIXEIRA MARCONDES"/>
    <d v="2013-06-21T00:00:00"/>
    <n v="94839.42"/>
    <x v="0"/>
    <n v="19496.04"/>
    <n v="0.20556895012643478"/>
  </r>
  <r>
    <x v="1"/>
    <s v="XXII"/>
    <n v="16"/>
    <n v="258.7"/>
    <n v="2612"/>
    <s v="ALEX SANDRO DA SILVA OLIVEIRA"/>
    <d v="2013-06-07T00:00:00"/>
    <n v="94839.12"/>
    <x v="0"/>
    <n v="95919.75"/>
    <n v="1.0113943486611854"/>
  </r>
  <r>
    <x v="1"/>
    <s v="XXII"/>
    <n v="17"/>
    <n v="258.7"/>
    <n v="2276"/>
    <s v="MARCO AURELIO BENEDITO DA SILVA"/>
    <d v="2013-06-08T00:00:00"/>
    <n v="94839.42"/>
    <x v="1"/>
    <n v="145809.79"/>
    <n v="1.5374386515649296"/>
  </r>
  <r>
    <x v="1"/>
    <s v="XXII"/>
    <n v="18"/>
    <n v="258.7"/>
    <n v="2278"/>
    <s v="MARCO AURELIO BENEDITO DA SILVA"/>
    <d v="2013-06-08T00:00:00"/>
    <n v="94839.42"/>
    <x v="1"/>
    <n v="145809.65"/>
    <n v="1.5374371753855094"/>
  </r>
  <r>
    <x v="1"/>
    <s v="XXII"/>
    <n v="21"/>
    <n v="266.81"/>
    <n v="2483"/>
    <s v="CLAUDIO GUIRARDELLI"/>
    <d v="2013-06-20T00:00:00"/>
    <n v="97812.55"/>
    <x v="0"/>
    <n v="50872.67"/>
    <n v="0.52010370857318411"/>
  </r>
  <r>
    <x v="1"/>
    <s v="XXII"/>
    <n v="26"/>
    <n v="266.81"/>
    <n v="2618"/>
    <s v="AGUINALDO AUGUSTINHO"/>
    <d v="2013-06-20T00:00:00"/>
    <n v="97812.55"/>
    <x v="1"/>
    <n v="38178.550000000003"/>
    <n v="0.39032363433935624"/>
  </r>
  <r>
    <x v="1"/>
    <s v="XXII"/>
    <n v="27"/>
    <n v="266.81"/>
    <n v="2617"/>
    <s v="AGUINALDO AUGUSTINHO"/>
    <d v="2013-06-20T00:00:00"/>
    <n v="97812.55"/>
    <x v="1"/>
    <n v="39134.42"/>
    <n v="0.40009610218729597"/>
  </r>
  <r>
    <x v="1"/>
    <s v="XXII"/>
    <n v="28"/>
    <n v="266.81"/>
    <n v="2463"/>
    <s v="JOAQUIM MANOEL DA SILVA"/>
    <d v="2013-06-19T00:00:00"/>
    <n v="97812.6"/>
    <x v="1"/>
    <n v="107004.76"/>
    <n v="1.0939772585536014"/>
  </r>
  <r>
    <x v="1"/>
    <s v="XXII"/>
    <n v="33"/>
    <n v="266.81"/>
    <n v="2390"/>
    <s v="MARCOS ROGERIO PEREIRA ARANHA"/>
    <d v="2013-06-15T00:00:00"/>
    <n v="97812.6"/>
    <x v="1"/>
    <n v="129149.39"/>
    <n v="1.3203758002547727"/>
  </r>
  <r>
    <x v="1"/>
    <s v="XXII"/>
    <n v="36"/>
    <n v="266.81"/>
    <n v="2696"/>
    <s v="WESLEY DOS SANTOS ANTUNES"/>
    <d v="2013-07-20T00:00:00"/>
    <n v="97812.6"/>
    <x v="0"/>
    <n v="42954.43"/>
    <n v="0.4391502730732032"/>
  </r>
  <r>
    <x v="1"/>
    <s v="XXIII"/>
    <n v="6"/>
    <n v="263.74"/>
    <n v="2435"/>
    <s v="DENISON HENRIQUE LEANDRO"/>
    <d v="2013-06-17T00:00:00"/>
    <n v="96687.08"/>
    <x v="0"/>
    <n v="94399.91"/>
    <n v="0.97634461605418221"/>
  </r>
  <r>
    <x v="1"/>
    <s v="XXIII"/>
    <n v="9"/>
    <n v="263.74"/>
    <n v="2507"/>
    <s v="ROGERIO SANCHES FRANCO"/>
    <d v="2013-06-21T00:00:00"/>
    <n v="96687.08"/>
    <x v="0"/>
    <n v="96010.92"/>
    <n v="0.99300671816751518"/>
  </r>
  <r>
    <x v="1"/>
    <s v="XXIII"/>
    <n v="10"/>
    <n v="263.74"/>
    <n v="2508"/>
    <s v="ROGERIO SANCHES FRANCO"/>
    <d v="2013-06-21T00:00:00"/>
    <n v="96687.08"/>
    <x v="0"/>
    <n v="96010.92"/>
    <n v="0.99300671816751518"/>
  </r>
  <r>
    <x v="1"/>
    <s v="XXIII"/>
    <n v="11"/>
    <n v="263.74"/>
    <n v="2537"/>
    <s v="MARA SILVIA SPURIO"/>
    <d v="2013-06-21T00:00:00"/>
    <n v="96687.16"/>
    <x v="2"/>
    <n v="58772.3"/>
    <n v="0.60786044393071426"/>
  </r>
  <r>
    <x v="1"/>
    <s v="XXIII"/>
    <n v="12"/>
    <n v="263.74"/>
    <n v="2538"/>
    <s v="MIRIAN APARECIDA GONCALVES DIAS"/>
    <d v="2013-06-28T00:00:00"/>
    <n v="96687.08"/>
    <x v="2"/>
    <n v="56115.96"/>
    <n v="0.58038736923278678"/>
  </r>
  <r>
    <x v="1"/>
    <s v="XXIII"/>
    <n v="18"/>
    <n v="327.11"/>
    <n v="2464"/>
    <s v="DARCI FIN"/>
    <d v="2013-06-21T00:00:00"/>
    <n v="116843.69"/>
    <x v="0"/>
    <n v="116030.17"/>
    <n v="0.99303753587378141"/>
  </r>
  <r>
    <x v="1"/>
    <s v="XXIII"/>
    <n v="21"/>
    <n v="268.58"/>
    <n v="3780"/>
    <s v="CARLOS KUNIO NAKANO"/>
    <d v="2014-06-05T00:00:00"/>
    <n v="108570.31"/>
    <x v="0"/>
    <n v="111826.51"/>
    <n v="1.0299916247821344"/>
  </r>
  <r>
    <x v="1"/>
    <s v="XXIII"/>
    <n v="23"/>
    <n v="268.58"/>
    <n v="2611"/>
    <s v="MARCOS GUIRALDELLI JUNIOR"/>
    <d v="2013-06-13T00:00:00"/>
    <n v="98461.43"/>
    <x v="2"/>
    <n v="101485.08"/>
    <n v="1.0307089791403599"/>
  </r>
  <r>
    <x v="1"/>
    <s v="XXIII"/>
    <n v="26"/>
    <n v="268.58"/>
    <n v="2763"/>
    <s v="ROBERTO MARTINS"/>
    <d v="2013-08-15T00:00:00"/>
    <n v="103258.27"/>
    <x v="0"/>
    <n v="91905.25"/>
    <n v="0.89005219630350185"/>
  </r>
  <r>
    <x v="1"/>
    <s v="XXIII"/>
    <n v="27"/>
    <n v="268.58"/>
    <n v="2362"/>
    <s v="MARINA APARECIDA BERNINI"/>
    <d v="2013-06-20T00:00:00"/>
    <n v="98461.43"/>
    <x v="0"/>
    <n v="89152.67"/>
    <n v="0.90545780210586013"/>
  </r>
  <r>
    <x v="1"/>
    <s v="XXIII"/>
    <n v="29"/>
    <n v="268.58"/>
    <n v="2356"/>
    <s v="VINICIUS MENDONCA DE OLIVEIRA"/>
    <d v="2013-06-19T00:00:00"/>
    <n v="98461.62"/>
    <x v="0"/>
    <n v="89644.52"/>
    <n v="0.9104514022824326"/>
  </r>
  <r>
    <x v="1"/>
    <s v="XXIII"/>
    <n v="30"/>
    <n v="268.58"/>
    <n v="6481"/>
    <s v="EDUARDO FAGANELLO HELBEL"/>
    <d v="2018-06-21T00:00:00"/>
    <n v="162897.51"/>
    <x v="0"/>
    <n v="151035.51"/>
    <n v="0.92718120737388809"/>
  </r>
  <r>
    <x v="1"/>
    <s v="XXIII"/>
    <n v="31"/>
    <n v="268.58"/>
    <n v="2674"/>
    <s v="VALDIR DAMA"/>
    <d v="2018-11-15T00:00:00"/>
    <n v="162896.34"/>
    <x v="0"/>
    <n v="152914.54999999999"/>
    <n v="0.93872305541057577"/>
  </r>
  <r>
    <x v="1"/>
    <s v="XXIII"/>
    <n v="32"/>
    <n v="268.58"/>
    <n v="6565"/>
    <s v="SERGIO PEREIRA JUNIOR"/>
    <d v="2018-07-18T00:00:00"/>
    <n v="162897.51"/>
    <x v="1"/>
    <n v="166253.66"/>
    <n v="1.0206028318051024"/>
  </r>
  <r>
    <x v="1"/>
    <s v="XXIV"/>
    <n v="1"/>
    <n v="330.15"/>
    <n v="2713"/>
    <s v="JOSEMARIS APARECIDA MARTINELLI"/>
    <d v="2013-07-24T00:00:00"/>
    <n v="117929.58"/>
    <x v="0"/>
    <n v="119584.81"/>
    <n v="1.0140357491309644"/>
  </r>
  <r>
    <x v="1"/>
    <s v="XXIV"/>
    <n v="3"/>
    <n v="256.14"/>
    <n v="2663"/>
    <s v="JESSICA SCIPIONI VASCONCELOS"/>
    <d v="2013-07-07T00:00:00"/>
    <n v="98716.36"/>
    <x v="2"/>
    <n v="110012.71"/>
    <n v="1.114432400060132"/>
  </r>
  <r>
    <x v="1"/>
    <s v="XXIV"/>
    <n v="5"/>
    <n v="256.14"/>
    <n v="2449"/>
    <s v="ERICA DE CAMARGO CORREA FERRAZ MARANGONI"/>
    <d v="2013-06-20T00:00:00"/>
    <n v="98716.36"/>
    <x v="2"/>
    <n v="104027.65"/>
    <n v="1.0538035438097595"/>
  </r>
  <r>
    <x v="1"/>
    <s v="XXIV"/>
    <n v="6"/>
    <n v="256.14"/>
    <n v="3773"/>
    <s v="RODRIGO ALBUQUERQUE LINDOLFO"/>
    <d v="2020-02-05T00:00:00"/>
    <n v="156980"/>
    <x v="0"/>
    <n v="149500.29"/>
    <n v="0.95235246528220163"/>
  </r>
  <r>
    <x v="1"/>
    <s v="XXIV"/>
    <n v="10"/>
    <n v="256.14"/>
    <n v="2557"/>
    <s v="GUSTAVO APARECIDO BRANDAO MEIRELES"/>
    <d v="2013-07-01T00:00:00"/>
    <n v="93900.92"/>
    <x v="1"/>
    <n v="151597.07"/>
    <n v="1.6144364719749287"/>
  </r>
  <r>
    <x v="1"/>
    <s v="XXIV"/>
    <n v="11"/>
    <n v="256.14"/>
    <n v="3573"/>
    <s v="C. C. FIGUEIRA DOS SANTOS FOGOES - ME."/>
    <d v="2014-02-24T00:00:00"/>
    <n v="96068.01"/>
    <x v="0"/>
    <n v="101207.67999999999"/>
    <n v="1.0535003275283832"/>
  </r>
  <r>
    <x v="1"/>
    <s v="XXIV"/>
    <n v="13"/>
    <n v="256.14"/>
    <n v="2528"/>
    <s v="LUCIANA MELANI"/>
    <d v="2013-06-27T00:00:00"/>
    <n v="91493.21"/>
    <x v="2"/>
    <n v="92172.05"/>
    <n v="1.0074195669820745"/>
  </r>
  <r>
    <x v="1"/>
    <s v="XXV"/>
    <n v="2"/>
    <n v="255.53"/>
    <n v="2623"/>
    <s v="PEDRO LUCAS BACILI"/>
    <d v="2013-07-05T00:00:00"/>
    <n v="92476.31"/>
    <x v="1"/>
    <n v="117522.2"/>
    <n v="1.2708357416077696"/>
  </r>
  <r>
    <x v="1"/>
    <s v="XXV"/>
    <n v="4"/>
    <n v="254.32"/>
    <n v="2573"/>
    <s v="FAUSTO ALMEIDA DE OLIVEIRA"/>
    <d v="2013-06-16T00:00:00"/>
    <n v="92038.41"/>
    <x v="1"/>
    <n v="153061"/>
    <n v="1.663012214139727"/>
  </r>
  <r>
    <x v="1"/>
    <s v="XXV"/>
    <n v="6"/>
    <n v="261.2"/>
    <n v="2373"/>
    <s v="VALDETE PIRES CARDIA"/>
    <d v="2013-06-21T00:00:00"/>
    <n v="94528.28"/>
    <x v="0"/>
    <n v="55081.74"/>
    <n v="0.58270117683300704"/>
  </r>
  <r>
    <x v="1"/>
    <s v="XXV"/>
    <n v="7"/>
    <n v="260.61"/>
    <n v="4751"/>
    <s v="MARIA LUCIA GIMENES"/>
    <d v="2015-05-01T00:00:00"/>
    <n v="140730.35999999999"/>
    <x v="0"/>
    <n v="16553.939999999999"/>
    <n v="0.11762877605088198"/>
  </r>
  <r>
    <x v="1"/>
    <s v="XXV"/>
    <n v="9"/>
    <n v="260"/>
    <n v="2671"/>
    <s v="DEBORA SKAU DE AQUINO"/>
    <d v="2013-06-11T00:00:00"/>
    <n v="94094"/>
    <x v="0"/>
    <n v="93444.98"/>
    <n v="0.99310242948540817"/>
  </r>
  <r>
    <x v="1"/>
    <s v="XXV"/>
    <n v="10"/>
    <n v="260"/>
    <n v="2491"/>
    <s v="LUIS MARCOS DIAS"/>
    <d v="2013-06-11T00:00:00"/>
    <n v="94094"/>
    <x v="1"/>
    <n v="106771.33"/>
    <n v="1.1347304822836739"/>
  </r>
  <r>
    <x v="1"/>
    <s v="XXV"/>
    <n v="11"/>
    <n v="260"/>
    <n v="2372"/>
    <s v="DEJAIR DA SILVA"/>
    <d v="2013-06-26T00:00:00"/>
    <n v="94094"/>
    <x v="2"/>
    <n v="56440.44"/>
    <n v="0.59983038238357389"/>
  </r>
  <r>
    <x v="1"/>
    <s v="XXV"/>
    <n v="17"/>
    <n v="260"/>
    <n v="3617"/>
    <s v="RODOLFO VINNICIUS DA SILVA EVANGELISTA"/>
    <d v="2014-03-27T00:00:00"/>
    <n v="95879.86"/>
    <x v="1"/>
    <n v="101546.83"/>
    <n v="1.0591049048256851"/>
  </r>
  <r>
    <x v="1"/>
    <s v="XXV"/>
    <n v="18"/>
    <n v="260"/>
    <n v="3590"/>
    <s v="EDINARA FERREIRA"/>
    <d v="2014-03-11T00:00:00"/>
    <n v="103870.9"/>
    <x v="0"/>
    <n v="106881.67"/>
    <n v="1.0289856928167562"/>
  </r>
  <r>
    <x v="1"/>
    <s v="XXV"/>
    <n v="20"/>
    <n v="260"/>
    <n v="3589"/>
    <s v="JOSE MARIA DE ANDRADE"/>
    <d v="2014-03-05T00:00:00"/>
    <n v="103869.79"/>
    <x v="0"/>
    <n v="97413.32"/>
    <n v="0.93784073309477201"/>
  </r>
  <r>
    <x v="1"/>
    <s v="XXV"/>
    <n v="21"/>
    <n v="260"/>
    <n v="3828"/>
    <s v="SUELI GOMES BRENZAM"/>
    <d v="2014-07-02T00:00:00"/>
    <n v="104825.04"/>
    <x v="2"/>
    <n v="49484.82"/>
    <n v="0.47207060450441996"/>
  </r>
  <r>
    <x v="1"/>
    <s v="XXV"/>
    <n v="25"/>
    <n v="260"/>
    <n v="3832"/>
    <s v="DANIELLY NUNES GOMES CIQUINI"/>
    <d v="2014-07-11T00:00:00"/>
    <n v="104825.61"/>
    <x v="2"/>
    <n v="21204.99"/>
    <n v="0.20228825761185651"/>
  </r>
  <r>
    <x v="1"/>
    <s v="XXV"/>
    <n v="26"/>
    <n v="253.97"/>
    <n v="3789"/>
    <s v="MATEUS DOS SANTOS GONSALES"/>
    <d v="2014-06-16T00:00:00"/>
    <n v="103192.39"/>
    <x v="1"/>
    <n v="168244.28"/>
    <n v="1.6303942567857959"/>
  </r>
  <r>
    <x v="1"/>
    <s v="XXV - A"/>
    <n v="4"/>
    <n v="250.71"/>
    <n v="2812"/>
    <s v="WILSON ALVES DE ANDRADE"/>
    <d v="2013-10-04T00:00:00"/>
    <n v="96387.96"/>
    <x v="0"/>
    <n v="66324.789999999994"/>
    <n v="0.68810243520041292"/>
  </r>
  <r>
    <x v="1"/>
    <s v="XXV - A"/>
    <n v="6"/>
    <n v="250.71"/>
    <n v="2631"/>
    <s v="LUIZ HIROAKI SATO"/>
    <d v="2013-06-06T00:00:00"/>
    <n v="90731.95"/>
    <x v="0"/>
    <n v="19174.32"/>
    <n v="0.2113293057186581"/>
  </r>
  <r>
    <x v="1"/>
    <s v="XXV - A"/>
    <n v="8"/>
    <n v="250.71"/>
    <n v="2407"/>
    <s v="HELIO YASSUO NISHIMURA"/>
    <d v="2013-06-06T00:00:00"/>
    <n v="90731.95"/>
    <x v="0"/>
    <n v="20482.830000000002"/>
    <n v="0.22575101714445686"/>
  </r>
  <r>
    <x v="1"/>
    <s v="XXV - A"/>
    <n v="9"/>
    <n v="250.71"/>
    <n v="2408"/>
    <s v="HELIO YASSUO NISHIMURA"/>
    <d v="2013-06-06T00:00:00"/>
    <n v="90731.95"/>
    <x v="0"/>
    <n v="20482.830000000002"/>
    <n v="0.22575101714445686"/>
  </r>
  <r>
    <x v="1"/>
    <s v="XXV - A"/>
    <n v="11"/>
    <n v="250.71"/>
    <n v="2429"/>
    <s v="KEIGO FUKUDA"/>
    <d v="2013-06-27T00:00:00"/>
    <n v="90731.95"/>
    <x v="1"/>
    <n v="84571.63"/>
    <n v="0.93210418160306274"/>
  </r>
  <r>
    <x v="1"/>
    <s v="XXV - A"/>
    <n v="13"/>
    <n v="257.62"/>
    <n v="2560"/>
    <s v="MARLENE MOREIRA DA SILVA"/>
    <d v="2013-06-20T00:00:00"/>
    <n v="93232.68"/>
    <x v="1"/>
    <n v="38008.379999999997"/>
    <n v="0.40767228830062591"/>
  </r>
  <r>
    <x v="1"/>
    <s v="XXV - A"/>
    <n v="14"/>
    <n v="257.62"/>
    <n v="2561"/>
    <s v="MARLENE MOREIRA DA SILVA"/>
    <d v="2013-06-20T00:00:00"/>
    <n v="93232.68"/>
    <x v="1"/>
    <n v="38008.379999999997"/>
    <n v="0.40767228830062591"/>
  </r>
  <r>
    <x v="1"/>
    <s v="XXV - A"/>
    <n v="15"/>
    <n v="257.62"/>
    <n v="2790"/>
    <s v="ANDRE LUIZ DOS SANTOS"/>
    <d v="2013-08-15T00:00:00"/>
    <n v="95877.1"/>
    <x v="1"/>
    <n v="198195.20000000001"/>
    <n v="2.067179754081006"/>
  </r>
  <r>
    <x v="1"/>
    <s v="XXV - A"/>
    <n v="16"/>
    <n v="257.62"/>
    <n v="2444"/>
    <s v="EVERALDO FIORINI DE OLIVEIRA"/>
    <d v="2013-06-20T00:00:00"/>
    <n v="93232.68"/>
    <x v="0"/>
    <n v="92583.57"/>
    <n v="0.99303774170172965"/>
  </r>
  <r>
    <x v="1"/>
    <s v="XXV - A"/>
    <n v="17"/>
    <n v="257.62"/>
    <n v="2432"/>
    <s v="PAULO SERGIO PUZIPPE JUNIOR"/>
    <d v="2013-06-21T00:00:00"/>
    <n v="93232.68"/>
    <x v="0"/>
    <n v="53609.4"/>
    <n v="0.57500653204434327"/>
  </r>
  <r>
    <x v="1"/>
    <s v="XXV - A"/>
    <n v="20"/>
    <n v="257.62"/>
    <n v="3567"/>
    <s v="MARCELO JOSE SIMOES DE OLIVEIRA"/>
    <d v="2014-02-17T00:00:00"/>
    <n v="94899.03"/>
    <x v="0"/>
    <n v="97840.86"/>
    <n v="1.0309995792370059"/>
  </r>
  <r>
    <x v="1"/>
    <s v="XXV - A"/>
    <n v="21"/>
    <n v="257.62"/>
    <n v="3568"/>
    <s v="MARCELO JOSE SIMOES DE OLIVEIRA"/>
    <d v="2014-02-17T00:00:00"/>
    <n v="94899.01"/>
    <x v="0"/>
    <n v="97840.87"/>
    <n v="1.0309999018957099"/>
  </r>
  <r>
    <x v="1"/>
    <s v="XXV - A"/>
    <n v="23"/>
    <n v="257.62"/>
    <n v="3911"/>
    <s v="SILVIA HELENA FIORINI ALVES"/>
    <d v="2014-09-11T00:00:00"/>
    <n v="113754.98"/>
    <x v="0"/>
    <n v="114737.9"/>
    <n v="1.0086406766543319"/>
  </r>
  <r>
    <x v="1"/>
    <s v="XXV - A"/>
    <n v="26"/>
    <n v="257.62"/>
    <n v="3726"/>
    <s v="ELIAS DE OLIVEIRA FERNANDES JUNIOR"/>
    <d v="2014-05-05T00:00:00"/>
    <n v="102919.94"/>
    <x v="1"/>
    <n v="251557.71"/>
    <n v="2.4442077016368255"/>
  </r>
  <r>
    <x v="1"/>
    <s v="XXV - A"/>
    <n v="27"/>
    <n v="257.62"/>
    <n v="3699"/>
    <s v="JONATHAS SIMEY ALVES DOS SANTOS"/>
    <d v="2014-04-25T00:00:00"/>
    <n v="102918.74"/>
    <x v="1"/>
    <n v="257287.38"/>
    <n v="2.4999079856593656"/>
  </r>
  <r>
    <x v="1"/>
    <s v="XXV - A"/>
    <n v="28"/>
    <n v="285.25"/>
    <n v="3700"/>
    <s v="JONATHAS SIMEY ALVES DOS SANTOS"/>
    <d v="2014-04-25T00:00:00"/>
    <n v="115298.5"/>
    <x v="1"/>
    <n v="287959.5"/>
    <n v="2.497512977185306"/>
  </r>
  <r>
    <x v="2"/>
    <s v="VIII"/>
    <n v="1"/>
    <n v="359.22"/>
    <n v="2580"/>
    <s v="GMO EMPREENDIMENTOS E ASSESSORIA EMPRESARIAL LTDA"/>
    <d v="2013-06-19T00:00:00"/>
    <n v="113456.04"/>
    <x v="0"/>
    <n v="112659.07"/>
    <n v="0.99297551721353938"/>
  </r>
  <r>
    <x v="2"/>
    <s v="VIII"/>
    <n v="3"/>
    <n v="251.25"/>
    <n v="2419"/>
    <s v="JOAO CARVALHO DE SOUZA"/>
    <d v="2013-06-20T00:00:00"/>
    <n v="79354.8"/>
    <x v="0"/>
    <n v="78810.880000000005"/>
    <n v="0.99314572023368464"/>
  </r>
  <r>
    <x v="2"/>
    <s v="VIII"/>
    <n v="14"/>
    <n v="251.25"/>
    <n v="3902"/>
    <s v="ELIO JOSE DE SOUZA"/>
    <d v="2020-05-04T00:00:00"/>
    <n v="145700"/>
    <x v="0"/>
    <n v="138024.73000000001"/>
    <n v="0.9473214138641044"/>
  </r>
  <r>
    <x v="2"/>
    <s v="VIII"/>
    <n v="19"/>
    <n v="251.25"/>
    <n v="2586"/>
    <s v="CARLOS ALBERTO DA COSTA"/>
    <d v="2013-06-21T00:00:00"/>
    <n v="79354.8"/>
    <x v="1"/>
    <n v="175958.3"/>
    <n v="2.2173617726967993"/>
  </r>
  <r>
    <x v="2"/>
    <s v="VIII"/>
    <n v="21"/>
    <n v="251.25"/>
    <n v="2710"/>
    <s v="RGS CONSULTORIA EMPRESARIAL E ADMINISTRADORA DE BENS LTDA"/>
    <d v="2013-07-22T00:00:00"/>
    <n v="77767.7"/>
    <x v="0"/>
    <n v="107142.41"/>
    <n v="1.3777237850675796"/>
  </r>
  <r>
    <x v="2"/>
    <s v="VIII"/>
    <n v="22"/>
    <n v="251.25"/>
    <n v="2647"/>
    <s v="JAIME DOS SANTOS MENDES GOMES"/>
    <d v="2013-07-07T00:00:00"/>
    <n v="79354.8"/>
    <x v="0"/>
    <n v="34305.480000000003"/>
    <n v="0.43230504014880011"/>
  </r>
  <r>
    <x v="2"/>
    <s v="VIII"/>
    <n v="23"/>
    <n v="251.25"/>
    <n v="2470"/>
    <s v="JULIANA DE SOUZA"/>
    <d v="2013-06-24T00:00:00"/>
    <n v="79354.8"/>
    <x v="1"/>
    <n v="82516.91"/>
    <n v="1.0398477470802019"/>
  </r>
  <r>
    <x v="2"/>
    <s v="VIII"/>
    <n v="26"/>
    <n v="251.25"/>
    <s v="4552"/>
    <s v="LUCIANE APARECIDA DE PAULA"/>
    <d v="2020-07-22T00:00:00"/>
    <n v="145700"/>
    <x v="0"/>
    <n v="139533.65"/>
    <n v="0.95767776252573777"/>
  </r>
  <r>
    <x v="2"/>
    <s v="VIII"/>
    <n v="27"/>
    <n v="251.25"/>
    <n v="2712"/>
    <s v="OSVALDO TOSHIYUKI HIGASHI"/>
    <d v="2013-07-29T00:00:00"/>
    <n v="79354.8"/>
    <x v="0"/>
    <n v="78836.259999999995"/>
    <n v="0.99346554965799161"/>
  </r>
  <r>
    <x v="2"/>
    <s v="VIII"/>
    <n v="28"/>
    <n v="251.25"/>
    <n v="3444"/>
    <s v="DANILO HENRIQUE DE OLIVEIRA"/>
    <d v="2019-12-04T00:00:00"/>
    <n v="145700"/>
    <x v="0"/>
    <n v="143413.75"/>
    <n v="0.98430851063829783"/>
  </r>
  <r>
    <x v="2"/>
    <s v="VIII"/>
    <n v="32"/>
    <n v="251.25"/>
    <n v="2610"/>
    <s v="JOAQUIM MOREIRA DIAS"/>
    <d v="2013-06-29T00:00:00"/>
    <n v="79354.8"/>
    <x v="0"/>
    <n v="78806.7"/>
    <n v="0.99309304541124155"/>
  </r>
  <r>
    <x v="2"/>
    <s v="VIII"/>
    <n v="34"/>
    <n v="368.4"/>
    <n v="3550"/>
    <s v="JOSE TADEI FERRAZ DE GOUVEIA"/>
    <d v="2014-02-07T00:00:00"/>
    <n v="138518.39999999999"/>
    <x v="0"/>
    <n v="49613.01"/>
    <n v="0.35816909522489432"/>
  </r>
  <r>
    <x v="2"/>
    <s v="XII"/>
    <n v="4"/>
    <n v="252.75"/>
    <n v="2476"/>
    <s v="ROGERIO FRANCISCO MANOEL"/>
    <d v="2013-06-14T00:00:00"/>
    <n v="83154.75"/>
    <x v="2"/>
    <n v="85706.51"/>
    <n v="1.0306868819881005"/>
  </r>
  <r>
    <x v="2"/>
    <s v="XII"/>
    <n v="6"/>
    <n v="252.75"/>
    <n v="2332"/>
    <s v="ROBERTO NUNES"/>
    <d v="2013-06-16T00:00:00"/>
    <n v="83154.75"/>
    <x v="2"/>
    <n v="88117.21"/>
    <n v="1.0596774086868159"/>
  </r>
  <r>
    <x v="2"/>
    <s v="XII"/>
    <n v="11"/>
    <n v="252.75"/>
    <n v="2656"/>
    <s v="VALDENILSON  PEREIRA MEIRELES"/>
    <d v="2013-06-17T00:00:00"/>
    <n v="83154.75"/>
    <x v="1"/>
    <n v="135073"/>
    <n v="1.6243569970446667"/>
  </r>
  <r>
    <x v="2"/>
    <s v="XII"/>
    <n v="14"/>
    <n v="252.75"/>
    <n v="2498"/>
    <s v="ANGELA FERREIRA DA SILVA"/>
    <d v="2013-06-21T00:00:00"/>
    <n v="83154.75"/>
    <x v="1"/>
    <n v="184973.96"/>
    <n v="2.2244545260493238"/>
  </r>
  <r>
    <x v="2"/>
    <s v="XII"/>
    <n v="15"/>
    <n v="252.75"/>
    <n v="2389"/>
    <s v="CARLOS ANTONIO DA SILVA"/>
    <d v="2013-06-15T00:00:00"/>
    <n v="83154.75"/>
    <x v="1"/>
    <n v="131421.84"/>
    <n v="1.5804489821687877"/>
  </r>
  <r>
    <x v="2"/>
    <s v="XII"/>
    <n v="18"/>
    <n v="252.75"/>
    <n v="2575"/>
    <s v="GILSON TOSHIHIKO MORIYAMA"/>
    <d v="2013-06-22T00:00:00"/>
    <n v="83154.75"/>
    <x v="0"/>
    <n v="84096.84"/>
    <n v="1.0113293588159424"/>
  </r>
  <r>
    <x v="2"/>
    <s v="XII"/>
    <n v="22"/>
    <n v="252.75"/>
    <n v="2806"/>
    <s v="CLAUDINEI DOS SANTOS SISNER"/>
    <d v="2013-09-18T00:00:00"/>
    <n v="87429.4"/>
    <x v="0"/>
    <n v="89526.2"/>
    <n v="1.0239827792481706"/>
  </r>
  <r>
    <x v="2"/>
    <s v="XII"/>
    <n v="23"/>
    <n v="252.75"/>
    <n v="2513"/>
    <s v="MARLI PEREIRA NEVES LEME"/>
    <d v="2013-06-20T00:00:00"/>
    <n v="83154.75"/>
    <x v="0"/>
    <n v="31984.59"/>
    <n v="0.38463936215309408"/>
  </r>
  <r>
    <x v="2"/>
    <s v="XII"/>
    <n v="29"/>
    <n v="252.75"/>
    <n v="3060"/>
    <s v="BRUNA DA SILVA"/>
    <d v="2019-09-09T00:00:00"/>
    <n v="136299.6"/>
    <x v="1"/>
    <n v="129207.9"/>
    <n v="0.9479697666023964"/>
  </r>
  <r>
    <x v="2"/>
    <s v="XII"/>
    <n v="30"/>
    <n v="252.75"/>
    <n v="3760"/>
    <s v="VAGNER RODRIGO CREPALDI"/>
    <d v="2020-02-03T00:00:00"/>
    <n v="122200.2"/>
    <x v="2"/>
    <n v="134171.79"/>
    <n v="1.0979670246038877"/>
  </r>
  <r>
    <x v="2"/>
    <s v="XII"/>
    <n v="31"/>
    <n v="290.68"/>
    <n v="2694"/>
    <s v="HELBERT NILSON FAGGION"/>
    <d v="2013-07-17T00:00:00"/>
    <n v="95633.72"/>
    <x v="1"/>
    <n v="26184.04"/>
    <n v="0.27379505889763567"/>
  </r>
  <r>
    <x v="2"/>
    <s v="XV"/>
    <n v="2"/>
    <n v="253"/>
    <n v="2409"/>
    <s v="EDUARDO FERREIRA DE MELLO"/>
    <d v="2013-06-19T00:00:00"/>
    <n v="73724.2"/>
    <x v="0"/>
    <n v="25774.16"/>
    <n v="0.34960243719158701"/>
  </r>
  <r>
    <x v="2"/>
    <s v="XV"/>
    <n v="3"/>
    <n v="253"/>
    <n v="2548"/>
    <s v="NILSON BERNARDES"/>
    <d v="2013-06-29T00:00:00"/>
    <n v="73724.2"/>
    <x v="1"/>
    <n v="99407.97"/>
    <n v="1.3483763811611384"/>
  </r>
  <r>
    <x v="2"/>
    <s v="XV"/>
    <n v="4"/>
    <n v="253"/>
    <n v="2549"/>
    <s v="JOSE CARLOS OLIVEIRA"/>
    <d v="2013-06-20T00:00:00"/>
    <n v="73724.2"/>
    <x v="1"/>
    <n v="63538.84"/>
    <n v="0.86184509292742406"/>
  </r>
  <r>
    <x v="2"/>
    <s v="XV"/>
    <n v="6"/>
    <n v="253"/>
    <n v="5971"/>
    <s v="LUIZ ROBERTO CARVALHO SALGADO"/>
    <d v="2017-10-31T00:00:00"/>
    <n v="127767.53"/>
    <x v="0"/>
    <n v="117304.96000000001"/>
    <n v="0.91811245000979524"/>
  </r>
  <r>
    <x v="2"/>
    <s v="XV"/>
    <n v="7"/>
    <n v="253"/>
    <n v="5760"/>
    <s v="ROBISON JUNIOR DO NASCIMENTO"/>
    <d v="2017-08-01T00:00:00"/>
    <n v="114992.22"/>
    <x v="0"/>
    <n v="106141.34"/>
    <n v="0.92303061894100313"/>
  </r>
  <r>
    <x v="2"/>
    <s v="XV"/>
    <n v="8"/>
    <n v="253"/>
    <n v="3766"/>
    <s v="ELTON JOHANATA GALDINI MATUO"/>
    <d v="2020-02-03T00:00:00"/>
    <n v="122200.2"/>
    <x v="0"/>
    <n v="108653.56"/>
    <n v="0.88914388028824831"/>
  </r>
  <r>
    <x v="2"/>
    <s v="XV"/>
    <n v="10"/>
    <n v="253"/>
    <n v="2764"/>
    <s v="EMPORIUM DA PIZZA DELIVERY LTDA ME"/>
    <d v="2013-08-06T00:00:00"/>
    <n v="73724.2"/>
    <x v="0"/>
    <n v="75178.86"/>
    <n v="1.0197311059326517"/>
  </r>
  <r>
    <x v="2"/>
    <s v="XV"/>
    <n v="11"/>
    <n v="253"/>
    <n v="2815"/>
    <s v="JOSE CARLOS PEREIRA FARIA"/>
    <d v="2013-10-09T00:00:00"/>
    <n v="77529.320000000007"/>
    <x v="1"/>
    <n v="87103.58"/>
    <n v="1.1234921188525837"/>
  </r>
  <r>
    <x v="2"/>
    <s v="XV"/>
    <n v="12"/>
    <n v="253"/>
    <n v="2452"/>
    <s v="JOSE LEONARDO SULINO"/>
    <d v="2013-06-28T00:00:00"/>
    <n v="73724.2"/>
    <x v="0"/>
    <n v="72401.47"/>
    <n v="0.98205840144755729"/>
  </r>
  <r>
    <x v="2"/>
    <s v="XV"/>
    <n v="14"/>
    <n v="253"/>
    <n v="4482"/>
    <s v="SEBASTIAO CESCONETO"/>
    <d v="2015-03-03T00:00:00"/>
    <n v="110000.6"/>
    <x v="0"/>
    <n v="98128.69"/>
    <n v="0.89207413414108649"/>
  </r>
  <r>
    <x v="2"/>
    <s v="XV"/>
    <n v="15"/>
    <n v="253"/>
    <n v="2541"/>
    <s v="JANIO VIEIRA ALVAREZ"/>
    <d v="2013-07-02T00:00:00"/>
    <n v="73724.2"/>
    <x v="0"/>
    <n v="74773.570000000007"/>
    <n v="1.0142337251540201"/>
  </r>
  <r>
    <x v="2"/>
    <s v="XV"/>
    <n v="18"/>
    <n v="250.48"/>
    <n v="2468"/>
    <s v="THIAGO MERCADANTE DREWS"/>
    <d v="2013-06-20T00:00:00"/>
    <n v="72989.87"/>
    <x v="0"/>
    <n v="65114.52"/>
    <n v="0.89210352066663501"/>
  </r>
  <r>
    <x v="2"/>
    <s v="XV"/>
    <n v="20"/>
    <n v="264.79000000000002"/>
    <n v="3521"/>
    <s v="GABRIELA FERNANDA GRILO SILVA"/>
    <d v="2014-01-13T00:00:00"/>
    <n v="81142.25"/>
    <x v="0"/>
    <n v="74702.39"/>
    <n v="0.9206349343282938"/>
  </r>
  <r>
    <x v="2"/>
    <s v="XV"/>
    <n v="21"/>
    <n v="271.89"/>
    <n v="2738"/>
    <s v="EDMILSON TEIXEIRA DE VASCONCELOS"/>
    <d v="2013-07-09T00:00:00"/>
    <n v="76672.98"/>
    <x v="1"/>
    <n v="85155.69"/>
    <n v="1.1106349329320446"/>
  </r>
  <r>
    <x v="2"/>
    <s v="XV"/>
    <n v="22"/>
    <n v="268.33999999999997"/>
    <n v="2739"/>
    <s v="EDMILSON TEIXEIRA DE VASCONCELOS"/>
    <d v="2013-07-09T00:00:00"/>
    <n v="75671.88"/>
    <x v="1"/>
    <n v="84038.65"/>
    <n v="1.1105664349821887"/>
  </r>
  <r>
    <x v="2"/>
    <s v="XV"/>
    <n v="23"/>
    <n v="268.33999999999997"/>
    <n v="2433"/>
    <s v="ELIANARA CARVALHO DA SILVA"/>
    <d v="2013-06-22T00:00:00"/>
    <n v="75671.88"/>
    <x v="0"/>
    <n v="67990.95"/>
    <n v="0.89849690532335125"/>
  </r>
  <r>
    <x v="2"/>
    <s v="XV"/>
    <n v="24"/>
    <n v="268.33999999999997"/>
    <n v="2353"/>
    <s v="ANTONIO LUIZ SOKOLOSKI"/>
    <d v="2013-06-18T00:00:00"/>
    <n v="75671.88"/>
    <x v="0"/>
    <n v="42321.97"/>
    <n v="0.5592826555914826"/>
  </r>
  <r>
    <x v="2"/>
    <s v="XV"/>
    <n v="26"/>
    <n v="268.33999999999997"/>
    <n v="3406"/>
    <s v="APARECIDA CASTORINA DA SILVA"/>
    <d v="2013-12-16T00:00:00"/>
    <n v="79385.820000000007"/>
    <x v="2"/>
    <n v="85964.07"/>
    <n v="1.0828642949080831"/>
  </r>
  <r>
    <x v="2"/>
    <s v="XVIII"/>
    <n v="1"/>
    <n v="265.02"/>
    <n v="5288"/>
    <s v="LUZIA DO CARMO ALVES"/>
    <d v="2016-09-15T00:00:00"/>
    <n v="128501.96"/>
    <x v="0"/>
    <n v="123303.15"/>
    <n v="0.95954295171840176"/>
  </r>
  <r>
    <x v="2"/>
    <s v="XVIII"/>
    <n v="2"/>
    <n v="265.02"/>
    <n v="5287"/>
    <s v="BRAZ FRANCISCO ALVES"/>
    <d v="2016-09-15T00:00:00"/>
    <n v="128501.96"/>
    <x v="0"/>
    <n v="111676.51"/>
    <n v="0.8690646430606972"/>
  </r>
  <r>
    <x v="2"/>
    <s v="XVIII"/>
    <n v="3"/>
    <n v="265.02"/>
    <n v="2388"/>
    <s v="SILVANO MARCOS DE SOUZA"/>
    <d v="2013-06-21T00:00:00"/>
    <n v="84700.39"/>
    <x v="1"/>
    <n v="49793.73"/>
    <n v="0.58788076418538338"/>
  </r>
  <r>
    <x v="2"/>
    <s v="XVIII"/>
    <n v="5"/>
    <n v="265.02"/>
    <n v="3919"/>
    <s v="WASHINGTON SOARES DE OLIVEIRA"/>
    <d v="2020-06-03T00:00:00"/>
    <n v="93060.2"/>
    <x v="0"/>
    <n v="78851.39"/>
    <n v="0.84731593097801206"/>
  </r>
  <r>
    <x v="2"/>
    <s v="XVIII"/>
    <n v="6"/>
    <n v="262.08"/>
    <n v="6887"/>
    <s v="ANDREA SARAIVA DA ROCHA ZIELONKA"/>
    <d v="2019-01-04T00:00:00"/>
    <n v="79900.009999999995"/>
    <x v="1"/>
    <n v="35890.269999999997"/>
    <n v="0.44918980610891035"/>
  </r>
  <r>
    <x v="2"/>
    <s v="XVIII"/>
    <n v="7"/>
    <n v="257.86"/>
    <m/>
    <s v="IZAEL DE PAULA GUIMARAES"/>
    <d v="2018-11-14T00:00:00"/>
    <n v="79900"/>
    <x v="0"/>
    <n v="77799.600000000006"/>
    <n v="0.97371214017521912"/>
  </r>
  <r>
    <x v="2"/>
    <s v="XVIII"/>
    <n v="8"/>
    <n v="253.77"/>
    <n v="6826"/>
    <s v="NATANAEL CARVALHO DOS SANTOS"/>
    <d v="2018-12-17T00:00:00"/>
    <n v="79900"/>
    <x v="1"/>
    <n v="59583.26"/>
    <n v="0.74572290362953697"/>
  </r>
  <r>
    <x v="2"/>
    <s v="XVIII"/>
    <n v="9"/>
    <n v="255.81"/>
    <n v="6795"/>
    <s v="ANTONIVALDO JESUS DA HORA"/>
    <d v="2018-12-03T00:00:00"/>
    <n v="79900"/>
    <x v="0"/>
    <n v="25050.41"/>
    <n v="0.31352202753441805"/>
  </r>
  <r>
    <x v="2"/>
    <s v="XVIII"/>
    <n v="12"/>
    <n v="255.81"/>
    <n v="6786"/>
    <s v="MIRIAM QUADROS MONTEIRO MARTINS"/>
    <d v="2018-12-05T00:00:00"/>
    <n v="77080"/>
    <x v="0"/>
    <n v="63206.54"/>
    <n v="0.82001219512195123"/>
  </r>
  <r>
    <x v="2"/>
    <s v="XVIII"/>
    <n v="13"/>
    <n v="255.81"/>
    <n v="3886"/>
    <s v="WALDIR PITELLA"/>
    <d v="2020-05-07T00:00:00"/>
    <n v="94000"/>
    <x v="0"/>
    <n v="87769.87"/>
    <n v="0.93372202127659565"/>
  </r>
  <r>
    <x v="2"/>
    <s v="XVIII"/>
    <n v="14"/>
    <n v="255.81"/>
    <n v="6882"/>
    <s v="ANDRE HENRIQUE DE SOUZA GUIRAO"/>
    <d v="2019-01-23T00:00:00"/>
    <n v="77080"/>
    <x v="0"/>
    <n v="19444.8"/>
    <n v="0.25226777374156717"/>
  </r>
  <r>
    <x v="2"/>
    <s v="XVIII"/>
    <n v="15"/>
    <n v="255.81"/>
    <m/>
    <s v="JESSICA SABRINA APARECIDA BRAGA"/>
    <d v="2018-11-10T00:00:00"/>
    <n v="79900"/>
    <x v="0"/>
    <n v="79279.520000000004"/>
    <n v="0.99223429286608267"/>
  </r>
  <r>
    <x v="2"/>
    <s v="XVIII"/>
    <n v="16"/>
    <n v="253.43"/>
    <n v="6831"/>
    <s v="MARCIO RODRIGUES"/>
    <d v="2019-01-07T00:00:00"/>
    <n v="79900"/>
    <x v="0"/>
    <n v="65447.95"/>
    <n v="0.8191232790988735"/>
  </r>
  <r>
    <x v="2"/>
    <s v="XVIII"/>
    <n v="17"/>
    <n v="258.2"/>
    <n v="3094"/>
    <s v="ELIZEU GETAO"/>
    <d v="2019-09-19T00:00:00"/>
    <n v="93060.9"/>
    <x v="0"/>
    <n v="87950.04"/>
    <n v="0.9450804795569353"/>
  </r>
  <r>
    <x v="2"/>
    <s v="XVIII"/>
    <n v="18"/>
    <n v="261.55"/>
    <n v="4172"/>
    <s v="MIGUEL DA SILVA"/>
    <d v="2020-06-08T00:00:00"/>
    <n v="93060"/>
    <x v="0"/>
    <n v="89191.29"/>
    <n v="0.95842778852353316"/>
  </r>
  <r>
    <x v="2"/>
    <s v="XVIII"/>
    <n v="19"/>
    <n v="265.79000000000002"/>
    <m/>
    <s v="VINCENZO TADEU ETERNO"/>
    <d v="2018-11-01T00:00:00"/>
    <n v="79900"/>
    <x v="2"/>
    <n v="50923.56"/>
    <n v="0.63734117647058819"/>
  </r>
  <r>
    <x v="2"/>
    <s v="XVIII"/>
    <n v="20"/>
    <n v="265.44"/>
    <m/>
    <s v="TAINA APARECIDA SIMAO"/>
    <d v="2018-11-05T00:00:00"/>
    <n v="79900"/>
    <x v="2"/>
    <n v="80696.92"/>
    <n v="1.0099739674593242"/>
  </r>
  <r>
    <x v="2"/>
    <s v="XVIII"/>
    <n v="21"/>
    <n v="265.44"/>
    <m/>
    <s v="CLAUDIONOR ELENO RICCI"/>
    <d v="2018-11-01T00:00:00"/>
    <n v="81999.679999999993"/>
    <x v="0"/>
    <n v="27630.959999999999"/>
    <n v="0.33696424181167539"/>
  </r>
  <r>
    <x v="2"/>
    <s v="XVIII"/>
    <n v="23"/>
    <n v="265.44"/>
    <n v="4635"/>
    <s v="MARCIA REGINA DE FREITAS SOUZA"/>
    <d v="2015-04-07T00:00:00"/>
    <n v="115000.2"/>
    <x v="1"/>
    <n v="202991.11"/>
    <n v="1.7651370171530136"/>
  </r>
  <r>
    <x v="2"/>
    <s v="XVIII - A"/>
    <n v="1"/>
    <n v="255.38"/>
    <n v="4360"/>
    <s v="MOYSES DO LAGO"/>
    <d v="2015-01-11T00:00:00"/>
    <n v="109600.16"/>
    <x v="1"/>
    <n v="233211.42"/>
    <n v="2.1278383170243549"/>
  </r>
  <r>
    <x v="2"/>
    <s v="XVIII - A"/>
    <n v="2"/>
    <n v="253.59"/>
    <m/>
    <s v="DALMO CORREIA"/>
    <d v="2018-11-22T00:00:00"/>
    <n v="79900.100000000006"/>
    <x v="2"/>
    <n v="37915.03"/>
    <n v="0.47453044489306018"/>
  </r>
  <r>
    <x v="2"/>
    <s v="XVIII - A"/>
    <n v="3"/>
    <n v="253.59"/>
    <n v="5299"/>
    <s v="DENISE APARECIDA BALZER"/>
    <d v="2016-09-15T00:00:00"/>
    <n v="122959.95"/>
    <x v="1"/>
    <n v="121290.36"/>
    <n v="0.98642167632631605"/>
  </r>
  <r>
    <x v="2"/>
    <s v="XVIII - B"/>
    <n v="1"/>
    <n v="256.08"/>
    <n v="2664"/>
    <s v="YASMIN ADRIANA DA SILVA ALVES"/>
    <d v="2013-07-09T00:00:00"/>
    <n v="81843.17"/>
    <x v="0"/>
    <n v="81304.53"/>
    <n v="0.99341863224506088"/>
  </r>
  <r>
    <x v="2"/>
    <s v="XVIII - B"/>
    <n v="2"/>
    <n v="256.08"/>
    <n v="6455"/>
    <s v="JOSE DONIZETE PIANISSOLA"/>
    <d v="2018-06-04T00:00:00"/>
    <n v="103400"/>
    <x v="0"/>
    <n v="101517.94"/>
    <n v="0.98179825918762087"/>
  </r>
  <r>
    <x v="2"/>
    <s v="XVIII - B"/>
    <n v="3"/>
    <n v="257.87"/>
    <n v="5158"/>
    <s v="DYESSICA YENDIS RIAN MIRANDA"/>
    <d v="2016-03-18T00:00:00"/>
    <n v="108152.67"/>
    <x v="1"/>
    <n v="121021.22"/>
    <n v="1.1189850421630829"/>
  </r>
  <r>
    <x v="3"/>
    <s v="XXIX"/>
    <n v="1"/>
    <n v="318.86"/>
    <n v="3843"/>
    <s v="OISON CAVALARI"/>
    <d v="2014-07-23T00:00:00"/>
    <n v="116153.83"/>
    <x v="0"/>
    <n v="109627.84"/>
    <n v="0.94381597231877756"/>
  </r>
  <r>
    <x v="3"/>
    <s v="XXIX"/>
    <n v="14"/>
    <n v="257.86"/>
    <n v="6618"/>
    <s v="BILL ANDERSON DA SILVA FRANCISCO"/>
    <d v="2018-09-01T00:00:00"/>
    <n v="159354.03"/>
    <x v="0"/>
    <n v="158659.01999999999"/>
    <n v="0.99563857908080511"/>
  </r>
  <r>
    <x v="3"/>
    <s v="XXIX"/>
    <n v="32"/>
    <n v="273.55"/>
    <n v="2598"/>
    <s v="ELIEL MARCIO PEDRO"/>
    <d v="2013-06-18T00:00:00"/>
    <n v="101350.5"/>
    <x v="0"/>
    <n v="100942.96"/>
    <n v="0.99597890488946783"/>
  </r>
  <r>
    <x v="3"/>
    <s v="XXIX"/>
    <n v="33"/>
    <n v="273.55"/>
    <n v="4504"/>
    <s v="ROBERTO MARTINS"/>
    <d v="2015-03-13T00:00:00"/>
    <n v="140633.82"/>
    <x v="0"/>
    <n v="132114.32999999999"/>
    <n v="0.93942075952996218"/>
  </r>
  <r>
    <x v="3"/>
    <s v="XXIX"/>
    <n v="41"/>
    <n v="258.7"/>
    <n v="2553"/>
    <s v="AUREO SILVA CASTRO"/>
    <d v="2013-06-20T00:00:00"/>
    <n v="94839.42"/>
    <x v="1"/>
    <n v="154894.79"/>
    <n v="1.6332321517782376"/>
  </r>
  <r>
    <x v="3"/>
    <s v="XXIX"/>
    <n v="42"/>
    <n v="258.7"/>
    <n v="2523"/>
    <s v="LEANDRO MARCAL BATISTA DE LIMA"/>
    <d v="2013-06-16T00:00:00"/>
    <n v="94839.42"/>
    <x v="0"/>
    <n v="90832.86"/>
    <n v="0.95775427559552773"/>
  </r>
  <r>
    <x v="3"/>
    <s v="XXIX"/>
    <n v="43"/>
    <n v="258.7"/>
    <n v="2672"/>
    <s v="RODRIGO CHANAN LOPES DE JESUS"/>
    <d v="2013-06-11T00:00:00"/>
    <n v="94839.42"/>
    <x v="0"/>
    <n v="50799.59"/>
    <n v="0.53563792355541606"/>
  </r>
  <r>
    <x v="3"/>
    <s v="XXIX"/>
    <n v="45"/>
    <n v="258.7"/>
    <n v="7131"/>
    <s v="LAIARA MARTINS BRASIL"/>
    <d v="2019-04-05T00:00:00"/>
    <n v="141000"/>
    <x v="0"/>
    <n v="57612.57"/>
    <n v="0.40859978723404256"/>
  </r>
  <r>
    <x v="3"/>
    <s v="XXVI"/>
    <n v="2"/>
    <n v="253.02"/>
    <n v="2421"/>
    <s v="VERA LUCIA GOMES MAGALHAES"/>
    <d v="2013-06-16T00:00:00"/>
    <n v="91567.94"/>
    <x v="0"/>
    <n v="72133.58"/>
    <n v="0.7877602138914559"/>
  </r>
  <r>
    <x v="3"/>
    <s v="XXVI"/>
    <n v="9"/>
    <n v="262.81"/>
    <n v="3456"/>
    <s v="MARCELO BUOSI BRIANEZI"/>
    <d v="2019-12-04T00:00:00"/>
    <n v="161680"/>
    <x v="0"/>
    <n v="81764.47"/>
    <n v="0.50571789955467594"/>
  </r>
  <r>
    <x v="3"/>
    <s v="XXVII"/>
    <n v="5"/>
    <n v="262.25"/>
    <n v="2645"/>
    <s v="CLAUDIA THAIS BERA"/>
    <d v="2013-06-29T00:00:00"/>
    <n v="96140.85"/>
    <x v="2"/>
    <n v="98029.23"/>
    <n v="1.0196418067866051"/>
  </r>
  <r>
    <x v="3"/>
    <s v="XXVII"/>
    <n v="6"/>
    <n v="262.25"/>
    <n v="2699"/>
    <s v="DALMO CORREIA"/>
    <d v="2013-07-12T00:00:00"/>
    <n v="96140.85"/>
    <x v="0"/>
    <n v="63580"/>
    <n v="0.66132138419828823"/>
  </r>
  <r>
    <x v="3"/>
    <s v="XXVII"/>
    <n v="7"/>
    <n v="262.25"/>
    <n v="2740"/>
    <s v="CARLOS HENRIQUE NAVARRO MAZZEO"/>
    <d v="2013-07-17T00:00:00"/>
    <n v="96140.85"/>
    <x v="1"/>
    <n v="144272.76"/>
    <n v="1.5006395304389342"/>
  </r>
  <r>
    <x v="3"/>
    <s v="XXVII"/>
    <n v="8"/>
    <n v="262.25"/>
    <n v="2714"/>
    <s v="GILDETE RODRIGUES DA CRUZ"/>
    <d v="2013-07-13T00:00:00"/>
    <n v="96140.85"/>
    <x v="1"/>
    <n v="141675.10999999999"/>
    <n v="1.4736203185222512"/>
  </r>
  <r>
    <x v="3"/>
    <s v="XXVII"/>
    <n v="10"/>
    <n v="262.25"/>
    <n v="2420"/>
    <s v="SIRLENE EVANGELISTA DE CARVALHO GONGORA"/>
    <d v="2013-06-25T00:00:00"/>
    <n v="96140.85"/>
    <x v="0"/>
    <n v="28275.05"/>
    <n v="0.29410027059257327"/>
  </r>
  <r>
    <x v="3"/>
    <s v="XXVII"/>
    <n v="11"/>
    <n v="262.25"/>
    <n v="2324"/>
    <s v="FABIO AUGUSTO GUIRARDELLI"/>
    <d v="2013-06-20T00:00:00"/>
    <n v="96140.85"/>
    <x v="0"/>
    <n v="86908.11"/>
    <n v="0.90396652411539935"/>
  </r>
  <r>
    <x v="3"/>
    <s v="XXVII"/>
    <n v="13"/>
    <n v="262.25"/>
    <n v="2619"/>
    <s v="JULIANO CEZARIO BORTOLASSI"/>
    <d v="2013-07-06T00:00:00"/>
    <n v="99838.57"/>
    <x v="1"/>
    <n v="61702.11"/>
    <n v="0.61801876769669273"/>
  </r>
  <r>
    <x v="3"/>
    <s v="XXVII"/>
    <n v="16"/>
    <n v="262.25"/>
    <n v="2333"/>
    <s v="LUIZ FERNANDO PERISOTTO TEXEIRA"/>
    <d v="2013-06-21T00:00:00"/>
    <n v="99838.57"/>
    <x v="2"/>
    <n v="74514.69"/>
    <n v="0.74635173560679002"/>
  </r>
  <r>
    <x v="3"/>
    <s v="XXVII"/>
    <n v="17"/>
    <n v="262.25"/>
    <n v="2331"/>
    <s v="LUIZ FERNANDO PERISOTTO TEXEIRA"/>
    <d v="2013-06-20T00:00:00"/>
    <n v="99838.57"/>
    <x v="2"/>
    <n v="78615.48"/>
    <n v="0.78742594169768243"/>
  </r>
  <r>
    <x v="3"/>
    <s v="XXVII"/>
    <n v="21"/>
    <n v="262.25"/>
    <n v="2665"/>
    <s v="SANDERSON CAVALCANTI DOS SANTOS"/>
    <d v="2013-07-13T00:00:00"/>
    <n v="98700"/>
    <x v="0"/>
    <n v="33975.53"/>
    <n v="0.34423029381965553"/>
  </r>
  <r>
    <x v="3"/>
    <s v="XXVIII"/>
    <n v="8"/>
    <n v="331.75"/>
    <n v="2587"/>
    <s v="MARLY APARECIDA BORGES KOTINDA"/>
    <d v="2013-06-11T00:00:00"/>
    <n v="124738"/>
    <x v="0"/>
    <n v="104420.07"/>
    <n v="0.8371151533614456"/>
  </r>
  <r>
    <x v="3"/>
    <s v="XXVIII"/>
    <n v="10"/>
    <n v="280.05"/>
    <n v="2615"/>
    <s v="CILAS FONSECA VIANNA"/>
    <d v="2013-06-17T00:00:00"/>
    <n v="105298.8"/>
    <x v="2"/>
    <n v="110044.63"/>
    <n v="1.045070124255927"/>
  </r>
  <r>
    <x v="3"/>
    <s v="XXVIII"/>
    <n v="12"/>
    <n v="267.94"/>
    <n v="2552"/>
    <s v="RAFAEL GOMES CARVALHO BOTELHO"/>
    <d v="2013-06-17T00:00:00"/>
    <n v="100745.44"/>
    <x v="1"/>
    <n v="202190.99"/>
    <n v="2.006949297159256"/>
  </r>
  <r>
    <x v="3"/>
    <s v="XXX"/>
    <n v="1"/>
    <n v="317.64"/>
    <n v="2605"/>
    <s v="GABRIEL GARCIA BOGO"/>
    <d v="2013-06-24T00:00:00"/>
    <n v="116446.82"/>
    <x v="1"/>
    <n v="175989.1"/>
    <n v="1.5113259426062471"/>
  </r>
  <r>
    <x v="3"/>
    <s v="XXX"/>
    <n v="2"/>
    <n v="259.51"/>
    <n v="2539"/>
    <s v="ROBSON CAMILLO DE SOUZA"/>
    <d v="2013-06-28T00:00:00"/>
    <n v="95136.37"/>
    <x v="2"/>
    <n v="95841.48"/>
    <n v="1.0074115714105973"/>
  </r>
  <r>
    <x v="3"/>
    <s v="XXX"/>
    <n v="3"/>
    <n v="259.51"/>
    <n v="2465"/>
    <s v="ELOUISE BATISTI DE SOUZA"/>
    <d v="2013-06-27T00:00:00"/>
    <n v="95136.37"/>
    <x v="2"/>
    <n v="95841.48"/>
    <n v="1.0074115714105973"/>
  </r>
  <r>
    <x v="3"/>
    <s v="XXX"/>
    <n v="5"/>
    <n v="259.51"/>
    <n v="2766"/>
    <s v="WANDERSON GERALDO GLATZ"/>
    <d v="2013-08-12T00:00:00"/>
    <n v="95136.37"/>
    <x v="0"/>
    <n v="94918.399999999994"/>
    <n v="0.99770886780733803"/>
  </r>
  <r>
    <x v="3"/>
    <s v="XXX"/>
    <n v="12"/>
    <n v="259.51"/>
    <n v="2357"/>
    <s v="KLEBER LUIZ PAGANI"/>
    <d v="2013-06-15T00:00:00"/>
    <n v="95136.37"/>
    <x v="0"/>
    <n v="92887.56"/>
    <n v="0.97636224716162712"/>
  </r>
  <r>
    <x v="3"/>
    <s v="XXX"/>
    <n v="20"/>
    <n v="277.73"/>
    <n v="3520"/>
    <s v="SELMA ROSA DA SILVA"/>
    <d v="2014-01-09T00:00:00"/>
    <n v="106775.67999999999"/>
    <x v="1"/>
    <n v="131965.99"/>
    <n v="1.235918048004939"/>
  </r>
  <r>
    <x v="3"/>
    <s v="XXX"/>
    <n v="28"/>
    <n v="263.51"/>
    <n v="3701"/>
    <s v="JONATHAS SIMEY ALVES DOS SANTOS"/>
    <d v="2014-04-15T00:00:00"/>
    <n v="106510.01"/>
    <x v="1"/>
    <n v="247984.23"/>
    <n v="2.3282715868677508"/>
  </r>
  <r>
    <x v="3"/>
    <s v="XXX"/>
    <n v="29"/>
    <n v="263.51"/>
    <n v="3580"/>
    <s v="VALQUIRIA GASPAROTTE"/>
    <d v="2014-03-05T00:00:00"/>
    <n v="106510.84"/>
    <x v="0"/>
    <n v="67225.929999999993"/>
    <n v="0.63116514713431981"/>
  </r>
  <r>
    <x v="3"/>
    <s v="XXX"/>
    <n v="32"/>
    <n v="263.51"/>
    <n v="3541"/>
    <s v="JANETE LONGHINI PONTES"/>
    <d v="2014-01-17T00:00:00"/>
    <n v="106510.22"/>
    <x v="1"/>
    <n v="112916.98"/>
    <n v="1.0601515985977683"/>
  </r>
  <r>
    <x v="3"/>
    <s v="XXX"/>
    <n v="34"/>
    <n v="250.97"/>
    <n v="2461"/>
    <s v="REGIANE GEREMIAS DOS SANTOS"/>
    <d v="2013-06-16T00:00:00"/>
    <n v="96723.839999999997"/>
    <x v="0"/>
    <n v="101630.03"/>
    <n v="1.0507236892166398"/>
  </r>
  <r>
    <x v="3"/>
    <s v="XXX"/>
    <n v="37"/>
    <n v="250.97"/>
    <m/>
    <s v="DIEGO ALEXANDRE FAGUNDES"/>
    <d v="2019-08-01T00:00:00"/>
    <n v="141000"/>
    <x v="2"/>
    <n v="141926.87"/>
    <n v="1.0065735460992908"/>
  </r>
  <r>
    <x v="3"/>
    <s v="XXX"/>
    <n v="39"/>
    <n v="250.97"/>
    <n v="6779"/>
    <s v="ANDERSON JOSE LIMA DA SILVA"/>
    <d v="2018-12-05T00:00:00"/>
    <n v="140999.88"/>
    <x v="0"/>
    <n v="57182.02"/>
    <n v="0.40554658628078261"/>
  </r>
  <r>
    <x v="3"/>
    <s v="XXX"/>
    <n v="41"/>
    <n v="250.97"/>
    <n v="2686"/>
    <s v="SIDNEY APARECIDO DE OLIVEIRA"/>
    <d v="2013-07-15T00:00:00"/>
    <n v="96723.839999999997"/>
    <x v="0"/>
    <n v="98006.43"/>
    <n v="1.0132603296147051"/>
  </r>
  <r>
    <x v="3"/>
    <s v="XXX"/>
    <n v="43"/>
    <n v="250.97"/>
    <n v="2473"/>
    <s v="EVERSON PEREIRA DOS SANTOS"/>
    <d v="2013-06-16T00:00:00"/>
    <n v="96723.839999999997"/>
    <x v="1"/>
    <n v="146135.96"/>
    <n v="1.5108577161535357"/>
  </r>
  <r>
    <x v="3"/>
    <s v="XXX"/>
    <n v="44"/>
    <n v="250.97"/>
    <n v="2459"/>
    <s v="JAIRO ANTONIO DOS SANTOS"/>
    <d v="2013-06-24T00:00:00"/>
    <n v="96706.92"/>
    <x v="0"/>
    <n v="65033.34"/>
    <n v="0.6724786602654701"/>
  </r>
  <r>
    <x v="3"/>
    <s v="XXX"/>
    <n v="47"/>
    <n v="334.77"/>
    <n v="3736"/>
    <s v="ANDERSON WILLIANS DE SOUZA CORTEZ"/>
    <d v="2020-02-03T00:00:00"/>
    <n v="205488.41"/>
    <x v="0"/>
    <n v="99362"/>
    <n v="0.4835406532173761"/>
  </r>
  <r>
    <x v="3"/>
    <s v="XXXII"/>
    <n v="4"/>
    <n v="250.7"/>
    <n v="3826"/>
    <s v="MARCUS VINICIUS RICARDO"/>
    <d v="2014-07-16T00:00:00"/>
    <n v="102094.45"/>
    <x v="1"/>
    <n v="217565.64"/>
    <n v="2.1310231849037828"/>
  </r>
  <r>
    <x v="3"/>
    <s v="XXXII"/>
    <n v="13"/>
    <n v="267.12"/>
    <n v="4185"/>
    <s v="HORACIO BORGES DOS REIS"/>
    <d v="2014-11-04T00:00:00"/>
    <n v="124357.18"/>
    <x v="0"/>
    <n v="20727.91"/>
    <n v="0.16668044418504827"/>
  </r>
  <r>
    <x v="3"/>
    <s v="XXXII"/>
    <n v="16"/>
    <n v="267.12"/>
    <n v="4138"/>
    <s v="MARCIO ROGERIO DA SILVA"/>
    <d v="2014-11-05T00:00:00"/>
    <n v="124774.8"/>
    <x v="0"/>
    <n v="116974.57"/>
    <n v="0.93748553393794265"/>
  </r>
  <r>
    <x v="3"/>
    <s v="XXXII"/>
    <n v="19"/>
    <n v="260.95999999999998"/>
    <n v="5362"/>
    <s v="VANDERSON FABIANO DA SILVA"/>
    <d v="2016-12-12T00:00:00"/>
    <n v="146578.5"/>
    <x v="0"/>
    <n v="134683.26999999999"/>
    <n v="0.91884737529719562"/>
  </r>
  <r>
    <x v="3"/>
    <s v="XXXII"/>
    <n v="23"/>
    <n v="318.23"/>
    <n v="4183"/>
    <s v="EDIOGENES DE ARAUJO AVILA"/>
    <d v="2014-11-13T00:00:00"/>
    <n v="148336.47"/>
    <x v="1"/>
    <n v="315548.49"/>
    <n v="2.1272482080772179"/>
  </r>
  <r>
    <x v="3"/>
    <s v="XXXIII"/>
    <n v="5"/>
    <n v="257.33"/>
    <n v="2371"/>
    <s v="PATRICIANE KELY DONIZETTI LOPES"/>
    <d v="2013-06-19T00:00:00"/>
    <n v="91918.28"/>
    <x v="0"/>
    <n v="94640.2"/>
    <n v="1.0296123904842431"/>
  </r>
  <r>
    <x v="3"/>
    <s v="XXXIII"/>
    <n v="8"/>
    <n v="257.73"/>
    <n v="3764"/>
    <s v="LEANDRO RENE GOMES"/>
    <d v="2020-02-03T00:00:00"/>
    <n v="157954.60999999999"/>
    <x v="0"/>
    <n v="153577.69"/>
    <n v="0.97229001420091521"/>
  </r>
  <r>
    <x v="3"/>
    <s v="XXXIII"/>
    <n v="9"/>
    <n v="257.33"/>
    <n v="3518"/>
    <s v="HUGO LUIZ PANCOTI"/>
    <d v="2014-01-16T00:00:00"/>
    <n v="96514.19"/>
    <x v="0"/>
    <n v="5889.11"/>
    <n v="6.1018074129824844E-2"/>
  </r>
  <r>
    <x v="3"/>
    <s v="XXXIII"/>
    <n v="10"/>
    <n v="257.33"/>
    <n v="2792"/>
    <s v="ALEXANDRE CESAR CESTARI"/>
    <d v="2013-08-16T00:00:00"/>
    <n v="91918.28"/>
    <x v="0"/>
    <n v="77035.210000000006"/>
    <n v="0.83808367606530509"/>
  </r>
  <r>
    <x v="3"/>
    <s v="XXXIII"/>
    <n v="11"/>
    <n v="257.33"/>
    <n v="3542"/>
    <s v="GILMAR CARDOSO DA SILVA"/>
    <d v="2014-01-22T00:00:00"/>
    <n v="96514.19"/>
    <x v="0"/>
    <n v="95016.21"/>
    <n v="0.98447917347697789"/>
  </r>
  <r>
    <x v="3"/>
    <s v="XXXIII"/>
    <n v="12"/>
    <n v="257.33"/>
    <m/>
    <s v="EDNEI LUCIO CORREIA"/>
    <d v="2019-08-01T00:00:00"/>
    <n v="150400"/>
    <x v="0"/>
    <n v="149133.94"/>
    <n v="0.99158204787234039"/>
  </r>
  <r>
    <x v="3"/>
    <s v="XXXIII"/>
    <n v="13"/>
    <n v="257.33"/>
    <n v="3563"/>
    <s v="EMERSON DO AMARAL PEREIRA"/>
    <d v="2014-02-17T00:00:00"/>
    <n v="96130.48"/>
    <x v="1"/>
    <n v="76327.11"/>
    <n v="0.79399489111049903"/>
  </r>
  <r>
    <x v="3"/>
    <s v="XXXIII"/>
    <n v="15"/>
    <n v="257.33"/>
    <n v="3601"/>
    <s v="FREDERICO MERCER DE LIMA"/>
    <d v="2014-03-23T00:00:00"/>
    <n v="101593.63"/>
    <x v="0"/>
    <n v="105722.12"/>
    <n v="1.0406372919247002"/>
  </r>
  <r>
    <x v="3"/>
    <s v="XXXIII"/>
    <n v="17"/>
    <n v="257.33"/>
    <n v="3570"/>
    <s v="EDUARDO LUCIO DA SILVA NETO"/>
    <d v="2014-02-21T00:00:00"/>
    <n v="96514.74"/>
    <x v="0"/>
    <n v="99161.77"/>
    <n v="1.027426173452884"/>
  </r>
  <r>
    <x v="3"/>
    <s v="XXXIII"/>
    <n v="20"/>
    <n v="251.98"/>
    <n v="3697"/>
    <s v="GUSTAVO ALUISIO DE PAULA"/>
    <d v="2014-04-15T00:00:00"/>
    <n v="99482.06"/>
    <x v="0"/>
    <n v="67818.63"/>
    <n v="0.68171718599313291"/>
  </r>
  <r>
    <x v="3"/>
    <s v="XXXIII"/>
    <n v="21"/>
    <n v="251.98"/>
    <n v="3735"/>
    <s v="WILLIAN VASCONCELOS NUNES"/>
    <d v="2014-05-15T00:00:00"/>
    <n v="99480.92"/>
    <x v="1"/>
    <n v="116053.54"/>
    <n v="1.1665909402526635"/>
  </r>
  <r>
    <x v="3"/>
    <s v="XXXIII"/>
    <n v="24"/>
    <n v="251.98"/>
    <n v="2597"/>
    <s v="RENATO DE MORAIS SILVA"/>
    <d v="2013-06-18T00:00:00"/>
    <n v="90007.26"/>
    <x v="1"/>
    <n v="87021.25"/>
    <n v="0.96682478724494003"/>
  </r>
  <r>
    <x v="3"/>
    <s v="XXXIII"/>
    <n v="25"/>
    <n v="251.98"/>
    <n v="3856"/>
    <s v="JOAO AMANDIO RODRIGUES DA COSTA JUNIOR"/>
    <d v="2014-08-07T00:00:00"/>
    <n v="100888.86"/>
    <x v="1"/>
    <n v="233736.28"/>
    <n v="2.3167699585464638"/>
  </r>
  <r>
    <x v="3"/>
    <s v="XXXIV"/>
    <n v="1"/>
    <n v="273.17"/>
    <n v="2295"/>
    <s v="LUCIANO BUENO"/>
    <d v="2013-06-14T00:00:00"/>
    <n v="96292.43"/>
    <x v="1"/>
    <n v="122358.23"/>
    <n v="1.2706941760634767"/>
  </r>
  <r>
    <x v="3"/>
    <s v="XXXIV"/>
    <n v="2"/>
    <n v="265.16000000000003"/>
    <n v="2426"/>
    <s v="MARCIO LOPES BAZZO"/>
    <d v="2013-06-20T00:00:00"/>
    <n v="95961.4"/>
    <x v="1"/>
    <n v="99461.8"/>
    <n v="1.0364771668608421"/>
  </r>
  <r>
    <x v="3"/>
    <s v="XXXIV"/>
    <n v="7"/>
    <n v="253.5"/>
    <n v="2447"/>
    <s v="MARCOS MASSARO THIBES"/>
    <d v="2013-06-24T00:00:00"/>
    <n v="91741.65"/>
    <x v="1"/>
    <n v="77914.649999999994"/>
    <n v="0.84928328627182958"/>
  </r>
  <r>
    <x v="3"/>
    <s v="XXXIV"/>
    <n v="8"/>
    <n v="253.5"/>
    <n v="2446"/>
    <s v="MARCOS MASSARO THIBES"/>
    <d v="2013-06-24T00:00:00"/>
    <n v="91741.65"/>
    <x v="1"/>
    <n v="88176.63"/>
    <n v="0.96114065966766471"/>
  </r>
  <r>
    <x v="3"/>
    <s v="XXXIV"/>
    <n v="9"/>
    <n v="253.5"/>
    <n v="3777"/>
    <s v="SILVIO AKIO NAKANO"/>
    <d v="2014-06-01T00:00:00"/>
    <n v="102204.35"/>
    <x v="0"/>
    <n v="105097.74"/>
    <n v="1.0283098517822382"/>
  </r>
  <r>
    <x v="3"/>
    <s v="XXXIV"/>
    <n v="11"/>
    <n v="253.5"/>
    <s v="4517"/>
    <s v="FERNANDO IMANISHI"/>
    <d v="2020-07-08T00:00:00"/>
    <n v="147580"/>
    <x v="0"/>
    <n v="141334.28"/>
    <n v="0.95767908930749424"/>
  </r>
  <r>
    <x v="3"/>
    <s v="XXXIV"/>
    <n v="15"/>
    <n v="292.86"/>
    <n v="2504"/>
    <s v="ANDRE LUIZ IWAI DA SILVA"/>
    <d v="2013-06-20T00:00:00"/>
    <n v="105986.03"/>
    <x v="0"/>
    <n v="107179.9"/>
    <n v="1.0112644090924059"/>
  </r>
  <r>
    <x v="4"/>
    <s v="IX"/>
    <n v="1"/>
    <n v="378.5"/>
    <n v="3803"/>
    <s v="JOAO PAULO PASCHOALETO FRATELLI"/>
    <d v="2020-03-02T00:00:00"/>
    <n v="187530"/>
    <x v="0"/>
    <n v="83391.25"/>
    <n v="0.4446821841838639"/>
  </r>
  <r>
    <x v="4"/>
    <s v="IX"/>
    <n v="9"/>
    <n v="254"/>
    <n v="3708"/>
    <s v="EDUARDO ALEXANDRE DA SILVA"/>
    <d v="2014-04-01T00:00:00"/>
    <n v="98669.94"/>
    <x v="0"/>
    <n v="17579.740000000002"/>
    <n v="0.1781671297256287"/>
  </r>
  <r>
    <x v="4"/>
    <s v="IX"/>
    <n v="10"/>
    <n v="254"/>
    <n v="3644"/>
    <s v="SEBASTIAO MONTEIRO"/>
    <d v="2014-04-01T00:00:00"/>
    <n v="98669.85"/>
    <x v="0"/>
    <n v="47173.33"/>
    <n v="0.47809264937567048"/>
  </r>
  <r>
    <x v="4"/>
    <s v="IX"/>
    <n v="11"/>
    <n v="254"/>
    <n v="3823"/>
    <s v="SILVIA HELENA FIORINI ALVES"/>
    <d v="2014-07-10T00:00:00"/>
    <n v="97873.35"/>
    <x v="0"/>
    <n v="100381.39"/>
    <n v="1.0256253617557791"/>
  </r>
  <r>
    <x v="4"/>
    <s v="IX"/>
    <n v="13"/>
    <n v="254"/>
    <n v="4855"/>
    <s v="FABIANO TERUO OMURA"/>
    <d v="2015-07-01T00:00:00"/>
    <n v="125499.4"/>
    <x v="0"/>
    <n v="68446.070000000007"/>
    <n v="0.54538961939260278"/>
  </r>
  <r>
    <x v="4"/>
    <s v="IX"/>
    <n v="16"/>
    <n v="254"/>
    <n v="4934"/>
    <s v="ARLINDO MARCOS FIRMINO"/>
    <d v="2015-08-14T00:00:00"/>
    <n v="128900.61"/>
    <x v="0"/>
    <n v="116762.87"/>
    <n v="0.90583644251179263"/>
  </r>
  <r>
    <x v="4"/>
    <s v="IX"/>
    <n v="22"/>
    <n v="254"/>
    <n v="5052"/>
    <s v="NILVA APARECIDA DINIS RIBEIRO"/>
    <d v="2015-12-22T00:00:00"/>
    <n v="123000.4"/>
    <x v="0"/>
    <n v="95715.69"/>
    <n v="0.77817381081687542"/>
  </r>
  <r>
    <x v="4"/>
    <s v="IX"/>
    <n v="25"/>
    <n v="254"/>
    <n v="5180"/>
    <s v="SANDRA KAAFA SOUTELLO"/>
    <d v="2016-04-01T00:00:00"/>
    <n v="129799.35"/>
    <x v="1"/>
    <n v="131181.54"/>
    <n v="1.0106486665765275"/>
  </r>
  <r>
    <x v="4"/>
    <s v="IX"/>
    <n v="26"/>
    <n v="254"/>
    <n v="5181"/>
    <s v="SANDRA KAAFA SOUTELLO"/>
    <d v="2016-04-01T00:00:00"/>
    <n v="129800.55"/>
    <x v="1"/>
    <n v="135087.18"/>
    <n v="1.0407288721041628"/>
  </r>
  <r>
    <x v="4"/>
    <s v="IX"/>
    <n v="27"/>
    <n v="254"/>
    <n v="5182"/>
    <s v="ROBERTO LOPES DE LIMA"/>
    <d v="2016-04-01T00:00:00"/>
    <n v="129800.55"/>
    <x v="1"/>
    <n v="138217.29"/>
    <n v="1.0648436389522233"/>
  </r>
  <r>
    <x v="4"/>
    <s v="IX"/>
    <n v="28"/>
    <n v="254"/>
    <n v="5195"/>
    <s v="DIOGO RIBEIRO GARCIA"/>
    <d v="2016-04-07T00:00:00"/>
    <n v="129799.4"/>
    <x v="0"/>
    <n v="67539.77"/>
    <n v="0.5203396163618631"/>
  </r>
  <r>
    <x v="4"/>
    <s v="IX"/>
    <n v="29"/>
    <n v="254"/>
    <n v="5150"/>
    <s v="MARIA GERALDA DE OLIVEIRA"/>
    <d v="2016-03-10T00:00:00"/>
    <n v="116820"/>
    <x v="0"/>
    <n v="51747.93"/>
    <n v="0.44297149460708785"/>
  </r>
  <r>
    <x v="4"/>
    <s v="IX"/>
    <n v="30"/>
    <n v="254"/>
    <n v="5151"/>
    <s v="MARIA GERALDA DE OLIVEIRA"/>
    <d v="2016-03-10T00:00:00"/>
    <n v="116820"/>
    <x v="0"/>
    <n v="51747.93"/>
    <n v="0.44297149460708785"/>
  </r>
  <r>
    <x v="4"/>
    <s v="XIII"/>
    <n v="1"/>
    <n v="290.68"/>
    <n v="3629"/>
    <s v="CLAUDIO MORYAMA"/>
    <d v="2014-04-01T00:00:00"/>
    <n v="112461.68"/>
    <x v="1"/>
    <n v="115810.91"/>
    <n v="1.0297810774301079"/>
  </r>
  <r>
    <x v="4"/>
    <s v="XIII"/>
    <n v="3"/>
    <n v="250.75"/>
    <n v="3791"/>
    <s v="MARIA DAS GRACAS FONSECA MORAES"/>
    <d v="2014-06-24T00:00:00"/>
    <n v="99075.15"/>
    <x v="1"/>
    <n v="192368.1"/>
    <n v="1.9416382412744266"/>
  </r>
  <r>
    <x v="4"/>
    <s v="XIII"/>
    <n v="7"/>
    <n v="250.75"/>
    <m/>
    <s v="HELTON LUIS DE OLIVEIRA"/>
    <d v="2019-08-14T00:00:00"/>
    <n v="141000"/>
    <x v="0"/>
    <n v="135172.73000000001"/>
    <n v="0.9586718439716313"/>
  </r>
  <r>
    <x v="4"/>
    <s v="XIII"/>
    <n v="13"/>
    <n v="250.75"/>
    <n v="3908"/>
    <s v="RAFAELI FRARE DE SIQUEIRA"/>
    <d v="2014-09-10T00:00:00"/>
    <n v="99562.240000000005"/>
    <x v="1"/>
    <n v="166486.15"/>
    <n v="1.6721816423575844"/>
  </r>
  <r>
    <x v="4"/>
    <s v="XIII"/>
    <n v="14"/>
    <n v="250.75"/>
    <n v="3907"/>
    <s v="RAFAELI FRARE DE SIQUEIRA"/>
    <d v="2014-09-10T00:00:00"/>
    <n v="99562.240000000005"/>
    <x v="1"/>
    <n v="166494.32"/>
    <n v="1.6722637015800368"/>
  </r>
  <r>
    <x v="4"/>
    <s v="XIII"/>
    <n v="17"/>
    <n v="250.75"/>
    <n v="3683"/>
    <s v="JOSE CARLOS BRUNO DE OLIVEIRA"/>
    <d v="2014-04-01T00:00:00"/>
    <n v="94000.12"/>
    <x v="1"/>
    <n v="180644.54"/>
    <n v="1.9217479722366313"/>
  </r>
  <r>
    <x v="4"/>
    <s v="XIII"/>
    <n v="20"/>
    <n v="250.75"/>
    <n v="3914"/>
    <s v="FABIO APARECIDO VAZ DANTAS"/>
    <d v="2014-09-16T00:00:00"/>
    <n v="99562.42"/>
    <x v="0"/>
    <n v="9394.59"/>
    <n v="9.4358795216106642E-2"/>
  </r>
  <r>
    <x v="4"/>
    <s v="XIII"/>
    <n v="21"/>
    <n v="250.75"/>
    <n v="4425"/>
    <s v="TEREZINHA RODRIGUES DA SILVA SOUZA"/>
    <d v="2015-02-19T00:00:00"/>
    <n v="116000.6"/>
    <x v="0"/>
    <n v="108065.58"/>
    <n v="0.93159500899133274"/>
  </r>
  <r>
    <x v="4"/>
    <s v="XIII"/>
    <n v="23"/>
    <n v="250.75"/>
    <n v="5227"/>
    <s v="JOSIANE JUNIA FACUNDO DE ALMEIDA"/>
    <d v="2016-06-08T00:00:00"/>
    <n v="129800"/>
    <x v="0"/>
    <n v="119021.05"/>
    <n v="0.91695724191063177"/>
  </r>
  <r>
    <x v="4"/>
    <s v="XIII"/>
    <n v="24"/>
    <n v="250.75"/>
    <n v="4115"/>
    <s v="MARCIA MESTRE MARTINELI"/>
    <d v="2014-11-05T00:00:00"/>
    <n v="110503.34"/>
    <x v="0"/>
    <n v="18523.46"/>
    <n v="0.16762805540538411"/>
  </r>
  <r>
    <x v="4"/>
    <s v="XIII"/>
    <n v="26"/>
    <n v="250.75"/>
    <n v="4163"/>
    <s v="EULALIA BOAVENTURA MACIEL"/>
    <d v="2014-11-04T00:00:00"/>
    <n v="108291.8"/>
    <x v="0"/>
    <n v="77914.34"/>
    <n v="0.71948513183823704"/>
  </r>
  <r>
    <x v="4"/>
    <s v="XVI"/>
    <n v="1"/>
    <n v="368.4"/>
    <n v="3627"/>
    <s v="CLAUDIO MORYAMA"/>
    <d v="2014-04-01T00:00:00"/>
    <n v="142079.42000000001"/>
    <x v="1"/>
    <n v="144277.59"/>
    <n v="1.0154714173241979"/>
  </r>
  <r>
    <x v="4"/>
    <s v="XVI"/>
    <n v="5"/>
    <n v="257.75"/>
    <n v="6073"/>
    <s v="CESAR ALVES DE MACEDO"/>
    <d v="2018-01-03T00:00:00"/>
    <n v="126203.3"/>
    <x v="0"/>
    <n v="99947.34"/>
    <n v="0.79195504396477745"/>
  </r>
  <r>
    <x v="4"/>
    <s v="XVI"/>
    <n v="9"/>
    <n v="257.75"/>
    <n v="6363"/>
    <s v="EDUARDO OLIVEIRA BONIFACIO"/>
    <d v="2018-05-10T00:00:00"/>
    <n v="126203.3"/>
    <x v="1"/>
    <n v="121243.83"/>
    <n v="0.96070253313502896"/>
  </r>
  <r>
    <x v="4"/>
    <s v="XVI"/>
    <n v="10"/>
    <n v="257.75"/>
    <n v="5078"/>
    <s v="C. PIRES EMPREENDIMENTOS IMOBILIARIOS LTDA"/>
    <d v="2016-01-20T00:00:00"/>
    <n v="122999.05"/>
    <x v="1"/>
    <n v="113202.84"/>
    <n v="0.92035540111895164"/>
  </r>
  <r>
    <x v="4"/>
    <s v="XVI"/>
    <n v="11"/>
    <n v="257.75"/>
    <m/>
    <s v="SANVIG MONITORAMENTO E CONSERVACAO LTDA"/>
    <d v="2019-02-18T00:00:00"/>
    <n v="124729.26"/>
    <x v="0"/>
    <n v="51270.18"/>
    <n v="0.41105174519595483"/>
  </r>
  <r>
    <x v="4"/>
    <s v="XVI"/>
    <n v="12"/>
    <n v="257.75"/>
    <n v="3964"/>
    <s v="ALESSANDRA BERBET"/>
    <d v="2014-10-03T00:00:00"/>
    <n v="89873.5"/>
    <x v="1"/>
    <n v="145924.03"/>
    <n v="1.6236602558039912"/>
  </r>
  <r>
    <x v="4"/>
    <s v="XVI"/>
    <n v="13"/>
    <n v="257.75"/>
    <n v="4125"/>
    <s v="ADILSON APARECIDO DOS SANTOS"/>
    <d v="2014-11-10T00:00:00"/>
    <n v="99750.92"/>
    <x v="0"/>
    <n v="94083.199999999997"/>
    <n v="0.94318127592206669"/>
  </r>
  <r>
    <x v="4"/>
    <s v="XVI"/>
    <n v="19"/>
    <n v="273.33999999999997"/>
    <n v="4750"/>
    <s v="IZAURA MARIA CARELLI"/>
    <d v="2015-05-01T00:00:00"/>
    <n v="115999.4"/>
    <x v="1"/>
    <n v="100291.56"/>
    <n v="0.86458688579423693"/>
  </r>
  <r>
    <x v="4"/>
    <s v="XVI"/>
    <n v="20"/>
    <n v="273.33999999999997"/>
    <n v="5345"/>
    <s v="DEMILTON SALES DOS SANTOS"/>
    <d v="2016-11-24T00:00:00"/>
    <n v="129142.05"/>
    <x v="0"/>
    <n v="116449.22"/>
    <n v="0.90171419766063798"/>
  </r>
  <r>
    <x v="4"/>
    <s v="XVI"/>
    <n v="21"/>
    <n v="273.33999999999997"/>
    <m/>
    <s v="MARIA APARECIDA BATISTA FERREIRA"/>
    <d v="2019-06-10T00:00:00"/>
    <n v="93060"/>
    <x v="1"/>
    <n v="84277.92"/>
    <n v="0.90562991618310762"/>
  </r>
  <r>
    <x v="4"/>
    <s v="XVI"/>
    <n v="22"/>
    <n v="273.33999999999997"/>
    <m/>
    <s v="RAFAEL DA COSTA BARROS"/>
    <d v="2019-07-02T00:00:00"/>
    <n v="93060"/>
    <x v="0"/>
    <n v="84062.9"/>
    <n v="0.90331936385127864"/>
  </r>
  <r>
    <x v="4"/>
    <s v="XVI"/>
    <n v="23"/>
    <n v="273.33999999999997"/>
    <m/>
    <s v="RITA DE CASSIA APARECIDA JARDIM"/>
    <d v="2019-07-16T00:00:00"/>
    <n v="93060.42"/>
    <x v="0"/>
    <n v="92624.8"/>
    <n v="0.99531895514763424"/>
  </r>
  <r>
    <x v="4"/>
    <s v="XVI"/>
    <n v="24"/>
    <n v="273.33999999999997"/>
    <n v="3734"/>
    <s v="GABRIEL FERNANDO CONSTANTINO"/>
    <d v="2020-01-20T00:00:00"/>
    <n v="93060"/>
    <x v="0"/>
    <n v="77587.97"/>
    <n v="0.83374134966688163"/>
  </r>
  <r>
    <x v="4"/>
    <s v="XVI"/>
    <n v="27"/>
    <n v="273.33999999999997"/>
    <m/>
    <s v="CLAUDIONOR HENRIQUE DA SILVA"/>
    <d v="2019-08-19T00:00:00"/>
    <n v="93060"/>
    <x v="0"/>
    <n v="87718.27"/>
    <n v="0.94259907586503333"/>
  </r>
  <r>
    <x v="5"/>
    <s v="XL"/>
    <n v="5"/>
    <n v="272.07"/>
    <n v="6218"/>
    <s v="MARCIO MAURICIO PERDIGAO"/>
    <d v="2018-02-19T00:00:00"/>
    <n v="135360"/>
    <x v="0"/>
    <n v="42504.56"/>
    <n v="0.31401122931442077"/>
  </r>
  <r>
    <x v="5"/>
    <s v="XL"/>
    <n v="7"/>
    <n v="287.39999999999998"/>
    <n v="5179"/>
    <s v="SANDRA KAAFA SOUTELLO"/>
    <d v="2016-04-01T00:00:00"/>
    <n v="160900.5"/>
    <x v="1"/>
    <n v="166415.25"/>
    <n v="1.0342742875255204"/>
  </r>
  <r>
    <x v="5"/>
    <s v="XL"/>
    <n v="9"/>
    <n v="287.39999999999998"/>
    <n v="4103"/>
    <s v="ANDRE BOBROFF CANAVEZI"/>
    <d v="2014-11-01T00:00:00"/>
    <n v="143077.37"/>
    <x v="1"/>
    <n v="250415.01"/>
    <n v="1.7502069684395234"/>
  </r>
  <r>
    <x v="5"/>
    <s v="XL"/>
    <n v="10"/>
    <n v="287.39999999999998"/>
    <n v="3927"/>
    <s v="ANDRE BOBROFF CANAVEZI"/>
    <d v="2014-10-01T00:00:00"/>
    <n v="128912.47"/>
    <x v="1"/>
    <n v="248618.45"/>
    <n v="1.928583402365962"/>
  </r>
  <r>
    <x v="5"/>
    <s v="XL"/>
    <n v="11"/>
    <n v="287.39999999999998"/>
    <n v="4102"/>
    <s v="ANDRE BOBROFF CANAVEZI"/>
    <d v="2014-11-01T00:00:00"/>
    <n v="143077.37"/>
    <x v="1"/>
    <n v="250414.87"/>
    <n v="1.7502059899479561"/>
  </r>
  <r>
    <x v="5"/>
    <s v="XL"/>
    <n v="12"/>
    <n v="287.39999999999998"/>
    <n v="3800"/>
    <s v="DIEGO RODRIGUES VIEIRA"/>
    <d v="2020-03-02T00:00:00"/>
    <n v="162093.6"/>
    <x v="0"/>
    <n v="151882.64000000001"/>
    <n v="0.93700577937685392"/>
  </r>
  <r>
    <x v="5"/>
    <s v="XL"/>
    <n v="13"/>
    <n v="283.56"/>
    <n v="4116"/>
    <s v="FABIO ANTUNES PEREIRA"/>
    <d v="2014-11-10T00:00:00"/>
    <n v="141221.4"/>
    <x v="0"/>
    <n v="114128.27"/>
    <n v="0.80815138498839412"/>
  </r>
  <r>
    <x v="5"/>
    <s v="XL"/>
    <n v="15"/>
    <n v="287.39999999999998"/>
    <n v="5752"/>
    <s v="ADRIANO SEPE"/>
    <d v="2017-07-05T00:00:00"/>
    <n v="167628.32"/>
    <x v="0"/>
    <n v="88950.31"/>
    <n v="0.53064010902215086"/>
  </r>
  <r>
    <x v="5"/>
    <s v="XL"/>
    <n v="18"/>
    <n v="256.19"/>
    <s v="4566"/>
    <s v="LEANDRO LINO DA SILVA"/>
    <d v="2020-07-22T00:00:00"/>
    <n v="135970.6"/>
    <x v="0"/>
    <n v="119678.95"/>
    <n v="0.8801825541697984"/>
  </r>
  <r>
    <x v="5"/>
    <s v="XL"/>
    <n v="20"/>
    <n v="256.19"/>
    <n v="6080"/>
    <s v="FLAVIO DA SILVA SENA"/>
    <d v="2018-01-02T00:00:00"/>
    <n v="121260"/>
    <x v="1"/>
    <n v="126990.71"/>
    <n v="1.0472596899224806"/>
  </r>
  <r>
    <x v="5"/>
    <s v="XL"/>
    <n v="22"/>
    <n v="256.19"/>
    <n v="5761"/>
    <s v="SANDRA MARIA SIMONELLI"/>
    <d v="2017-08-05T00:00:00"/>
    <n v="117500"/>
    <x v="1"/>
    <n v="96804.68"/>
    <n v="0.82386961702127659"/>
  </r>
  <r>
    <x v="5"/>
    <s v="XL"/>
    <n v="23"/>
    <n v="256.19"/>
    <n v="4937"/>
    <s v="LUIS ADRIANO PILCHOWSKI"/>
    <d v="2015-08-14T00:00:00"/>
    <n v="128899.7"/>
    <x v="2"/>
    <n v="71475.12"/>
    <n v="0.5545018335961992"/>
  </r>
  <r>
    <x v="5"/>
    <s v="XL"/>
    <n v="25"/>
    <n v="256.19"/>
    <n v="5091"/>
    <s v="MARILENA DE PAULO"/>
    <d v="2016-02-01T00:00:00"/>
    <n v="131500"/>
    <x v="0"/>
    <n v="124201.88"/>
    <n v="0.9445009885931559"/>
  </r>
  <r>
    <x v="5"/>
    <s v="XL"/>
    <n v="26"/>
    <n v="256.19"/>
    <n v="6055"/>
    <s v="EDUARDO DA SILVA"/>
    <d v="2017-12-12T00:00:00"/>
    <n v="121259.76"/>
    <x v="1"/>
    <n v="109397.26"/>
    <n v="0.90217282303709001"/>
  </r>
  <r>
    <x v="5"/>
    <s v="XL"/>
    <n v="27"/>
    <n v="256.19"/>
    <n v="5295"/>
    <s v="CHRISTIAN RIBEIRO FRANCO"/>
    <d v="2016-10-04T00:00:00"/>
    <n v="137422.92000000001"/>
    <x v="2"/>
    <n v="124154.65"/>
    <n v="0.90344936637934914"/>
  </r>
  <r>
    <x v="5"/>
    <s v="XL"/>
    <n v="28"/>
    <n v="256.19"/>
    <n v="6127"/>
    <s v="VANIA BALDUINO FARIAS"/>
    <d v="2018-01-10T00:00:00"/>
    <n v="121260"/>
    <x v="1"/>
    <n v="60617.35"/>
    <n v="0.49989567870691076"/>
  </r>
  <r>
    <x v="5"/>
    <s v="XL"/>
    <n v="29"/>
    <n v="256.19"/>
    <n v="6483"/>
    <s v="MIKAELA APARECIDA LIMA TEODORO"/>
    <d v="2018-06-13T00:00:00"/>
    <n v="131600"/>
    <x v="1"/>
    <n v="133735.15"/>
    <n v="1.0162245440729483"/>
  </r>
  <r>
    <x v="5"/>
    <s v="XL"/>
    <n v="31"/>
    <n v="277.37"/>
    <n v="6014"/>
    <s v="KAREN JEREMIAS FERMINO"/>
    <d v="2017-11-22T00:00:00"/>
    <n v="132539.85"/>
    <x v="0"/>
    <n v="155820.01"/>
    <n v="1.1756464942430522"/>
  </r>
  <r>
    <x v="5"/>
    <s v="XLI"/>
    <n v="1"/>
    <n v="370.23"/>
    <n v="6816"/>
    <s v="LEONARDO MEDEIROS GUILET PIRES"/>
    <d v="2018-12-05T00:00:00"/>
    <n v="155100"/>
    <x v="2"/>
    <n v="68976.94"/>
    <n v="0.44472559638942621"/>
  </r>
  <r>
    <x v="5"/>
    <s v="XLI"/>
    <n v="3"/>
    <n v="262.42"/>
    <n v="6594"/>
    <s v="RICARDO CANDIDO RODRIGUES"/>
    <d v="2018-08-16T00:00:00"/>
    <n v="124456"/>
    <x v="1"/>
    <n v="124038.27"/>
    <n v="0.99664355274153116"/>
  </r>
  <r>
    <x v="5"/>
    <s v="XLI"/>
    <n v="4"/>
    <n v="262.42"/>
    <n v="6577"/>
    <s v="POLEANE RODRIGUES"/>
    <d v="2018-08-01T00:00:00"/>
    <n v="126900"/>
    <x v="0"/>
    <n v="49659.73"/>
    <n v="0.39132962962962964"/>
  </r>
  <r>
    <x v="5"/>
    <s v="XLI"/>
    <n v="5"/>
    <n v="262.42"/>
    <n v="6810"/>
    <s v="THAIS AMARILHA DE CASTRO"/>
    <d v="2018-12-18T00:00:00"/>
    <n v="117500"/>
    <x v="1"/>
    <n v="117136.93"/>
    <n v="0.99691004255319138"/>
  </r>
  <r>
    <x v="5"/>
    <s v="XLI"/>
    <n v="6"/>
    <n v="262.42"/>
    <n v="7178"/>
    <s v="TATIANE MARIELE PAGLIOTO"/>
    <d v="2019-05-02T00:00:00"/>
    <n v="121025"/>
    <x v="0"/>
    <n v="116569.06"/>
    <n v="0.96318165668250355"/>
  </r>
  <r>
    <x v="5"/>
    <s v="XLI"/>
    <n v="7"/>
    <n v="262.42"/>
    <n v="2954"/>
    <s v="WESLEY DE LIMA PICCIOLI"/>
    <d v="2019-09-02T00:00:00"/>
    <n v="117499.65"/>
    <x v="0"/>
    <n v="67938.75"/>
    <n v="0.57820384996891483"/>
  </r>
  <r>
    <x v="5"/>
    <s v="XLI"/>
    <n v="9"/>
    <n v="262.42"/>
    <n v="7066"/>
    <s v="KRATOS ENGENHARIA LTDA"/>
    <d v="2019-04-01T00:00:00"/>
    <n v="121025"/>
    <x v="0"/>
    <n v="51409.05"/>
    <n v="0.42478041726915927"/>
  </r>
  <r>
    <x v="5"/>
    <s v="XLI"/>
    <n v="10"/>
    <n v="262.42"/>
    <n v="3729"/>
    <s v="EDSON REINALDO ROSSINI"/>
    <d v="2020-01-24T00:00:00"/>
    <n v="122200.2"/>
    <x v="0"/>
    <n v="112054.55"/>
    <n v="0.91697517680003804"/>
  </r>
  <r>
    <x v="5"/>
    <s v="XLI"/>
    <n v="12"/>
    <n v="277.48"/>
    <n v="2955"/>
    <s v="CINTHYA DE CARVALHO SOVENHI DIAS"/>
    <d v="2019-09-02T00:00:00"/>
    <n v="122800"/>
    <x v="1"/>
    <n v="129187.01"/>
    <n v="1.0520114820846904"/>
  </r>
  <r>
    <x v="5"/>
    <s v="XLI"/>
    <n v="13"/>
    <n v="277.48"/>
    <n v="2056"/>
    <s v="CINTHYA DE CARVALHO SOVENHI DIAS"/>
    <d v="2019-09-02T00:00:00"/>
    <n v="122800"/>
    <x v="1"/>
    <n v="129187.01"/>
    <n v="1.0520114820846904"/>
  </r>
  <r>
    <x v="5"/>
    <s v="XLI"/>
    <n v="15"/>
    <n v="255.46"/>
    <n v="4869"/>
    <s v="ROBERTA REIS DA SILVA TERRA"/>
    <d v="2015-07-07T00:00:00"/>
    <n v="118400.8"/>
    <x v="0"/>
    <n v="20015.599999999999"/>
    <n v="0.16904953344909829"/>
  </r>
  <r>
    <x v="5"/>
    <s v="XLI - A"/>
    <n v="3"/>
    <n v="255.45"/>
    <n v="5199"/>
    <s v="HELTON ERNANI DE AGUIAR"/>
    <d v="2016-04-01T00:00:00"/>
    <n v="116730"/>
    <x v="0"/>
    <n v="96648.65"/>
    <n v="0.82796753191124817"/>
  </r>
  <r>
    <x v="5"/>
    <s v="XLI - A"/>
    <n v="4"/>
    <n v="277.48"/>
    <n v="6385"/>
    <s v="RODRIGO LAFORE DOMENE"/>
    <d v="2018-05-14T00:00:00"/>
    <n v="123140"/>
    <x v="0"/>
    <n v="120818.14"/>
    <n v="0.98114455091765473"/>
  </r>
  <r>
    <x v="5"/>
    <s v="XLI - A"/>
    <n v="5"/>
    <n v="277.48"/>
    <n v="6252"/>
    <s v="BRUNO RODRIGUES CROCE"/>
    <d v="2018-03-16T00:00:00"/>
    <n v="124140"/>
    <x v="1"/>
    <n v="125572.11"/>
    <n v="1.0115362493958433"/>
  </r>
  <r>
    <x v="5"/>
    <s v="XLI - A"/>
    <n v="6"/>
    <n v="277.48"/>
    <n v="6282"/>
    <s v="CRISTIANE CAROLINA CRUZES"/>
    <d v="2018-03-28T00:00:00"/>
    <n v="123140"/>
    <x v="0"/>
    <n v="120581.62"/>
    <n v="0.97922381029722261"/>
  </r>
  <r>
    <x v="5"/>
    <s v="XLI - A"/>
    <n v="7"/>
    <n v="277.48"/>
    <n v="3699"/>
    <s v="LUIZ GUILHERME DE GOES"/>
    <d v="2020-01-15T00:00:00"/>
    <n v="122200.2"/>
    <x v="0"/>
    <n v="117452.16"/>
    <n v="0.96114539910736652"/>
  </r>
  <r>
    <x v="5"/>
    <s v="XLII"/>
    <n v="1"/>
    <n v="275.16000000000003"/>
    <n v="6150"/>
    <s v="JEFFERSON MOREIRA FRANCA"/>
    <d v="2018-01-29T00:00:00"/>
    <n v="129720"/>
    <x v="0"/>
    <n v="93426.22"/>
    <n v="0.72021446191797722"/>
  </r>
  <r>
    <x v="5"/>
    <s v="XLII"/>
    <n v="2"/>
    <n v="262.92"/>
    <m/>
    <s v="EDNILSON APARECIDO DA SILVA"/>
    <d v="2019-07-01T00:00:00"/>
    <n v="122200"/>
    <x v="0"/>
    <n v="116879.1"/>
    <n v="0.95645744680851064"/>
  </r>
  <r>
    <x v="5"/>
    <s v="XLII"/>
    <n v="3"/>
    <n v="253.01"/>
    <n v="6213"/>
    <s v="EDSON DE OLIVEIRA"/>
    <d v="2018-02-15T00:00:00"/>
    <n v="119380.1"/>
    <x v="0"/>
    <n v="2325.08"/>
    <n v="1.9476277872107661E-2"/>
  </r>
  <r>
    <x v="5"/>
    <s v="XLII"/>
    <n v="4"/>
    <n v="253.01"/>
    <n v="6524"/>
    <s v="LEONARDO NUNES BUONO"/>
    <d v="2018-07-03T00:00:00"/>
    <n v="131600"/>
    <x v="1"/>
    <n v="164651.14000000001"/>
    <n v="1.2511484802431612"/>
  </r>
  <r>
    <x v="5"/>
    <s v="XLII"/>
    <n v="5"/>
    <n v="253.01"/>
    <m/>
    <s v="GIOVANO APARECIDO DE LIMA"/>
    <d v="2018-11-23T00:00:00"/>
    <n v="272538.23"/>
    <x v="0"/>
    <n v="110901.37"/>
    <n v="0.40692041626600423"/>
  </r>
  <r>
    <x v="5"/>
    <s v="XLII"/>
    <n v="6"/>
    <n v="253.01"/>
    <n v="6331"/>
    <s v="FRANCIELLE SANCHES CARNELOSSI"/>
    <d v="2018-04-25T00:00:00"/>
    <n v="141353.45000000001"/>
    <x v="2"/>
    <n v="140097.17000000001"/>
    <n v="0.9911124914177899"/>
  </r>
  <r>
    <x v="5"/>
    <s v="XLII"/>
    <n v="7"/>
    <n v="253.01"/>
    <n v="5530"/>
    <s v="RENAN VINICIUS GOUVEIA ANCIOTO"/>
    <d v="2017-02-06T00:00:00"/>
    <n v="128212.23"/>
    <x v="1"/>
    <n v="122864.56"/>
    <n v="0.95829048445690401"/>
  </r>
  <r>
    <x v="5"/>
    <s v="XLII"/>
    <n v="9"/>
    <n v="253.01"/>
    <n v="5349"/>
    <s v="CRISTINA DA SILVA GERMANI"/>
    <d v="2016-12-01T00:00:00"/>
    <n v="136395.99"/>
    <x v="0"/>
    <n v="125324.4"/>
    <n v="0.9188275989638699"/>
  </r>
  <r>
    <x v="5"/>
    <s v="XLII"/>
    <n v="11"/>
    <n v="253.01"/>
    <n v="4811"/>
    <s v="DANIEL BRAGUETO MARTINS"/>
    <d v="2015-06-01T00:00:00"/>
    <n v="129699.4"/>
    <x v="1"/>
    <n v="186883.48"/>
    <n v="1.4408970280510165"/>
  </r>
  <r>
    <x v="5"/>
    <s v="XLII"/>
    <n v="12"/>
    <n v="253.01"/>
    <n v="3868"/>
    <s v="FELIPE MARTINS SCOTTON"/>
    <d v="2014-08-08T00:00:00"/>
    <n v="102223.52"/>
    <x v="0"/>
    <n v="103774.85"/>
    <n v="1.0151758616803648"/>
  </r>
  <r>
    <x v="5"/>
    <s v="XLII"/>
    <n v="15"/>
    <n v="272.5"/>
    <n v="4313"/>
    <s v="RODRIGO AUGUSTO MODESTO"/>
    <d v="2014-12-17T00:00:00"/>
    <n v="134352.85"/>
    <x v="0"/>
    <n v="84798.32"/>
    <n v="0.63116130398424752"/>
  </r>
  <r>
    <x v="5"/>
    <s v="XLII"/>
    <n v="16"/>
    <n v="272.5"/>
    <n v="4312"/>
    <s v="MARIA INEZ BUENO MODESTO"/>
    <d v="2014-12-17T00:00:00"/>
    <n v="134352.85"/>
    <x v="0"/>
    <n v="126518.06"/>
    <n v="0.9416849735602929"/>
  </r>
  <r>
    <x v="5"/>
    <s v="XLII"/>
    <n v="19"/>
    <n v="304.64"/>
    <m/>
    <s v="BENEDITA DE LOURDES CARDOSO"/>
    <d v="2019-08-23T00:00:00"/>
    <n v="154160.6"/>
    <x v="0"/>
    <n v="143539.38"/>
    <n v="0.93110288880557024"/>
  </r>
  <r>
    <x v="5"/>
    <s v="XLIII"/>
    <n v="1"/>
    <n v="300.63"/>
    <m/>
    <s v="ROBERTO CARDOSO"/>
    <d v="2019-02-04T00:00:00"/>
    <n v="141000"/>
    <x v="0"/>
    <n v="131386.13"/>
    <n v="0.93181652482269506"/>
  </r>
  <r>
    <x v="5"/>
    <s v="XLIII"/>
    <n v="2"/>
    <n v="265.06"/>
    <m/>
    <s v="GILBERTO MILLE"/>
    <d v="2018-11-28T00:00:00"/>
    <n v="117500"/>
    <x v="0"/>
    <n v="114457.84"/>
    <n v="0.97410927659574464"/>
  </r>
  <r>
    <x v="5"/>
    <s v="XLIII"/>
    <n v="6"/>
    <n v="253.77"/>
    <m/>
    <s v="LEO ANTONIO RAMOS"/>
    <d v="2019-06-03T00:00:00"/>
    <n v="122200.1"/>
    <x v="0"/>
    <n v="46583.91"/>
    <n v="0.38121008084281438"/>
  </r>
  <r>
    <x v="5"/>
    <s v="XLIII"/>
    <n v="9"/>
    <n v="251.25"/>
    <n v="3445"/>
    <s v="LEWI PETHRUS COSTA"/>
    <d v="2019-12-03T00:00:00"/>
    <n v="136299.75"/>
    <x v="0"/>
    <n v="124714.13"/>
    <n v="0.9149989636811513"/>
  </r>
  <r>
    <x v="5"/>
    <s v="XXXIX"/>
    <n v="1"/>
    <n v="332.84"/>
    <n v="4812"/>
    <s v="MARIA DAS GRACAS PICCININI"/>
    <d v="2015-06-01T00:00:00"/>
    <n v="174300"/>
    <x v="0"/>
    <n v="159253.95000000001"/>
    <n v="0.91367728055077457"/>
  </r>
  <r>
    <x v="5"/>
    <s v="XXXIX"/>
    <n v="3"/>
    <n v="250.5"/>
    <s v="4567"/>
    <s v="VALDEIR MAGALHAES"/>
    <d v="2020-07-20T00:00:00"/>
    <n v="141940"/>
    <x v="2"/>
    <n v="102932.58"/>
    <n v="0.72518373960828519"/>
  </r>
  <r>
    <x v="5"/>
    <s v="XXXIX"/>
    <n v="5"/>
    <n v="250.5"/>
    <n v="5165"/>
    <s v="GUILHERME GALAN CORDEIRO"/>
    <d v="2016-03-24T00:00:00"/>
    <n v="126990.9"/>
    <x v="1"/>
    <n v="169677.23"/>
    <n v="1.3361369200470272"/>
  </r>
  <r>
    <x v="5"/>
    <s v="XXXIX"/>
    <n v="7"/>
    <n v="250.5"/>
    <n v="5526"/>
    <s v="CASSIA REGINA BACELAR"/>
    <d v="2017-02-09T00:00:00"/>
    <n v="133280.68"/>
    <x v="0"/>
    <n v="129317.86"/>
    <n v="0.97026710848113928"/>
  </r>
  <r>
    <x v="5"/>
    <s v="XXXIX"/>
    <n v="8"/>
    <n v="250.5"/>
    <n v="7138"/>
    <s v="DIEGO SOARES DA SILVA"/>
    <d v="2019-04-04T00:00:00"/>
    <n v="148520"/>
    <x v="0"/>
    <n v="134064.04"/>
    <n v="0.90266657689200114"/>
  </r>
  <r>
    <x v="5"/>
    <s v="XXXIX"/>
    <n v="9"/>
    <n v="250.5"/>
    <n v="6158"/>
    <s v="CEZAR ALVES MOREIRA"/>
    <d v="2018-01-30T00:00:00"/>
    <n v="141000"/>
    <x v="0"/>
    <n v="138057.16"/>
    <n v="0.97912879432624111"/>
  </r>
  <r>
    <x v="5"/>
    <s v="XXXIX"/>
    <n v="10"/>
    <n v="250.5"/>
    <n v="5172"/>
    <s v="WALMI PEREIRA DE SOUZA"/>
    <d v="2016-04-04T00:00:00"/>
    <n v="141099.45000000001"/>
    <x v="0"/>
    <n v="115982.07"/>
    <n v="0.82198810838738212"/>
  </r>
  <r>
    <x v="5"/>
    <s v="XXXIX"/>
    <n v="11"/>
    <n v="250.5"/>
    <n v="5164"/>
    <s v="FERNANDO JUNIOR DE SOUZA"/>
    <d v="2016-04-01T00:00:00"/>
    <n v="141099.45000000001"/>
    <x v="0"/>
    <n v="132955.16"/>
    <n v="0.94227978918415334"/>
  </r>
  <r>
    <x v="5"/>
    <s v="XXXIX"/>
    <n v="13"/>
    <n v="250.5"/>
    <n v="5174"/>
    <s v="VICTOR BELIEIRO MALVEZZI"/>
    <d v="2016-03-21T00:00:00"/>
    <n v="141100.6"/>
    <x v="2"/>
    <n v="123709.18"/>
    <n v="0.87674453545909792"/>
  </r>
  <r>
    <x v="5"/>
    <s v="XXXIX"/>
    <n v="14"/>
    <n v="250.5"/>
    <n v="5261"/>
    <s v="DANIELE LUZIA ZAPPAROLI"/>
    <d v="2016-08-05T00:00:00"/>
    <n v="141081.9"/>
    <x v="0"/>
    <n v="87485.55"/>
    <n v="0.62010470513935523"/>
  </r>
  <r>
    <x v="5"/>
    <s v="XXXIX"/>
    <n v="19"/>
    <n v="250.5"/>
    <n v="6631"/>
    <s v="CARLOS ROBERTO GOMES DOS SANTOS"/>
    <d v="2018-09-14T00:00:00"/>
    <n v="152082.60999999999"/>
    <x v="0"/>
    <n v="143118.76999999999"/>
    <n v="0.94105940186060721"/>
  </r>
  <r>
    <x v="5"/>
    <s v="XXXIX"/>
    <n v="21"/>
    <n v="250.5"/>
    <n v="5330"/>
    <s v="DIEGO FREITAS DE SOUZA"/>
    <d v="2016-11-15T00:00:00"/>
    <n v="141082.26"/>
    <x v="1"/>
    <n v="155513.17000000001"/>
    <n v="1.1022872046421712"/>
  </r>
  <r>
    <x v="5"/>
    <s v="XXXIX"/>
    <n v="24"/>
    <n v="256.75"/>
    <n v="5962"/>
    <s v="DEIVIN BUSUTTIL"/>
    <d v="2017-10-30T00:00:00"/>
    <n v="140999.6"/>
    <x v="2"/>
    <n v="131476.85"/>
    <n v="0.93246257436191304"/>
  </r>
  <r>
    <x v="5"/>
    <s v="XXXIX"/>
    <n v="25"/>
    <n v="256.75"/>
    <n v="5982"/>
    <s v="LEANDRO NOGUEIRA SILVA"/>
    <d v="2017-11-07T00:00:00"/>
    <n v="133479.79999999999"/>
    <x v="0"/>
    <n v="111748.87"/>
    <n v="0.83719686424462736"/>
  </r>
  <r>
    <x v="5"/>
    <s v="XXXIX"/>
    <n v="31"/>
    <n v="256.75"/>
    <n v="5192"/>
    <s v="JOSE ORLANDO TAVARES CELESTINO"/>
    <d v="2016-04-15T00:00:00"/>
    <n v="145800.20000000001"/>
    <x v="1"/>
    <n v="211014.12"/>
    <n v="1.4472827883638018"/>
  </r>
  <r>
    <x v="5"/>
    <s v="XXXIX"/>
    <n v="34"/>
    <n v="256.75"/>
    <n v="5963"/>
    <s v="MARVIN PARREIRA BUSUTTIL"/>
    <d v="2017-10-30T00:00:00"/>
    <n v="140999.6"/>
    <x v="2"/>
    <n v="131476.85"/>
    <n v="0.93246257436191304"/>
  </r>
  <r>
    <x v="5"/>
    <s v="XXXIX"/>
    <n v="35"/>
    <n v="256.75"/>
    <n v="6072"/>
    <s v="SAMUEL ANTONIO VIANA"/>
    <d v="2018-01-02T00:00:00"/>
    <n v="140999.6"/>
    <x v="0"/>
    <n v="107473.72"/>
    <n v="0.76222712688546634"/>
  </r>
  <r>
    <x v="5"/>
    <s v="XXXIX"/>
    <n v="36"/>
    <n v="256.75"/>
    <n v="6200"/>
    <s v="SILVANA SOARES DE SOUZA"/>
    <d v="2018-02-19T00:00:00"/>
    <n v="152574.39000000001"/>
    <x v="1"/>
    <n v="145019.26"/>
    <n v="0.95048231882165801"/>
  </r>
  <r>
    <x v="5"/>
    <s v="XXXIX"/>
    <n v="37"/>
    <n v="256.75"/>
    <n v="5815"/>
    <s v="WELINGTON MARQUES MOREIRA JUNIOR"/>
    <d v="2017-09-04T00:00:00"/>
    <n v="124080"/>
    <x v="0"/>
    <n v="121829.58"/>
    <n v="0.9818631528046422"/>
  </r>
  <r>
    <x v="5"/>
    <s v="XXXIX"/>
    <n v="38"/>
    <n v="256.75"/>
    <n v="5807"/>
    <s v="BRUNO VINICIUS HONORATO CADINA"/>
    <d v="2017-08-31T00:00:00"/>
    <n v="124080"/>
    <x v="1"/>
    <n v="177303.1"/>
    <n v="1.4289418117343651"/>
  </r>
  <r>
    <x v="5"/>
    <s v="XXXIX"/>
    <n v="39"/>
    <n v="256.75"/>
    <n v="5240"/>
    <s v="VINICIUS MARQUES DE OLIVEIRA CAVALARI"/>
    <d v="2016-07-01T00:00:00"/>
    <n v="146346.9"/>
    <x v="1"/>
    <n v="181411.63"/>
    <n v="1.2396000871900943"/>
  </r>
  <r>
    <x v="5"/>
    <s v="XXXIX"/>
    <n v="40"/>
    <n v="256.75"/>
    <n v="5152"/>
    <s v="RAMON GUSTAVO DA SILVA"/>
    <d v="2016-03-04T00:00:00"/>
    <n v="131219.35"/>
    <x v="0"/>
    <n v="122779.13"/>
    <n v="0.93567854131269512"/>
  </r>
  <r>
    <x v="5"/>
    <s v="XXXIX"/>
    <n v="41"/>
    <n v="256.75"/>
    <m/>
    <s v="KELEY REGIANE APARECIDA DOS SANTOS"/>
    <d v="2019-07-16T00:00:00"/>
    <n v="144807"/>
    <x v="0"/>
    <n v="61575.12"/>
    <n v="0.42522198512502851"/>
  </r>
  <r>
    <x v="5"/>
    <s v="XXXIX"/>
    <n v="43"/>
    <n v="256.75"/>
    <n v="5269"/>
    <s v="SABRINA APARECIDA DIZARRO SALES"/>
    <d v="2016-08-26T00:00:00"/>
    <n v="137499.6"/>
    <x v="0"/>
    <n v="117958.71"/>
    <n v="0.8578840229353395"/>
  </r>
  <r>
    <x v="5"/>
    <s v="XXXV"/>
    <n v="2"/>
    <n v="251.75"/>
    <n v="5124"/>
    <s v="SHEILA PINTO SILVA"/>
    <d v="2016-02-03T00:00:00"/>
    <n v="130023.6"/>
    <x v="1"/>
    <n v="227146.32"/>
    <n v="1.7469622437772834"/>
  </r>
  <r>
    <x v="5"/>
    <s v="XXXV"/>
    <n v="3"/>
    <n v="251.75"/>
    <n v="3955"/>
    <s v="PATRICIA FRANCISCO GONCALVES"/>
    <d v="2014-10-03T00:00:00"/>
    <n v="113163.86"/>
    <x v="0"/>
    <n v="118903.46"/>
    <n v="1.0507193727750186"/>
  </r>
  <r>
    <x v="5"/>
    <s v="XXXV"/>
    <n v="8"/>
    <n v="251.75"/>
    <n v="5324"/>
    <s v="CAROLINA FONSECA DE ALMEIDA"/>
    <d v="2016-11-07T00:00:00"/>
    <n v="140980"/>
    <x v="0"/>
    <n v="117304.93"/>
    <n v="0.83206788196907355"/>
  </r>
  <r>
    <x v="5"/>
    <s v="XXXV"/>
    <n v="9"/>
    <n v="251.75"/>
    <n v="5325"/>
    <s v="CAROLINA FONSECA DE ALMEIDA"/>
    <d v="2016-11-07T00:00:00"/>
    <n v="140980"/>
    <x v="0"/>
    <n v="117304.93"/>
    <n v="0.83206788196907355"/>
  </r>
  <r>
    <x v="5"/>
    <s v="XXXV"/>
    <n v="10"/>
    <n v="251.75"/>
    <n v="5326"/>
    <s v="CAROLINA FONSECA DE ALMEIDA"/>
    <d v="2016-11-07T00:00:00"/>
    <n v="140980"/>
    <x v="0"/>
    <n v="117304.93"/>
    <n v="0.83206788196907355"/>
  </r>
  <r>
    <x v="5"/>
    <s v="XXXV"/>
    <n v="13"/>
    <n v="251.75"/>
    <n v="6337"/>
    <s v="JOAO MARCELO GUERRA"/>
    <d v="2018-05-01T00:00:00"/>
    <n v="146835.26"/>
    <x v="0"/>
    <n v="18128.32"/>
    <n v="0.12346026424443284"/>
  </r>
  <r>
    <x v="5"/>
    <s v="XXXV"/>
    <n v="14"/>
    <n v="251.75"/>
    <n v="5972"/>
    <s v="ADEL JUNIOR CONTINI LOPES"/>
    <d v="2017-10-09T00:00:00"/>
    <n v="124080"/>
    <x v="0"/>
    <n v="115599.95"/>
    <n v="0.93165659252095423"/>
  </r>
  <r>
    <x v="5"/>
    <s v="XXXV"/>
    <n v="17"/>
    <n v="251.75"/>
    <n v="5363"/>
    <s v="ALESSANDRO DALBELLO MENDES"/>
    <d v="2016-12-02T00:00:00"/>
    <n v="149921.14000000001"/>
    <x v="1"/>
    <n v="140720.44"/>
    <n v="0.93862973560633267"/>
  </r>
  <r>
    <x v="5"/>
    <s v="XXXV"/>
    <n v="18"/>
    <n v="267.82"/>
    <n v="5529"/>
    <s v="EMERSON JORGE BIM"/>
    <d v="2017-02-17T00:00:00"/>
    <n v="140926.67000000001"/>
    <x v="0"/>
    <n v="137090.46"/>
    <n v="0.97277867986237088"/>
  </r>
  <r>
    <x v="5"/>
    <s v="XXXV"/>
    <n v="20"/>
    <n v="267.82"/>
    <n v="5595"/>
    <s v="GUILHERME ANDRADE SALVADOR"/>
    <d v="2017-05-15T00:00:00"/>
    <n v="132671.67000000001"/>
    <x v="1"/>
    <n v="150207.66"/>
    <n v="1.132175844323057"/>
  </r>
  <r>
    <x v="5"/>
    <s v="XXXV"/>
    <n v="23"/>
    <n v="267.82"/>
    <n v="6189"/>
    <s v="GILMAR AMARAL GOMES"/>
    <d v="2018-02-07T00:00:00"/>
    <n v="131599.6"/>
    <x v="0"/>
    <n v="63800.62"/>
    <n v="0.48480861643956363"/>
  </r>
  <r>
    <x v="5"/>
    <s v="XXXV"/>
    <n v="24"/>
    <n v="267.82"/>
    <m/>
    <s v="LIVIA BEATRIZ LIMA LUIZETTO"/>
    <d v="2019-07-18T00:00:00"/>
    <n v="131600.42000000001"/>
    <x v="1"/>
    <n v="144695.20000000001"/>
    <n v="1.099504089728589"/>
  </r>
  <r>
    <x v="5"/>
    <s v="XXXV"/>
    <n v="25"/>
    <n v="267.82"/>
    <n v="7015"/>
    <s v="LEANDRO MARIA CLARO"/>
    <d v="2019-03-01T00:00:00"/>
    <n v="155371.26999999999"/>
    <x v="2"/>
    <n v="138336.20000000001"/>
    <n v="0.89035894473926891"/>
  </r>
  <r>
    <x v="5"/>
    <s v="XXXV"/>
    <n v="26"/>
    <n v="267.82"/>
    <n v="5956"/>
    <s v="ALINE CANDIDO DE OLIVEIRA"/>
    <d v="2017-10-30T00:00:00"/>
    <n v="126900"/>
    <x v="0"/>
    <n v="120121.02"/>
    <n v="0.94658014184397166"/>
  </r>
  <r>
    <x v="5"/>
    <s v="XXXV"/>
    <n v="27"/>
    <n v="267.82"/>
    <n v="6000"/>
    <s v="CARLOS ROBERTO DA SILVA JUNIOR"/>
    <d v="2017-11-23T00:00:00"/>
    <n v="127839.63"/>
    <x v="0"/>
    <n v="113109.43"/>
    <n v="0.88477594936718751"/>
  </r>
  <r>
    <x v="5"/>
    <s v="XXXVI"/>
    <n v="5"/>
    <n v="257"/>
    <n v="5806"/>
    <s v="ALEXANDRE FRANCO FERREIRA"/>
    <d v="2017-08-24T00:00:00"/>
    <n v="124079.4"/>
    <x v="0"/>
    <n v="114680.2"/>
    <n v="0.9242485053925148"/>
  </r>
  <r>
    <x v="5"/>
    <s v="XXXVI"/>
    <n v="6"/>
    <n v="257"/>
    <n v="5795"/>
    <s v="ADRIANO TORRES UNZER DOS SANTOS"/>
    <d v="2017-08-05T00:00:00"/>
    <n v="124080.6"/>
    <x v="2"/>
    <n v="109734.87"/>
    <n v="0.88438377957553393"/>
  </r>
  <r>
    <x v="5"/>
    <s v="XXXVI"/>
    <n v="8"/>
    <n v="257"/>
    <n v="5791"/>
    <s v="EDSON FIALHO DA COSTA"/>
    <d v="2017-08-20T00:00:00"/>
    <n v="124079.46"/>
    <x v="0"/>
    <n v="105215.61"/>
    <n v="0.84796959948084871"/>
  </r>
  <r>
    <x v="5"/>
    <s v="XXXVI"/>
    <n v="10"/>
    <n v="257"/>
    <n v="6318"/>
    <s v="LUCIANO CROCE"/>
    <d v="2018-04-11T00:00:00"/>
    <n v="152573.47"/>
    <x v="1"/>
    <n v="153962.98000000001"/>
    <n v="1.0091071534258218"/>
  </r>
  <r>
    <x v="5"/>
    <s v="XXXVI"/>
    <n v="13"/>
    <n v="257"/>
    <n v="6029"/>
    <s v="NATHALIA RODRIGUES INACIO"/>
    <d v="2017-12-05T00:00:00"/>
    <n v="126900.6"/>
    <x v="2"/>
    <n v="123250.11"/>
    <n v="0.97123346934529853"/>
  </r>
  <r>
    <x v="5"/>
    <s v="XXXVI"/>
    <n v="14"/>
    <n v="257"/>
    <n v="6031"/>
    <s v="NADDYNE RODRIGUES INACIO"/>
    <d v="2017-12-05T00:00:00"/>
    <n v="126900.6"/>
    <x v="0"/>
    <n v="122588.19"/>
    <n v="0.96601741835735999"/>
  </r>
  <r>
    <x v="5"/>
    <s v="XXXVI"/>
    <n v="16"/>
    <n v="257"/>
    <n v="6033"/>
    <s v="VALDEMIRO APARECIDO GIROLDO"/>
    <d v="2017-12-12T00:00:00"/>
    <n v="128779.28"/>
    <x v="0"/>
    <n v="106056.3"/>
    <n v="0.82355096254614879"/>
  </r>
  <r>
    <x v="5"/>
    <s v="XXXVI"/>
    <n v="17"/>
    <n v="257"/>
    <n v="6262"/>
    <s v="CARLOS CEZAR VIEIRA"/>
    <d v="2018-03-20T00:00:00"/>
    <n v="152573.28"/>
    <x v="0"/>
    <n v="33361.51"/>
    <n v="0.21865892900775288"/>
  </r>
  <r>
    <x v="5"/>
    <s v="XXXVI"/>
    <n v="18"/>
    <n v="257"/>
    <n v="4964"/>
    <s v="MARCO ANTONIO GERALDA"/>
    <d v="2015-09-10T00:00:00"/>
    <n v="150900.29"/>
    <x v="0"/>
    <n v="134136.93"/>
    <n v="0.88891101534662387"/>
  </r>
  <r>
    <x v="5"/>
    <s v="XXXVI"/>
    <n v="20"/>
    <n v="253.8"/>
    <n v="6330"/>
    <s v="RENATO NOBREGA GARCIA"/>
    <d v="2018-04-23T00:00:00"/>
    <n v="143820"/>
    <x v="0"/>
    <n v="11101.64"/>
    <n v="7.7191211236267557E-2"/>
  </r>
  <r>
    <x v="5"/>
    <s v="XXXVII"/>
    <n v="2"/>
    <n v="255.5"/>
    <n v="3944"/>
    <s v="LUCAS FABRICIO SALAMON"/>
    <d v="2014-10-02T00:00:00"/>
    <n v="112653.35"/>
    <x v="0"/>
    <n v="116990.49"/>
    <n v="1.038499875946876"/>
  </r>
  <r>
    <x v="5"/>
    <s v="XXXVII"/>
    <n v="11"/>
    <n v="255.5"/>
    <n v="3679"/>
    <s v="RAQUEL EUCANAS GOULART VIEIRA"/>
    <d v="2014-04-01T00:00:00"/>
    <n v="104037.94"/>
    <x v="1"/>
    <n v="165899.57"/>
    <n v="1.5946064483783513"/>
  </r>
  <r>
    <x v="5"/>
    <s v="XXXVII"/>
    <n v="13"/>
    <n v="255.5"/>
    <n v="6296"/>
    <s v="REGINALDO DA ROCHA"/>
    <d v="2018-02-15T00:00:00"/>
    <n v="141000"/>
    <x v="0"/>
    <n v="114796.57"/>
    <n v="0.81416007092198583"/>
  </r>
  <r>
    <x v="5"/>
    <s v="XXXVII"/>
    <n v="15"/>
    <n v="255.5"/>
    <n v="3909"/>
    <s v="RAFAEL FRANCISCO FRARE DE SIQUEIRA"/>
    <d v="2014-09-05T00:00:00"/>
    <n v="106295.01"/>
    <x v="1"/>
    <n v="177662.9"/>
    <n v="1.6714133617373008"/>
  </r>
  <r>
    <x v="5"/>
    <s v="XXXVII"/>
    <n v="16"/>
    <n v="255.5"/>
    <n v="3942"/>
    <s v="RAFAEL FRANCISCO FRARE DE SIQUEIRA"/>
    <d v="2014-10-01T00:00:00"/>
    <n v="106293.2"/>
    <x v="1"/>
    <n v="177781.84"/>
    <n v="1.6725608035133011"/>
  </r>
  <r>
    <x v="5"/>
    <s v="XXXVII"/>
    <n v="20"/>
    <n v="255.5"/>
    <n v="4124"/>
    <s v="GILBERTO ZEQUIM MALDONADO"/>
    <d v="2014-11-01T00:00:00"/>
    <n v="127412.46"/>
    <x v="1"/>
    <n v="121515.36"/>
    <n v="0.95371645755838941"/>
  </r>
  <r>
    <x v="5"/>
    <s v="XXXVII"/>
    <n v="21"/>
    <n v="340.83"/>
    <n v="3730"/>
    <s v="CELSO HIROSHI MIYASAKI"/>
    <d v="2014-05-01T00:00:00"/>
    <n v="138664.25"/>
    <x v="1"/>
    <n v="101469.03"/>
    <n v="0.73176056553870228"/>
  </r>
  <r>
    <x v="5"/>
    <s v="XXXVII"/>
    <n v="22"/>
    <n v="334.57"/>
    <n v="5155"/>
    <s v="LINDAMARA HUNKA"/>
    <d v="2016-03-14T00:00:00"/>
    <n v="189899.7"/>
    <x v="0"/>
    <n v="22557.65"/>
    <n v="0.11878718081176537"/>
  </r>
  <r>
    <x v="5"/>
    <s v="XXXVII"/>
    <n v="25"/>
    <n v="254.5"/>
    <n v="3875"/>
    <s v="TEREZINHA ROSA DE SOUZA"/>
    <d v="2014-08-12T00:00:00"/>
    <n v="103131.2"/>
    <x v="2"/>
    <n v="89904.93"/>
    <n v="0.87175297097289661"/>
  </r>
  <r>
    <x v="5"/>
    <s v="XXXVII"/>
    <n v="33"/>
    <n v="254.5"/>
    <n v="6805"/>
    <s v="FERNANDO DE OLIVEIRA GARBETO"/>
    <d v="2018-12-15T00:00:00"/>
    <n v="155100"/>
    <x v="0"/>
    <n v="149330.72"/>
    <n v="0.96280283687943258"/>
  </r>
  <r>
    <x v="5"/>
    <s v="XXXVII"/>
    <n v="36"/>
    <n v="254.5"/>
    <n v="3757"/>
    <s v="HERMES RINALDIN"/>
    <d v="2014-06-01T00:00:00"/>
    <n v="105373.52"/>
    <x v="2"/>
    <n v="90987.69"/>
    <n v="0.86347775038738384"/>
  </r>
  <r>
    <x v="5"/>
    <s v="XXXVII"/>
    <n v="38"/>
    <n v="254.5"/>
    <n v="4290"/>
    <s v="LUIS GUSTAVO DOS SANTOS SAMPAIO"/>
    <d v="2020-06-19T00:00:00"/>
    <n v="161679.6"/>
    <x v="0"/>
    <n v="142227.37"/>
    <n v="0.87968655291081865"/>
  </r>
  <r>
    <x v="5"/>
    <s v="XXXVII"/>
    <n v="39"/>
    <n v="254.5"/>
    <n v="3748"/>
    <s v="AGUSTINHO FERREIRA CHAVES"/>
    <d v="2014-05-08T00:00:00"/>
    <n v="103642.57"/>
    <x v="0"/>
    <n v="105773.82"/>
    <n v="1.020563461519721"/>
  </r>
  <r>
    <x v="5"/>
    <s v="XXXVII"/>
    <n v="41"/>
    <n v="254.5"/>
    <n v="3750"/>
    <s v="HELEN BERNARDO DA SILVA BENTO"/>
    <d v="2014-05-22T00:00:00"/>
    <n v="103642.57"/>
    <x v="1"/>
    <n v="54951.29"/>
    <n v="0.53019999407579332"/>
  </r>
  <r>
    <x v="5"/>
    <s v="XXXVII"/>
    <n v="42"/>
    <n v="353.3"/>
    <m/>
    <s v="EWERTON MITSUSTOCHI SUZUKI"/>
    <d v="2019-02-11T00:00:00"/>
    <n v="117660"/>
    <x v="2"/>
    <n v="88034.52"/>
    <n v="0.74821111677715457"/>
  </r>
  <r>
    <x v="5"/>
    <s v="XXXVIII"/>
    <n v="1"/>
    <n v="343.2"/>
    <n v="5545"/>
    <s v="PAULO FERNANDO DOS SANTOS"/>
    <d v="2017-03-05T00:00:00"/>
    <n v="184805.89"/>
    <x v="2"/>
    <n v="196140.88"/>
    <n v="1.0613345711005207"/>
  </r>
  <r>
    <x v="5"/>
    <s v="XXXVIII"/>
    <n v="3"/>
    <n v="253.75"/>
    <n v="5131"/>
    <s v="DEBORA SALES RODRIGUES MACHADO"/>
    <d v="2016-03-01T00:00:00"/>
    <n v="130050"/>
    <x v="0"/>
    <n v="91181.26"/>
    <n v="0.70112464436755095"/>
  </r>
  <r>
    <x v="5"/>
    <s v="XXXVIII"/>
    <n v="12"/>
    <n v="253.75"/>
    <n v="4291"/>
    <s v="ROBERTSON RODRIGUES"/>
    <d v="2020-06-18T00:00:00"/>
    <n v="150400.4"/>
    <x v="0"/>
    <n v="140468.43"/>
    <n v="0.93396314105547595"/>
  </r>
  <r>
    <x v="5"/>
    <s v="XXXVIII"/>
    <n v="14"/>
    <n v="253.75"/>
    <n v="4910"/>
    <s v="CARLOS JUNIO RIBEIRO SILVA"/>
    <d v="2015-08-04T00:00:00"/>
    <n v="142800.75"/>
    <x v="1"/>
    <n v="151207.04000000001"/>
    <n v="1.0588672678539854"/>
  </r>
  <r>
    <x v="5"/>
    <s v="XXXVIII"/>
    <n v="16"/>
    <n v="253.75"/>
    <n v="4477"/>
    <s v="FELIPE PEREIRA SIMOES"/>
    <d v="2015-03-01T00:00:00"/>
    <n v="132999.9"/>
    <x v="0"/>
    <n v="123676.27"/>
    <n v="0.92989746608832047"/>
  </r>
  <r>
    <x v="5"/>
    <s v="XXXVIII"/>
    <n v="19"/>
    <n v="253.75"/>
    <n v="5129"/>
    <s v="PATRICIA JANAINA SILVA EL KADRI"/>
    <d v="2016-03-04T00:00:00"/>
    <n v="127160.4"/>
    <x v="1"/>
    <n v="142017.48000000001"/>
    <n v="1.1168373172780206"/>
  </r>
  <r>
    <x v="5"/>
    <s v="XXXVIII"/>
    <n v="21"/>
    <n v="366.62"/>
    <n v="5314"/>
    <s v="ZENILDO BEZERRA DA SILVA"/>
    <d v="2016-10-15T00:00:00"/>
    <n v="208973.4"/>
    <x v="0"/>
    <n v="118194"/>
    <n v="0.56559351572975314"/>
  </r>
  <r>
    <x v="5"/>
    <s v="XXXVIII"/>
    <n v="26"/>
    <n v="255.25"/>
    <n v="5084"/>
    <s v="DANIEL FORCATO SANDOLI"/>
    <d v="2016-02-01T00:00:00"/>
    <n v="137000"/>
    <x v="0"/>
    <n v="91870.59"/>
    <n v="0.67058824817518248"/>
  </r>
  <r>
    <x v="5"/>
    <s v="XXXVIII"/>
    <n v="27"/>
    <n v="255.25"/>
    <n v="4099"/>
    <s v="CELIA GUERRA BICUDO"/>
    <d v="2014-11-01T00:00:00"/>
    <n v="127291.14"/>
    <x v="1"/>
    <n v="121291.59"/>
    <n v="0.95286749729792664"/>
  </r>
  <r>
    <x v="5"/>
    <s v="XXXVIII"/>
    <n v="30"/>
    <n v="255.25"/>
    <n v="3765"/>
    <s v="THIAGO PASQUETTO BURANELLO"/>
    <d v="2020-02-03T00:00:00"/>
    <n v="144172.48000000001"/>
    <x v="0"/>
    <n v="59799.75"/>
    <n v="0.41477922832429598"/>
  </r>
  <r>
    <x v="5"/>
    <s v="XXXVIII"/>
    <n v="32"/>
    <n v="255.25"/>
    <n v="5132"/>
    <s v="MARIO HIDEKI ITO"/>
    <d v="2016-03-03T00:00:00"/>
    <n v="130049.2"/>
    <x v="0"/>
    <n v="6508.89"/>
    <n v="5.0049442826253454E-2"/>
  </r>
  <r>
    <x v="5"/>
    <s v="XXXVIII"/>
    <n v="36"/>
    <n v="255.25"/>
    <n v="3857"/>
    <s v="MARCOS ANTONIO BARZON"/>
    <d v="2014-08-08T00:00:00"/>
    <n v="103099.76"/>
    <x v="0"/>
    <n v="1598.04"/>
    <n v="1.549993908812203E-2"/>
  </r>
  <r>
    <x v="5"/>
    <s v="XXXVIII"/>
    <n v="39"/>
    <n v="255.25"/>
    <n v="3307"/>
    <s v="WELLINGTON CORONADO FABRI"/>
    <d v="2019-11-19T00:00:00"/>
    <n v="144172.5"/>
    <x v="0"/>
    <n v="56269.18"/>
    <n v="0.39029065875947216"/>
  </r>
  <r>
    <x v="5"/>
    <s v="XXXVIII"/>
    <n v="40"/>
    <n v="255.25"/>
    <n v="5042"/>
    <s v="LUCILENE MARIA RODRIGUES"/>
    <d v="2015-12-01T00:00:00"/>
    <n v="136999.70000000001"/>
    <x v="2"/>
    <n v="133812.04999999999"/>
    <n v="0.97673243080094319"/>
  </r>
  <r>
    <x v="5"/>
    <s v="XXXVIII"/>
    <n v="41"/>
    <n v="255.25"/>
    <n v="4996"/>
    <s v="ELAINE CRISTINA RODRIGUES NOVO"/>
    <d v="2015-10-14T00:00:00"/>
    <n v="149800.44"/>
    <x v="1"/>
    <n v="281834.02"/>
    <n v="1.8813964765390543"/>
  </r>
  <r>
    <x v="5"/>
    <s v="XXXVIII"/>
    <n v="42"/>
    <n v="353.3"/>
    <n v="6381"/>
    <s v="FABIO MARQUI"/>
    <d v="2018-05-25T00:00:00"/>
    <n v="145000"/>
    <x v="0"/>
    <n v="9474.9599999999991"/>
    <n v="6.5344551724137931E-2"/>
  </r>
  <r>
    <x v="6"/>
    <s v="X"/>
    <n v="1"/>
    <n v="334.04"/>
    <m/>
    <s v="CLEBIO SELMO MARQUES"/>
    <d v="2019-02-13T00:00:00"/>
    <n v="156999.4"/>
    <x v="0"/>
    <n v="147856.16"/>
    <n v="0.94176257998438218"/>
  </r>
  <r>
    <x v="6"/>
    <s v="X"/>
    <n v="2"/>
    <n v="252.5"/>
    <n v="3470"/>
    <s v="PAULO SERGIO BARBOSA"/>
    <d v="2019-12-10T00:00:00"/>
    <n v="122200"/>
    <x v="0"/>
    <n v="120282.93"/>
    <n v="0.98431202945990171"/>
  </r>
  <r>
    <x v="6"/>
    <s v="X"/>
    <n v="27"/>
    <n v="252.5"/>
    <n v="3136"/>
    <s v="THAIS FERNANDA VASCONCELOS DOS SANTOS"/>
    <d v="2019-10-24T00:00:00"/>
    <n v="105280"/>
    <x v="0"/>
    <n v="104329.86"/>
    <n v="0.99097511398176297"/>
  </r>
  <r>
    <x v="6"/>
    <s v="X"/>
    <n v="28"/>
    <n v="439.76"/>
    <n v="3137"/>
    <s v="THAIS FERNANDA VASCONCELOS DOS SANTOS"/>
    <d v="2019-10-24T00:00:00"/>
    <n v="164500"/>
    <x v="0"/>
    <n v="163188.71"/>
    <n v="0.99202863221884496"/>
  </r>
  <r>
    <x v="6"/>
    <s v="XIV"/>
    <n v="1"/>
    <n v="279.54000000000002"/>
    <n v="7103"/>
    <s v="BRUNO BORTOLETO CORA"/>
    <d v="2019-04-10T00:00:00"/>
    <n v="135325.26"/>
    <x v="2"/>
    <n v="116713"/>
    <n v="0.86246278041512714"/>
  </r>
  <r>
    <x v="6"/>
    <s v="XIV"/>
    <n v="2"/>
    <n v="257"/>
    <n v="7250"/>
    <s v="KAIO HENRIQUE ALBANO CAVALARI"/>
    <d v="2019-05-24T00:00:00"/>
    <n v="112800"/>
    <x v="0"/>
    <n v="108379.7"/>
    <n v="0.96081294326241129"/>
  </r>
  <r>
    <x v="6"/>
    <s v="XIV"/>
    <n v="3"/>
    <n v="257"/>
    <n v="6886"/>
    <s v="ANDREA BRENZAN ALVIM"/>
    <d v="2019-01-22T00:00:00"/>
    <n v="120790"/>
    <x v="0"/>
    <n v="117896.63"/>
    <n v="0.97604627866545246"/>
  </r>
  <r>
    <x v="6"/>
    <s v="XIV"/>
    <n v="4"/>
    <n v="257"/>
    <n v="6881"/>
    <s v="ANDREA BRENZAN ALVIM"/>
    <d v="2019-01-18T00:00:00"/>
    <n v="120790"/>
    <x v="0"/>
    <n v="117896.63"/>
    <n v="0.97604627866545246"/>
  </r>
  <r>
    <x v="6"/>
    <s v="XIV"/>
    <n v="5"/>
    <n v="257"/>
    <n v="7017"/>
    <s v="ROSANGELA DE CASSIA DIAS"/>
    <d v="2019-03-01T00:00:00"/>
    <n v="124413.42"/>
    <x v="0"/>
    <n v="121076.04"/>
    <n v="0.97317508030886057"/>
  </r>
  <r>
    <x v="6"/>
    <s v="XIV"/>
    <n v="16"/>
    <n v="257"/>
    <n v="7135"/>
    <s v="NILTON CESAR GONCALVES CAMARGO"/>
    <d v="2019-04-22T00:00:00"/>
    <n v="111971.39"/>
    <x v="1"/>
    <n v="95900.36"/>
    <n v="0.85647199699851906"/>
  </r>
  <r>
    <x v="6"/>
    <s v="XIV"/>
    <n v="17"/>
    <n v="257"/>
    <n v="4311"/>
    <s v="GABRIELLA MIDORI UENO MAZETI"/>
    <d v="2020-06-01T00:00:00"/>
    <n v="124080"/>
    <x v="0"/>
    <n v="92400"/>
    <n v="0.74468085106382975"/>
  </r>
  <r>
    <x v="6"/>
    <s v="XIV"/>
    <n v="18"/>
    <n v="257"/>
    <n v="7102"/>
    <s v="APARECIDO FRANCESCHINI"/>
    <d v="2019-04-08T00:00:00"/>
    <n v="99530.91"/>
    <x v="1"/>
    <n v="99206.13"/>
    <n v="0.99673689309180435"/>
  </r>
  <r>
    <x v="6"/>
    <s v="XIV"/>
    <n v="19"/>
    <n v="257"/>
    <n v="7243"/>
    <s v="WILSON LOPES DE SOUSA JUNIOR"/>
    <d v="2019-05-10T00:00:00"/>
    <n v="99531.16"/>
    <x v="2"/>
    <n v="97922.6"/>
    <n v="0.98383862902833652"/>
  </r>
  <r>
    <x v="6"/>
    <s v="XIV"/>
    <n v="20"/>
    <n v="257"/>
    <n v="6814"/>
    <s v="MARCOS JOSE DE MOURA"/>
    <d v="2018-12-21T00:00:00"/>
    <n v="94000"/>
    <x v="0"/>
    <n v="37838.28"/>
    <n v="0.40253489361702127"/>
  </r>
  <r>
    <x v="6"/>
    <s v="XIV"/>
    <n v="21"/>
    <n v="257"/>
    <n v="6808"/>
    <s v="MARCOS JOSE DE MOURA"/>
    <d v="2018-12-21T00:00:00"/>
    <n v="94000"/>
    <x v="1"/>
    <n v="39156.01"/>
    <n v="0.41655329787234047"/>
  </r>
  <r>
    <x v="6"/>
    <s v="XIV"/>
    <n v="22"/>
    <n v="257"/>
    <n v="6834"/>
    <s v="JOAO BATISTA DA SILVA JUNIOR"/>
    <d v="2019-01-14T00:00:00"/>
    <n v="96632"/>
    <x v="0"/>
    <n v="73313.279999999999"/>
    <n v="0.75868532163258551"/>
  </r>
  <r>
    <x v="6"/>
    <s v="XIV"/>
    <n v="23"/>
    <n v="261.19"/>
    <n v="3230"/>
    <s v="PATRICIA DE PAULA PADILHA"/>
    <d v="2019-11-04T00:00:00"/>
    <n v="101153.4"/>
    <x v="0"/>
    <n v="83309.41"/>
    <n v="0.82359475806052995"/>
  </r>
  <r>
    <x v="6"/>
    <s v="XIV"/>
    <n v="24"/>
    <n v="254.95"/>
    <n v="6777"/>
    <s v="WASHINGTON DE OLIVEIRA DRUMOND"/>
    <d v="2018-12-05T00:00:00"/>
    <n v="91068.14"/>
    <x v="0"/>
    <n v="67357.210000000006"/>
    <n v="0.73963528847739735"/>
  </r>
  <r>
    <x v="6"/>
    <s v="XIV"/>
    <n v="25"/>
    <n v="254.95"/>
    <n v="3135"/>
    <s v="EMERSON SOUZA DE ALMEIDA"/>
    <d v="2019-10-22T00:00:00"/>
    <n v="93800.35"/>
    <x v="0"/>
    <n v="89191.45"/>
    <n v="0.95086478888404991"/>
  </r>
  <r>
    <x v="6"/>
    <s v="XIV"/>
    <n v="26"/>
    <n v="532.03"/>
    <n v="3101"/>
    <s v="ANDERSON FRANCO GIL"/>
    <d v="2019-09-20T00:00:00"/>
    <n v="195802"/>
    <x v="0"/>
    <n v="168597.88"/>
    <n v="0.86106311477921571"/>
  </r>
  <r>
    <x v="6"/>
    <s v="XVII"/>
    <n v="2"/>
    <n v="265.01"/>
    <n v="3227"/>
    <s v="BRUNO FERREIRA DA SILVA"/>
    <d v="2019-11-05T00:00:00"/>
    <n v="89300"/>
    <x v="0"/>
    <n v="84950.1"/>
    <n v="0.95128891377379621"/>
  </r>
  <r>
    <x v="6"/>
    <s v="XVII"/>
    <n v="11"/>
    <n v="265.01"/>
    <m/>
    <s v="GUILHERME ROCHA HIDALGO MORENO"/>
    <d v="2019-02-18T00:00:00"/>
    <n v="76916.350000000006"/>
    <x v="0"/>
    <n v="64983.78"/>
    <n v="0.84486302327138496"/>
  </r>
  <r>
    <x v="6"/>
    <s v="XVII"/>
    <n v="15"/>
    <n v="264.81"/>
    <n v="7016"/>
    <s v="WILSON ALESSANDRO DOS SANTOS"/>
    <d v="2019-02-14T00:00:00"/>
    <n v="74676.42"/>
    <x v="0"/>
    <n v="68601.11"/>
    <n v="0.91864486808553492"/>
  </r>
  <r>
    <x v="6"/>
    <s v="XVII"/>
    <n v="16"/>
    <n v="264.81"/>
    <n v="3076"/>
    <s v="JUVENAL TENORIO DA ROCHA"/>
    <d v="2019-09-02T00:00:00"/>
    <n v="73131.649999999994"/>
    <x v="0"/>
    <n v="70629.34"/>
    <n v="0.96578348772385147"/>
  </r>
  <r>
    <x v="6"/>
    <s v="XVII"/>
    <n v="17"/>
    <n v="372.89"/>
    <m/>
    <s v="PRISCILA JESSILYN DA ROCHA"/>
    <d v="2019-02-15T00:00:00"/>
    <n v="105154.98"/>
    <x v="2"/>
    <n v="82201.52"/>
    <n v="0.78171780356955045"/>
  </r>
  <r>
    <x v="7"/>
    <s v="L"/>
    <n v="2"/>
    <n v="255.91"/>
    <m/>
    <s v="GUILHERME NEVES BORGES"/>
    <d v="2019-08-14T00:00:00"/>
    <n v="101520"/>
    <x v="2"/>
    <n v="100971.88"/>
    <n v="0.99460086682427118"/>
  </r>
  <r>
    <x v="7"/>
    <s v="L"/>
    <n v="3"/>
    <n v="252.96"/>
    <n v="4213"/>
    <s v="VANESSA FRAGA DE ALMEIDA"/>
    <d v="2020-06-10T00:00:00"/>
    <n v="101520"/>
    <x v="0"/>
    <n v="97017.4"/>
    <n v="0.95564814814814814"/>
  </r>
  <r>
    <x v="7"/>
    <s v="L"/>
    <n v="4"/>
    <n v="266.76"/>
    <n v="3110"/>
    <s v="ROBERTA ALINE SCATAMBURGO"/>
    <d v="2019-10-03T00:00:00"/>
    <n v="99640.8"/>
    <x v="0"/>
    <n v="91709.06"/>
    <n v="0.92039666482003346"/>
  </r>
  <r>
    <x v="7"/>
    <s v="L"/>
    <n v="5"/>
    <n v="266.76"/>
    <n v="3737"/>
    <s v="THIAGO RUFINO DE OLIVEIRA GOMES"/>
    <d v="2020-02-03T00:00:00"/>
    <n v="101519.4"/>
    <x v="0"/>
    <n v="79043.59"/>
    <n v="0.77860576402145798"/>
  </r>
  <r>
    <x v="7"/>
    <s v="L"/>
    <n v="6"/>
    <n v="266.76"/>
    <n v="3818"/>
    <s v="ALEXANDRE MARTINS MOREIRA"/>
    <d v="2020-03-17T00:00:00"/>
    <n v="101520"/>
    <x v="0"/>
    <n v="89532.1"/>
    <n v="0.88191587864460208"/>
  </r>
  <r>
    <x v="7"/>
    <s v="L"/>
    <n v="7"/>
    <n v="266.76"/>
    <n v="3229"/>
    <s v="DIEGO RODRIGUES"/>
    <d v="2019-11-04T00:00:00"/>
    <n v="101520"/>
    <x v="0"/>
    <n v="97722.38"/>
    <n v="0.96259239558707643"/>
  </r>
  <r>
    <x v="7"/>
    <s v="L"/>
    <n v="8"/>
    <n v="266.76"/>
    <n v="3102"/>
    <s v="LUCIVANA DOS SANTOS"/>
    <d v="2019-09-27T00:00:00"/>
    <n v="101520"/>
    <x v="0"/>
    <n v="96669.06"/>
    <n v="0.95221690307328599"/>
  </r>
  <r>
    <x v="7"/>
    <s v="L"/>
    <n v="9"/>
    <n v="266.76"/>
    <n v="4186"/>
    <s v="MARCELLE ZACARIAS SILVA TOLENTINO BEZERRA"/>
    <d v="2020-06-15T00:00:00"/>
    <n v="101520"/>
    <x v="0"/>
    <n v="87930.73"/>
    <n v="0.86614194247438925"/>
  </r>
  <r>
    <x v="7"/>
    <s v="L"/>
    <n v="12"/>
    <n v="266.76"/>
    <s v="4395"/>
    <s v="THIAGO AUGUSTO RIGONI"/>
    <d v="2020-07-05T00:00:00"/>
    <n v="101520.1"/>
    <x v="0"/>
    <n v="92000.1"/>
    <n v="0.90622546668098236"/>
  </r>
  <r>
    <x v="7"/>
    <s v="L"/>
    <n v="15"/>
    <n v="266.76"/>
    <n v="4166"/>
    <s v="MARCIO MERINO DE  LIMA"/>
    <d v="2020-06-10T00:00:00"/>
    <n v="101520"/>
    <x v="0"/>
    <n v="97187.03"/>
    <n v="0.95731905043341214"/>
  </r>
  <r>
    <x v="7"/>
    <s v="LI"/>
    <n v="8"/>
    <n v="267.08"/>
    <n v="6793"/>
    <s v="PRISCILA GARCIA NEGRELI"/>
    <d v="2018-12-05T00:00:00"/>
    <n v="125527.55"/>
    <x v="1"/>
    <n v="135233.07999999999"/>
    <n v="1.0773179274191202"/>
  </r>
  <r>
    <x v="7"/>
    <s v="XLIV"/>
    <n v="3"/>
    <n v="302.08"/>
    <n v="3802"/>
    <s v="FABRICIO DELFINO DOS SANTOS"/>
    <d v="2020-03-06T00:00:00"/>
    <n v="171000"/>
    <x v="0"/>
    <n v="113896.9"/>
    <n v="0.66606374269005841"/>
  </r>
  <r>
    <x v="7"/>
    <s v="XLIV"/>
    <n v="4"/>
    <n v="321.25"/>
    <n v="4266"/>
    <s v="NELSON LEITE DOS SANTOS FILHO"/>
    <d v="2020-06-19T00:00:00"/>
    <n v="172020"/>
    <x v="0"/>
    <n v="97733.47"/>
    <n v="0.56815178467620042"/>
  </r>
  <r>
    <x v="7"/>
    <s v="XLIV"/>
    <n v="5"/>
    <n v="302.08"/>
    <n v="3902"/>
    <s v="LEANDRO DA SILVA CREPALDI"/>
    <d v="2020-05-30T00:00:00"/>
    <n v="182360"/>
    <x v="2"/>
    <n v="178055.26"/>
    <n v="0.97639427506032028"/>
  </r>
  <r>
    <x v="7"/>
    <s v="XLIX"/>
    <n v="4"/>
    <n v="250.41"/>
    <s v="4520"/>
    <s v="AUGUSTO CESAR DA SILVA MOREIRA"/>
    <d v="2020-07-06T00:00:00"/>
    <n v="108100"/>
    <x v="0"/>
    <n v="102309.47"/>
    <n v="0.94643358001850142"/>
  </r>
  <r>
    <x v="7"/>
    <s v="XLIX"/>
    <n v="5"/>
    <n v="256.73"/>
    <n v="7118"/>
    <s v="INGRID RODRIGUES PAULINO"/>
    <d v="2019-04-09T00:00:00"/>
    <n v="120554.72"/>
    <x v="2"/>
    <n v="124030.77"/>
    <n v="1.0288337943134869"/>
  </r>
  <r>
    <x v="7"/>
    <s v="XLIX"/>
    <n v="7"/>
    <n v="256.73"/>
    <n v="6872"/>
    <s v="RYANDER ALVES PEREIRA CRIVILIM"/>
    <d v="2019-01-17T00:00:00"/>
    <n v="104635.72"/>
    <x v="0"/>
    <n v="25244.86"/>
    <n v="0.24126426424934047"/>
  </r>
  <r>
    <x v="7"/>
    <s v="XLIX"/>
    <n v="9"/>
    <n v="256.73"/>
    <n v="3138"/>
    <s v="KARLA CAROLINA CARNIETTO TEODORO"/>
    <d v="2019-10-23T00:00:00"/>
    <n v="106220.55"/>
    <x v="0"/>
    <n v="90762.96"/>
    <n v="0.85447646429998714"/>
  </r>
  <r>
    <x v="7"/>
    <s v="XLIX"/>
    <n v="10"/>
    <n v="256.73"/>
    <s v="4521"/>
    <s v="FRANCISCO FERNANDES JUNIOR"/>
    <d v="2020-07-17T00:00:00"/>
    <n v="103400"/>
    <x v="0"/>
    <n v="45000"/>
    <n v="0.43520309477756286"/>
  </r>
  <r>
    <x v="7"/>
    <s v="XLIX"/>
    <n v="11"/>
    <n v="256.73"/>
    <s v="4519"/>
    <s v="DOUGLAS DUARTE VIEIRA"/>
    <d v="2020-07-17T00:00:00"/>
    <n v="103400"/>
    <x v="0"/>
    <n v="60000"/>
    <n v="0.58027079303675044"/>
  </r>
  <r>
    <x v="7"/>
    <s v="XLIX"/>
    <n v="12"/>
    <n v="256.73"/>
    <s v="4581"/>
    <s v="CLEONILDO DA SILVA POGGIAN"/>
    <d v="2020-07-22T00:00:00"/>
    <n v="101520"/>
    <x v="2"/>
    <n v="102336.96000000001"/>
    <n v="1.0080472813238772"/>
  </r>
  <r>
    <x v="7"/>
    <s v="XLIX"/>
    <n v="13"/>
    <n v="256.73"/>
    <n v="3763"/>
    <s v="GILBERTO FELIPE CAPELOTO"/>
    <d v="2020-02-04T00:00:00"/>
    <n v="108099.75"/>
    <x v="0"/>
    <n v="98354.85"/>
    <n v="0.90985270548729302"/>
  </r>
  <r>
    <x v="7"/>
    <s v="XLIX"/>
    <n v="16"/>
    <n v="256.73"/>
    <m/>
    <s v="WILLIAM EVANGELISTA TEODORO"/>
    <d v="2019-08-14T00:00:00"/>
    <n v="108100"/>
    <x v="2"/>
    <n v="107541.55"/>
    <n v="0.99483395004625352"/>
  </r>
  <r>
    <x v="7"/>
    <s v="XLIX"/>
    <n v="26"/>
    <n v="263.97000000000003"/>
    <m/>
    <s v="MARCOS RIBEIRO MORGAN"/>
    <d v="2019-06-20T00:00:00"/>
    <n v="117500"/>
    <x v="2"/>
    <n v="38800.39"/>
    <n v="0.33021608510638295"/>
  </r>
  <r>
    <x v="7"/>
    <s v="XLIX"/>
    <n v="27"/>
    <n v="263.97000000000003"/>
    <n v="3786"/>
    <s v="MARCOS RIBEIRO MORGAN"/>
    <d v="2020-02-06T00:00:00"/>
    <n v="117500"/>
    <x v="2"/>
    <n v="100330.19"/>
    <n v="0.8538739574468085"/>
  </r>
  <r>
    <x v="7"/>
    <s v="XLV"/>
    <n v="11"/>
    <n v="268.16000000000003"/>
    <n v="3819"/>
    <s v="ALEX CAETANO DA SILVA"/>
    <d v="2020-03-10T00:00:00"/>
    <n v="129815.67999999999"/>
    <x v="0"/>
    <n v="122814.51"/>
    <n v="0.94606837941302624"/>
  </r>
  <r>
    <x v="7"/>
    <s v="XLVI"/>
    <n v="1"/>
    <n v="275.70999999999998"/>
    <n v="3149"/>
    <s v="ROBERTO LUIZ REYS LOPEZ"/>
    <d v="2019-10-23T00:00:00"/>
    <n v="194694.97"/>
    <x v="0"/>
    <n v="73140.84"/>
    <n v="0.37566887321228687"/>
  </r>
  <r>
    <x v="7"/>
    <s v="XLVI"/>
    <n v="4"/>
    <n v="252.75"/>
    <m/>
    <s v="PAULO MASSAYOSHI TANNO"/>
    <d v="2019-02-18T00:00:00"/>
    <n v="136300"/>
    <x v="1"/>
    <n v="98959.51"/>
    <n v="0.72604189288334553"/>
  </r>
  <r>
    <x v="7"/>
    <s v="XLVI"/>
    <n v="6"/>
    <n v="252.75"/>
    <s v="4518"/>
    <s v="RAFAELA MAICHAK DE CARVALHO"/>
    <d v="2020-07-03T00:00:00"/>
    <n v="138604.53"/>
    <x v="2"/>
    <n v="138858.14000000001"/>
    <n v="1.0018297381766672"/>
  </r>
  <r>
    <x v="7"/>
    <s v="XLVII"/>
    <n v="4"/>
    <n v="261.33999999999997"/>
    <n v="3738"/>
    <s v="NATANY CARDOZO RODRIGUES"/>
    <d v="2020-02-03T00:00:00"/>
    <n v="151818.43"/>
    <x v="0"/>
    <n v="145931.42000000001"/>
    <n v="0.96122335081452248"/>
  </r>
  <r>
    <x v="7"/>
    <s v="XLVII"/>
    <n v="9"/>
    <n v="257.64"/>
    <n v="2958"/>
    <s v="BRUNO CESAR BOZELLI"/>
    <d v="2019-09-09T00:00:00"/>
    <n v="141000.6"/>
    <x v="0"/>
    <n v="129228.52"/>
    <n v="0.91651042619676792"/>
  </r>
  <r>
    <x v="7"/>
    <s v="XLVIII"/>
    <n v="3"/>
    <n v="254.31"/>
    <n v="3228"/>
    <s v="LUCCAS PACHECO SILVEIRA"/>
    <d v="2019-11-08T00:00:00"/>
    <n v="122200"/>
    <x v="0"/>
    <n v="120502.96"/>
    <n v="0.9861126022913258"/>
  </r>
  <r>
    <x v="7"/>
    <s v="XLVIII"/>
    <n v="4"/>
    <n v="254.31"/>
    <n v="7045"/>
    <s v="BRUNO ADRIANO DA SILVA"/>
    <d v="2019-03-08T00:00:00"/>
    <n v="121102.67"/>
    <x v="0"/>
    <n v="36151.5"/>
    <n v="0.29851942983585744"/>
  </r>
  <r>
    <x v="7"/>
    <s v="XLVIII"/>
    <n v="5"/>
    <n v="256.60000000000002"/>
    <n v="7049"/>
    <s v="JULIO CESAR OLIVIERI REFUNDINI"/>
    <d v="2019-03-14T00:00:00"/>
    <n v="125093.26"/>
    <x v="0"/>
    <n v="20913.400000000001"/>
    <n v="0.16718246850389862"/>
  </r>
  <r>
    <x v="7"/>
    <s v="XLVIII"/>
    <n v="6"/>
    <n v="256.60000000000002"/>
    <n v="3226"/>
    <s v="BRUNO FERREIRA DA SILVA"/>
    <d v="2019-11-05T00:00:00"/>
    <n v="122200"/>
    <x v="0"/>
    <n v="84923.199999999997"/>
    <n v="0.69495253682487723"/>
  </r>
  <r>
    <x v="7"/>
    <s v="XLVIII"/>
    <n v="7"/>
    <n v="256.60000000000002"/>
    <n v="3697"/>
    <s v="VAGNER RODRIGO CREPALDI"/>
    <d v="2020-01-14T00:00:00"/>
    <n v="135700"/>
    <x v="2"/>
    <n v="121924.15"/>
    <n v="0.89848305084745761"/>
  </r>
  <r>
    <x v="7"/>
    <s v="XLVIII"/>
    <n v="8"/>
    <n v="256.60000000000002"/>
    <n v="6873"/>
    <s v="RAPHAEL AUGUSTO FERREIRA"/>
    <d v="2019-01-22T00:00:00"/>
    <n v="127838.12"/>
    <x v="0"/>
    <n v="57759.82"/>
    <n v="0.45182000486239943"/>
  </r>
  <r>
    <x v="7"/>
    <s v="XLVIII"/>
    <n v="9"/>
    <n v="256.60000000000002"/>
    <m/>
    <s v="DERIQUE APARECIDO BORTHOLAZZI"/>
    <d v="2019-08-01T00:00:00"/>
    <n v="122199.6"/>
    <x v="0"/>
    <n v="114394.36"/>
    <n v="0.9361271231657059"/>
  </r>
  <r>
    <x v="7"/>
    <s v="XLVIII"/>
    <n v="11"/>
    <n v="256.60000000000002"/>
    <n v="3700"/>
    <s v="EMERSON FERREIRA DA CUNHA"/>
    <d v="2020-01-09T00:00:00"/>
    <n v="122200.2"/>
    <x v="0"/>
    <n v="99806.06"/>
    <n v="0.81674219845794038"/>
  </r>
  <r>
    <x v="7"/>
    <s v="XLVIII"/>
    <n v="13"/>
    <n v="256.60000000000002"/>
    <n v="6788"/>
    <s v="ANTONIO DONIZETI GARCIA"/>
    <d v="2018-12-05T00:00:00"/>
    <n v="122668.19"/>
    <x v="0"/>
    <n v="106972.66"/>
    <n v="0.87204889874057812"/>
  </r>
  <r>
    <x v="7"/>
    <s v="XLVIII"/>
    <n v="14"/>
    <n v="256.60000000000002"/>
    <n v="6789"/>
    <s v="AILTON HORACIO GARCIA"/>
    <d v="2018-12-05T00:00:00"/>
    <n v="122668.19"/>
    <x v="0"/>
    <n v="106972.89"/>
    <n v="0.8720507737172937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">
  <r>
    <x v="0"/>
    <s v="XXV - A"/>
    <n v="26"/>
    <s v="ELIAS DE OLIVEIRA FERNANDES JUNIOR"/>
    <x v="0"/>
    <n v="70"/>
    <x v="0"/>
    <n v="146595.85"/>
    <n v="251557.71"/>
    <n v="0.58275236326487478"/>
  </r>
  <r>
    <x v="1"/>
    <s v="XVIII - A"/>
    <n v="1"/>
    <s v="MOYSES DO LAGO"/>
    <x v="0"/>
    <n v="67"/>
    <x v="0"/>
    <n v="129664.88"/>
    <n v="233211.42"/>
    <n v="0.55599712912858212"/>
  </r>
  <r>
    <x v="2"/>
    <s v="XXXII"/>
    <n v="23"/>
    <s v="EDIOGENES DE ARAUJO AVILA"/>
    <x v="0"/>
    <n v="63"/>
    <x v="0"/>
    <n v="176089.17"/>
    <n v="315548.49"/>
    <n v="0.55804155488115315"/>
  </r>
  <r>
    <x v="1"/>
    <s v="VIII"/>
    <n v="19"/>
    <s v="CARLOS ALBERTO DA COSTA"/>
    <x v="0"/>
    <n v="61"/>
    <x v="0"/>
    <n v="175958.3"/>
    <n v="175958.3"/>
    <n v="1"/>
  </r>
  <r>
    <x v="1"/>
    <s v="XII"/>
    <n v="14"/>
    <s v="ANGELA FERREIRA DA SILVA"/>
    <x v="0"/>
    <n v="61"/>
    <x v="0"/>
    <n v="105176.35"/>
    <n v="184973.96"/>
    <n v="0.56860084522167342"/>
  </r>
  <r>
    <x v="2"/>
    <s v="XXXII"/>
    <n v="4"/>
    <s v="MARCUS VINICIUS RICARDO"/>
    <x v="0"/>
    <n v="56"/>
    <x v="0"/>
    <n v="118103.69"/>
    <n v="217565.64"/>
    <n v="0.54284164539952173"/>
  </r>
  <r>
    <x v="3"/>
    <s v="XXXVIII"/>
    <n v="41"/>
    <s v="ELAINE CRISTINA RODRIGUES NOVO"/>
    <x v="0"/>
    <n v="54"/>
    <x v="0"/>
    <n v="148262.6"/>
    <n v="281834.02"/>
    <n v="0.52606353200369493"/>
  </r>
  <r>
    <x v="2"/>
    <s v="XXX"/>
    <n v="28"/>
    <s v="JONATHAS SIMEY ALVES DOS SANTOS"/>
    <x v="0"/>
    <n v="53"/>
    <x v="0"/>
    <n v="118932.18"/>
    <n v="247984.23"/>
    <n v="0.47959573880968154"/>
  </r>
  <r>
    <x v="0"/>
    <s v="XXI"/>
    <n v="30"/>
    <s v="ANTONIO SERGIO BARROTTI RODELLA"/>
    <x v="0"/>
    <n v="53"/>
    <x v="0"/>
    <n v="101009.96"/>
    <n v="196305.98"/>
    <n v="0.5145536575095675"/>
  </r>
  <r>
    <x v="0"/>
    <s v="XXV - A"/>
    <n v="15"/>
    <s v="ANDRE LUIZ DOS SANTOS"/>
    <x v="0"/>
    <n v="52"/>
    <x v="0"/>
    <n v="99498.31"/>
    <n v="198195.20000000001"/>
    <n v="0.50202179467514851"/>
  </r>
  <r>
    <x v="2"/>
    <s v="XXXIII"/>
    <n v="25"/>
    <s v="JOAO AMANDIO RODRIGUES DA COSTA JUNIOR"/>
    <x v="0"/>
    <n v="52"/>
    <x v="0"/>
    <n v="105042.31"/>
    <n v="233736.28"/>
    <n v="0.4494052442350841"/>
  </r>
  <r>
    <x v="2"/>
    <s v="XXVIII"/>
    <n v="12"/>
    <s v="RAFAEL GOMES CARVALHO BOTELHO"/>
    <x v="0"/>
    <n v="51"/>
    <x v="0"/>
    <n v="103240.51"/>
    <n v="202190.99"/>
    <n v="0.51060885551824042"/>
  </r>
  <r>
    <x v="0"/>
    <s v="XXV - A"/>
    <n v="27"/>
    <s v="JONATHAS SIMEY ALVES DOS SANTOS"/>
    <x v="0"/>
    <n v="50"/>
    <x v="0"/>
    <n v="122238.06"/>
    <n v="257287.38"/>
    <n v="0.4751032094928247"/>
  </r>
  <r>
    <x v="0"/>
    <s v="XXV - A"/>
    <n v="28"/>
    <s v="JONATHAS SIMEY ALVES DOS SANTOS"/>
    <x v="0"/>
    <n v="50"/>
    <x v="0"/>
    <n v="136700.19"/>
    <n v="287959.5"/>
    <n v="0.47472019502742574"/>
  </r>
  <r>
    <x v="3"/>
    <s v="XXXIX"/>
    <n v="31"/>
    <s v="JOSE ORLANDO TAVARES CELESTINO"/>
    <x v="0"/>
    <n v="47"/>
    <x v="0"/>
    <n v="175421.28"/>
    <n v="211014.12"/>
    <n v="0.83132484214800417"/>
  </r>
  <r>
    <x v="3"/>
    <s v="XL"/>
    <n v="9"/>
    <s v="ANDRE BOBROFF CANAVEZI"/>
    <x v="0"/>
    <n v="46"/>
    <x v="0"/>
    <n v="115686.92"/>
    <n v="250415.01"/>
    <n v="0.46198077343686383"/>
  </r>
  <r>
    <x v="3"/>
    <s v="XL"/>
    <n v="10"/>
    <s v="ANDRE BOBROFF CANAVEZI"/>
    <x v="0"/>
    <n v="46"/>
    <x v="0"/>
    <n v="115138.68"/>
    <n v="248618.45"/>
    <n v="0.46311398047892255"/>
  </r>
  <r>
    <x v="3"/>
    <s v="XL"/>
    <n v="11"/>
    <s v="ANDRE BOBROFF CANAVEZI"/>
    <x v="0"/>
    <n v="46"/>
    <x v="0"/>
    <n v="115686.78"/>
    <n v="250414.87"/>
    <n v="0.46198047264525466"/>
  </r>
  <r>
    <x v="3"/>
    <s v="XXXV"/>
    <n v="2"/>
    <s v="SHEILA PINTO SILVA"/>
    <x v="0"/>
    <n v="46"/>
    <x v="0"/>
    <n v="98963.7"/>
    <n v="227146.32"/>
    <n v="0.435682603178427"/>
  </r>
  <r>
    <x v="0"/>
    <s v="XXI"/>
    <n v="1"/>
    <s v="GIELE ROSA ALVES"/>
    <x v="0"/>
    <n v="37"/>
    <x v="0"/>
    <n v="128947.19"/>
    <n v="148071.12"/>
    <n v="0.87084632033579545"/>
  </r>
  <r>
    <x v="0"/>
    <s v="XXV"/>
    <n v="26"/>
    <s v="MATEUS DOS SANTOS GONSALES"/>
    <x v="0"/>
    <n v="36"/>
    <x v="0"/>
    <n v="66078.259999999995"/>
    <n v="168244.28"/>
    <n v="0.39275189623088519"/>
  </r>
  <r>
    <x v="2"/>
    <s v="XXX"/>
    <n v="1"/>
    <s v="GABRIEL GARCIA BOGO"/>
    <x v="0"/>
    <n v="35"/>
    <x v="0"/>
    <n v="75939.360000000001"/>
    <n v="175989.1"/>
    <n v="0.43150035996547514"/>
  </r>
  <r>
    <x v="4"/>
    <s v="XIII"/>
    <n v="13"/>
    <s v="RAFAELI FRARE DE SIQUEIRA"/>
    <x v="0"/>
    <n v="34"/>
    <x v="0"/>
    <n v="63511.35"/>
    <n v="166486.15"/>
    <n v="0.38148128237694245"/>
  </r>
  <r>
    <x v="4"/>
    <s v="XIII"/>
    <n v="14"/>
    <s v="RAFAELI FRARE DE SIQUEIRA"/>
    <x v="0"/>
    <n v="34"/>
    <x v="0"/>
    <n v="63519.519999999997"/>
    <n v="166494.32"/>
    <n v="0.38151163355002138"/>
  </r>
  <r>
    <x v="3"/>
    <s v="XXXVII"/>
    <n v="15"/>
    <s v="RAFAEL FRANCISCO FRARE DE SIQUEIRA"/>
    <x v="0"/>
    <n v="34"/>
    <x v="0"/>
    <n v="67729.09"/>
    <n v="177662.9"/>
    <n v="0.38122247244641394"/>
  </r>
  <r>
    <x v="3"/>
    <s v="XXXVII"/>
    <n v="16"/>
    <s v="RAFAEL FRANCISCO FRARE DE SIQUEIRA"/>
    <x v="0"/>
    <n v="34"/>
    <x v="0"/>
    <n v="67562.61"/>
    <n v="177781.84"/>
    <n v="0.38003099754170616"/>
  </r>
  <r>
    <x v="3"/>
    <s v="XLII"/>
    <n v="11"/>
    <s v="DANIEL BRAGUETO MARTINS"/>
    <x v="0"/>
    <n v="34"/>
    <x v="0"/>
    <n v="69995.55"/>
    <n v="186883.48"/>
    <n v="0.37454113119040805"/>
  </r>
  <r>
    <x v="3"/>
    <s v="XXXVIII"/>
    <n v="19"/>
    <s v="PATRICIA JANAINA SILVA EL KADRI"/>
    <x v="0"/>
    <n v="34"/>
    <x v="0"/>
    <n v="56447.48"/>
    <n v="142017.48000000001"/>
    <n v="0.39746853697164602"/>
  </r>
  <r>
    <x v="2"/>
    <s v="XXIX"/>
    <n v="41"/>
    <s v="AUREO SILVA CASTRO"/>
    <x v="0"/>
    <n v="34"/>
    <x v="0"/>
    <n v="60703.44"/>
    <n v="154894.79"/>
    <n v="0.39190110913349635"/>
  </r>
  <r>
    <x v="0"/>
    <s v="XXIV"/>
    <n v="10"/>
    <s v="GUSTAVO APARECIDO BRANDAO MEIRELES"/>
    <x v="0"/>
    <n v="33"/>
    <x v="0"/>
    <n v="58330.22"/>
    <n v="151597.07"/>
    <n v="0.38477142071413384"/>
  </r>
  <r>
    <x v="0"/>
    <s v="XXV"/>
    <n v="4"/>
    <s v="FAUSTO ALMEIDA DE OLIVEIRA"/>
    <x v="0"/>
    <n v="32"/>
    <x v="0"/>
    <n v="62211.33"/>
    <n v="153061"/>
    <n v="0.40644795212366314"/>
  </r>
  <r>
    <x v="4"/>
    <s v="XVI"/>
    <n v="12"/>
    <s v="ALESSANDRA BERBET"/>
    <x v="0"/>
    <n v="32"/>
    <x v="0"/>
    <n v="53003.68"/>
    <n v="145924.03"/>
    <n v="0.36322790701435537"/>
  </r>
  <r>
    <x v="5"/>
    <s v="VII"/>
    <n v="24"/>
    <s v="VANDERSON DA SILVA SOUZA"/>
    <x v="0"/>
    <n v="31"/>
    <x v="0"/>
    <n v="46657.48"/>
    <n v="120317.09"/>
    <n v="0.3877876368186764"/>
  </r>
  <r>
    <x v="1"/>
    <s v="XII"/>
    <n v="15"/>
    <s v="CARLOS ANTONIO DA SILVA"/>
    <x v="0"/>
    <n v="30"/>
    <x v="0"/>
    <n v="45794.09"/>
    <n v="131421.84"/>
    <n v="0.34845114023666079"/>
  </r>
  <r>
    <x v="3"/>
    <s v="XXXIX"/>
    <n v="38"/>
    <s v="BRUNO VINICIUS HONORATO CADINA"/>
    <x v="0"/>
    <n v="30"/>
    <x v="0"/>
    <n v="49952.38"/>
    <n v="177303.1"/>
    <n v="0.28173438591880229"/>
  </r>
  <r>
    <x v="1"/>
    <s v="XII"/>
    <n v="11"/>
    <s v="VALDENILSON  PEREIRA MEIRELES"/>
    <x v="0"/>
    <n v="30"/>
    <x v="0"/>
    <n v="49618.19"/>
    <n v="135073"/>
    <n v="0.36734351054614911"/>
  </r>
  <r>
    <x v="3"/>
    <s v="XXXIX"/>
    <n v="5"/>
    <s v="GUILHERME GALAN CORDEIRO"/>
    <x v="0"/>
    <n v="28"/>
    <x v="0"/>
    <n v="55005.43"/>
    <n v="169677.23"/>
    <n v="0.32417685036465999"/>
  </r>
  <r>
    <x v="0"/>
    <s v="XXII"/>
    <n v="17"/>
    <s v="MARCO AURELIO BENEDITO DA SILVA"/>
    <x v="0"/>
    <n v="27"/>
    <x v="0"/>
    <n v="49878.44"/>
    <n v="145809.79"/>
    <n v="0.34207881377512445"/>
  </r>
  <r>
    <x v="0"/>
    <s v="XXII"/>
    <n v="18"/>
    <s v="MARCO AURELIO BENEDITO DA SILVA"/>
    <x v="0"/>
    <n v="27"/>
    <x v="0"/>
    <n v="49878.3"/>
    <n v="145809.65"/>
    <n v="0.34207818206819646"/>
  </r>
  <r>
    <x v="2"/>
    <s v="XXVII"/>
    <n v="7"/>
    <s v="CARLOS HENRIQUE NAVARRO MAZZEO"/>
    <x v="0"/>
    <n v="26"/>
    <x v="0"/>
    <n v="48026.62"/>
    <n v="144272.76"/>
    <n v="0.33288764975453439"/>
  </r>
  <r>
    <x v="4"/>
    <s v="XIII"/>
    <n v="3"/>
    <s v="MARIA DAS GRACAS FONSECA MORAES"/>
    <x v="0"/>
    <n v="26"/>
    <x v="0"/>
    <n v="57062.85"/>
    <n v="192368.1"/>
    <n v="0.29663364144055065"/>
  </r>
  <r>
    <x v="2"/>
    <s v="XXVII"/>
    <n v="8"/>
    <s v="GILDETE RODRIGUES DA CRUZ"/>
    <x v="0"/>
    <n v="25"/>
    <x v="0"/>
    <n v="46067.96"/>
    <n v="141675.10999999999"/>
    <n v="0.32516622009328244"/>
  </r>
  <r>
    <x v="2"/>
    <s v="XXXIV"/>
    <n v="8"/>
    <s v="MARCOS MASSARO THIBES"/>
    <x v="0"/>
    <n v="22"/>
    <x v="0"/>
    <n v="47829.89"/>
    <n v="88176.63"/>
    <n v="0.54243272849053081"/>
  </r>
  <r>
    <x v="2"/>
    <s v="XXX"/>
    <n v="43"/>
    <s v="EVERSON PEREIRA DOS SANTOS"/>
    <x v="0"/>
    <n v="20"/>
    <x v="0"/>
    <n v="58497.37"/>
    <n v="146135.96"/>
    <n v="0.40029415073469943"/>
  </r>
  <r>
    <x v="3"/>
    <s v="XLII"/>
    <n v="4"/>
    <s v="LEONARDO NUNES BUONO"/>
    <x v="0"/>
    <n v="19"/>
    <x v="0"/>
    <n v="30094.63"/>
    <n v="164651.14000000001"/>
    <n v="0.18277814535629694"/>
  </r>
  <r>
    <x v="1"/>
    <s v="XV"/>
    <n v="3"/>
    <s v="NILSON BERNARDES"/>
    <x v="0"/>
    <n v="18"/>
    <x v="0"/>
    <n v="24839"/>
    <n v="99407.97"/>
    <n v="0.24986930122403667"/>
  </r>
  <r>
    <x v="0"/>
    <s v="XXII"/>
    <n v="33"/>
    <s v="MARCOS ROGERIO PEREIRA ARANHA"/>
    <x v="0"/>
    <n v="18"/>
    <x v="0"/>
    <n v="32013.32"/>
    <n v="129149.39"/>
    <n v="0.24787821297491222"/>
  </r>
  <r>
    <x v="2"/>
    <s v="XXXIV"/>
    <n v="7"/>
    <s v="MARCOS MASSARO THIBES"/>
    <x v="0"/>
    <n v="17"/>
    <x v="0"/>
    <n v="37430.74"/>
    <n v="77914.649999999994"/>
    <n v="0.48040695812661677"/>
  </r>
  <r>
    <x v="4"/>
    <s v="XVI"/>
    <n v="19"/>
    <s v="IZAURA MARIA CARELLI"/>
    <x v="0"/>
    <n v="17"/>
    <x v="0"/>
    <n v="27900.43"/>
    <n v="100291.56"/>
    <n v="0.27819319990635305"/>
  </r>
  <r>
    <x v="5"/>
    <s v="VII"/>
    <n v="18"/>
    <s v="VALDELICE FLORENTINO"/>
    <x v="0"/>
    <n v="16"/>
    <x v="0"/>
    <n v="23598.45"/>
    <n v="104257.98"/>
    <n v="0.22634670266966617"/>
  </r>
  <r>
    <x v="5"/>
    <s v="VII"/>
    <n v="19"/>
    <s v="VALDELICE FLORENTINO"/>
    <x v="0"/>
    <n v="16"/>
    <x v="0"/>
    <n v="23598.45"/>
    <n v="104257.98"/>
    <n v="0.22634670266966617"/>
  </r>
  <r>
    <x v="1"/>
    <s v="XV"/>
    <n v="11"/>
    <s v="JOSE CARLOS PEREIRA FARIA"/>
    <x v="0"/>
    <n v="16"/>
    <x v="0"/>
    <n v="21362.77"/>
    <n v="87103.58"/>
    <n v="0.24525708357796544"/>
  </r>
  <r>
    <x v="3"/>
    <s v="XXXVII"/>
    <n v="11"/>
    <s v="RAQUEL EUCANAS GOULART VIEIRA"/>
    <x v="0"/>
    <n v="15"/>
    <x v="0"/>
    <n v="30086.080000000002"/>
    <n v="165899.57"/>
    <n v="0.18135116323689085"/>
  </r>
  <r>
    <x v="3"/>
    <s v="XXXVII"/>
    <n v="20"/>
    <s v="GILBERTO ZEQUIM MALDONADO"/>
    <x v="0"/>
    <n v="15"/>
    <x v="0"/>
    <n v="35412.699999999997"/>
    <n v="121515.36"/>
    <n v="0.29142570947409446"/>
  </r>
  <r>
    <x v="2"/>
    <s v="XXXIV"/>
    <n v="1"/>
    <s v="LUCIANO BUENO"/>
    <x v="0"/>
    <n v="15"/>
    <x v="0"/>
    <n v="26732.28"/>
    <n v="122358.23"/>
    <n v="0.21847553695407329"/>
  </r>
  <r>
    <x v="0"/>
    <s v="XXV"/>
    <n v="2"/>
    <s v="PEDRO LUCAS BACILI"/>
    <x v="0"/>
    <n v="15"/>
    <x v="0"/>
    <n v="25643.22"/>
    <n v="117522.2"/>
    <n v="0.21819894453984015"/>
  </r>
  <r>
    <x v="3"/>
    <s v="XXXIX"/>
    <n v="39"/>
    <s v="VINICIUS MARQUES DE OLIVEIRA CAVALARI"/>
    <x v="0"/>
    <n v="15"/>
    <x v="0"/>
    <n v="33486.04"/>
    <n v="181411.63"/>
    <n v="0.18458596066856353"/>
  </r>
  <r>
    <x v="1"/>
    <s v="XVIII"/>
    <n v="3"/>
    <s v="SILVANO MARCOS DE SOUZA"/>
    <x v="0"/>
    <n v="13"/>
    <x v="0"/>
    <n v="16672.16"/>
    <n v="49793.73"/>
    <n v="0.33482448493013073"/>
  </r>
  <r>
    <x v="3"/>
    <s v="XXXVIII"/>
    <n v="14"/>
    <s v="CARLOS JUNIO RIBEIRO SILVA"/>
    <x v="0"/>
    <n v="13"/>
    <x v="0"/>
    <n v="23388.639999999999"/>
    <n v="151207.04000000001"/>
    <n v="0.15467957047502548"/>
  </r>
  <r>
    <x v="3"/>
    <s v="XXXV"/>
    <n v="20"/>
    <s v="GUILHERME ANDRADE SALVADOR"/>
    <x v="0"/>
    <n v="12"/>
    <x v="0"/>
    <n v="20416.36"/>
    <n v="150207.66"/>
    <n v="0.13592089777578586"/>
  </r>
  <r>
    <x v="2"/>
    <s v="XXXIII"/>
    <n v="21"/>
    <s v="WILLIAN VASCONCELOS NUNES"/>
    <x v="0"/>
    <n v="11"/>
    <x v="0"/>
    <n v="17798.060000000001"/>
    <n v="116053.54"/>
    <n v="0.15336076779734598"/>
  </r>
  <r>
    <x v="0"/>
    <s v="XXI"/>
    <n v="6"/>
    <s v="DONIZETE DOMINGUES MORAES"/>
    <x v="0"/>
    <n v="11"/>
    <x v="0"/>
    <n v="34415.279999999999"/>
    <n v="172208.47"/>
    <n v="0.19984661613914809"/>
  </r>
  <r>
    <x v="2"/>
    <s v="XXX"/>
    <n v="20"/>
    <s v="SELMA ROSA DA SILVA"/>
    <x v="0"/>
    <n v="10"/>
    <x v="0"/>
    <n v="21447.09"/>
    <n v="131965.99"/>
    <n v="0.16251982802538747"/>
  </r>
  <r>
    <x v="3"/>
    <s v="XXXIX"/>
    <n v="21"/>
    <s v="DIEGO FREITAS DE SOUZA"/>
    <x v="0"/>
    <n v="10"/>
    <x v="0"/>
    <n v="17756.98"/>
    <n v="155513.17000000001"/>
    <n v="0.11418312674096991"/>
  </r>
  <r>
    <x v="3"/>
    <s v="XXXV"/>
    <n v="24"/>
    <s v="LIVIA BEATRIZ LIMA LUIZETTO"/>
    <x v="0"/>
    <n v="10"/>
    <x v="0"/>
    <n v="18688.099999999999"/>
    <n v="144695.20000000001"/>
    <n v="0.12915494086880558"/>
  </r>
  <r>
    <x v="0"/>
    <s v="XXV"/>
    <n v="10"/>
    <s v="LUIS MARCOS DIAS"/>
    <x v="0"/>
    <n v="8"/>
    <x v="0"/>
    <n v="13323.24"/>
    <n v="106771.33"/>
    <n v="0.12478293564386619"/>
  </r>
  <r>
    <x v="2"/>
    <s v="XXXIII"/>
    <n v="13"/>
    <s v="EMERSON DO AMARAL PEREIRA"/>
    <x v="0"/>
    <n v="7"/>
    <x v="0"/>
    <n v="11615.95"/>
    <n v="76327.11"/>
    <n v="0.15218642498058685"/>
  </r>
  <r>
    <x v="3"/>
    <s v="XLI"/>
    <n v="12"/>
    <s v="CINTHYA DE CARVALHO SOVENHI DIAS"/>
    <x v="0"/>
    <n v="7"/>
    <x v="0"/>
    <n v="10586.62"/>
    <n v="129187.01"/>
    <n v="8.1948022483065444E-2"/>
  </r>
  <r>
    <x v="3"/>
    <s v="XLI"/>
    <n v="13"/>
    <s v="CINTHYA DE CARVALHO SOVENHI DIAS"/>
    <x v="0"/>
    <n v="7"/>
    <x v="0"/>
    <n v="10586.62"/>
    <n v="129187.01"/>
    <n v="8.1948022483065444E-2"/>
  </r>
  <r>
    <x v="2"/>
    <s v="XXVII"/>
    <n v="13"/>
    <s v="JULIANO CEZARIO BORTOLASSI"/>
    <x v="0"/>
    <n v="7"/>
    <x v="0"/>
    <n v="15873.38"/>
    <n v="61702.11"/>
    <n v="0.25725830121530691"/>
  </r>
  <r>
    <x v="3"/>
    <s v="XXXVIII"/>
    <n v="27"/>
    <s v="CELIA GUERRA BICUDO"/>
    <x v="0"/>
    <n v="6"/>
    <x v="0"/>
    <n v="9959.3700000000008"/>
    <n v="121291.59"/>
    <n v="8.2110969111708412E-2"/>
  </r>
  <r>
    <x v="6"/>
    <s v="LI"/>
    <n v="8"/>
    <s v="PRISCILA GARCIA NEGRELI"/>
    <x v="0"/>
    <n v="6"/>
    <x v="0"/>
    <n v="11338.61"/>
    <n v="135233.07999999999"/>
    <n v="8.384494385545313E-2"/>
  </r>
  <r>
    <x v="0"/>
    <s v="XXII"/>
    <n v="28"/>
    <s v="JOAQUIM MANOEL DA SILVA"/>
    <x v="0"/>
    <n v="6"/>
    <x v="0"/>
    <n v="9873.6200000000008"/>
    <n v="107004.76"/>
    <n v="9.2272717587516678E-2"/>
  </r>
  <r>
    <x v="5"/>
    <s v="VII"/>
    <n v="11"/>
    <s v="IVONE FERREIRA ROCHA"/>
    <x v="0"/>
    <n v="6"/>
    <x v="0"/>
    <n v="10840.63"/>
    <n v="69590.34"/>
    <n v="0.15577779904509734"/>
  </r>
  <r>
    <x v="5"/>
    <s v="VII"/>
    <n v="12"/>
    <s v="IVONE FERREIRA ROCHA"/>
    <x v="0"/>
    <n v="6"/>
    <x v="0"/>
    <n v="10963.38"/>
    <n v="67645.11"/>
    <n v="0.16207202560539852"/>
  </r>
  <r>
    <x v="5"/>
    <s v="VII"/>
    <n v="13"/>
    <s v="IVONE FERREIRA ROCHA"/>
    <x v="0"/>
    <n v="6"/>
    <x v="0"/>
    <n v="10963.38"/>
    <n v="67645.11"/>
    <n v="0.16207202560539852"/>
  </r>
  <r>
    <x v="4"/>
    <s v="IX"/>
    <n v="27"/>
    <s v="ROBERTO LOPES DE LIMA"/>
    <x v="0"/>
    <n v="6"/>
    <x v="0"/>
    <n v="11016.34"/>
    <n v="138217.29"/>
    <n v="7.9703053069554469E-2"/>
  </r>
  <r>
    <x v="3"/>
    <s v="XL"/>
    <n v="7"/>
    <s v="SANDRA KAAFA SOUTELLO"/>
    <x v="0"/>
    <n v="6"/>
    <x v="0"/>
    <n v="13522.76"/>
    <n v="166415.25"/>
    <n v="8.1259139411802711E-2"/>
  </r>
  <r>
    <x v="4"/>
    <s v="IX"/>
    <n v="25"/>
    <s v="SANDRA KAAFA SOUTELLO"/>
    <x v="0"/>
    <n v="6"/>
    <x v="0"/>
    <n v="11250.13"/>
    <n v="131181.54"/>
    <n v="8.5760008610967664E-2"/>
  </r>
  <r>
    <x v="4"/>
    <s v="IX"/>
    <n v="26"/>
    <s v="SANDRA KAAFA SOUTELLO"/>
    <x v="0"/>
    <n v="6"/>
    <x v="0"/>
    <n v="10998.06"/>
    <n v="135087.18"/>
    <n v="8.141453541335307E-2"/>
  </r>
  <r>
    <x v="2"/>
    <s v="XXXIII"/>
    <n v="24"/>
    <s v="RENATO DE MORAIS SILVA"/>
    <x v="0"/>
    <n v="5"/>
    <x v="0"/>
    <n v="7898.29"/>
    <n v="87021.25"/>
    <n v="9.0762773460505333E-2"/>
  </r>
  <r>
    <x v="3"/>
    <s v="XL"/>
    <n v="20"/>
    <s v="FLAVIO DA SILVA SENA"/>
    <x v="0"/>
    <n v="5"/>
    <x v="0"/>
    <n v="6488.61"/>
    <n v="126990.71"/>
    <n v="5.1095154913300349E-2"/>
  </r>
  <r>
    <x v="7"/>
    <s v="XIV"/>
    <n v="18"/>
    <s v="APARECIDO FRANCESCHINI"/>
    <x v="0"/>
    <n v="5"/>
    <x v="0"/>
    <n v="7219.19"/>
    <n v="99206.13"/>
    <n v="7.2769595991699298E-2"/>
  </r>
  <r>
    <x v="3"/>
    <s v="XL"/>
    <n v="28"/>
    <s v="VANIA BALDUINO FARIAS"/>
    <x v="0"/>
    <n v="5"/>
    <x v="0"/>
    <n v="4864.1899999999996"/>
    <n v="60617.35"/>
    <n v="8.0244187513970833E-2"/>
  </r>
  <r>
    <x v="3"/>
    <s v="XL"/>
    <n v="22"/>
    <s v="SANDRA MARIA SIMONELLI"/>
    <x v="0"/>
    <n v="5"/>
    <x v="0"/>
    <n v="6057.8"/>
    <n v="96804.68"/>
    <n v="6.2577553068715278E-2"/>
  </r>
  <r>
    <x v="0"/>
    <s v="XXIII"/>
    <n v="32"/>
    <s v="SERGIO PEREIRA JUNIOR"/>
    <x v="0"/>
    <n v="5"/>
    <x v="0"/>
    <n v="9697.68"/>
    <n v="166253.66"/>
    <n v="5.8330625623520108E-2"/>
  </r>
  <r>
    <x v="4"/>
    <s v="XVI"/>
    <n v="10"/>
    <s v="C. PIRES EMPREENDIMENTOS IMOBILIARIOS LTDA"/>
    <x v="0"/>
    <n v="5"/>
    <x v="0"/>
    <n v="6523.16"/>
    <n v="113202.84"/>
    <n v="5.7623642657728374E-2"/>
  </r>
  <r>
    <x v="0"/>
    <s v="XXV - A"/>
    <n v="13"/>
    <s v="MARLENE MOREIRA DA SILVA"/>
    <x v="0"/>
    <n v="5"/>
    <x v="0"/>
    <n v="10615.84"/>
    <n v="38008.379999999997"/>
    <n v="0.27930261694920966"/>
  </r>
  <r>
    <x v="0"/>
    <s v="XXV - A"/>
    <n v="14"/>
    <s v="MARLENE MOREIRA DA SILVA"/>
    <x v="0"/>
    <n v="5"/>
    <x v="0"/>
    <n v="10615.84"/>
    <n v="38008.379999999997"/>
    <n v="0.27930261694920966"/>
  </r>
  <r>
    <x v="0"/>
    <s v="XXV - A"/>
    <n v="11"/>
    <s v="KEIGO FUKUDA"/>
    <x v="0"/>
    <n v="4"/>
    <x v="0"/>
    <n v="6987.72"/>
    <n v="84571.63"/>
    <n v="8.2624870775223319E-2"/>
  </r>
  <r>
    <x v="3"/>
    <s v="XL"/>
    <n v="26"/>
    <s v="EDUARDO DA SILVA"/>
    <x v="0"/>
    <n v="4"/>
    <x v="0"/>
    <n v="6083.33"/>
    <n v="109397.26"/>
    <n v="5.560769986378087E-2"/>
  </r>
  <r>
    <x v="1"/>
    <s v="XII"/>
    <n v="29"/>
    <s v="BRUNA DA SILVA"/>
    <x v="0"/>
    <n v="4"/>
    <x v="0"/>
    <n v="5154.76"/>
    <n v="129207.9"/>
    <n v="3.9895083814534563E-2"/>
  </r>
  <r>
    <x v="0"/>
    <s v="XXII"/>
    <n v="26"/>
    <s v="AGUINALDO AUGUSTINHO"/>
    <x v="0"/>
    <n v="4"/>
    <x v="0"/>
    <n v="9441.9500000000007"/>
    <n v="38178.550000000003"/>
    <n v="0.24731033525369611"/>
  </r>
  <r>
    <x v="0"/>
    <s v="XXII"/>
    <n v="27"/>
    <s v="AGUINALDO AUGUSTINHO"/>
    <x v="0"/>
    <n v="4"/>
    <x v="0"/>
    <n v="10397.82"/>
    <n v="39134.42"/>
    <n v="0.26569500710627625"/>
  </r>
  <r>
    <x v="1"/>
    <s v="XV"/>
    <n v="4"/>
    <s v="JOSE CARLOS OLIVEIRA"/>
    <x v="0"/>
    <n v="4"/>
    <x v="0"/>
    <n v="6723.29"/>
    <n v="63538.84"/>
    <n v="0.10581386125399835"/>
  </r>
  <r>
    <x v="1"/>
    <s v="XV"/>
    <n v="21"/>
    <s v="EDMILSON TEIXEIRA DE VASCONCELOS"/>
    <x v="0"/>
    <n v="4"/>
    <x v="0"/>
    <n v="4980.6000000000004"/>
    <n v="85155.69"/>
    <n v="5.8488164443268563E-2"/>
  </r>
  <r>
    <x v="1"/>
    <s v="XV"/>
    <n v="22"/>
    <s v="EDMILSON TEIXEIRA DE VASCONCELOS"/>
    <x v="0"/>
    <n v="4"/>
    <x v="0"/>
    <n v="4909.25"/>
    <n v="84038.65"/>
    <n v="5.8416573802649141E-2"/>
  </r>
  <r>
    <x v="3"/>
    <s v="XL"/>
    <n v="27"/>
    <s v="CHRISTIAN RIBEIRO FRANCO"/>
    <x v="1"/>
    <n v="3"/>
    <x v="1"/>
    <n v="4358.09"/>
    <n v="124154.65"/>
    <n v="3.5102108539631825E-2"/>
  </r>
  <r>
    <x v="6"/>
    <s v="XLIX"/>
    <n v="16"/>
    <s v="WILLIAM EVANGELISTA TEODORO"/>
    <x v="1"/>
    <n v="3"/>
    <x v="1"/>
    <n v="3908.34"/>
    <n v="107541.55"/>
    <n v="3.6342604323631192E-2"/>
  </r>
  <r>
    <x v="4"/>
    <s v="XVI"/>
    <n v="9"/>
    <s v="EDUARDO OLIVEIRA BONIFACIO"/>
    <x v="0"/>
    <n v="3"/>
    <x v="0"/>
    <n v="3781.96"/>
    <n v="121243.83"/>
    <n v="3.1193009986570038E-2"/>
  </r>
  <r>
    <x v="6"/>
    <s v="XLVI"/>
    <n v="4"/>
    <s v="PAULO MASSAYOSHI TANNO"/>
    <x v="0"/>
    <n v="3"/>
    <x v="0"/>
    <n v="5493.07"/>
    <n v="98959.51"/>
    <n v="5.5508257872335869E-2"/>
  </r>
  <r>
    <x v="1"/>
    <s v="XVIII - B"/>
    <n v="3"/>
    <s v="DYESSICA YENDIS RIAN MIRANDA"/>
    <x v="0"/>
    <n v="3"/>
    <x v="0"/>
    <n v="4687.8100000000004"/>
    <n v="121021.22"/>
    <n v="3.87354382975151E-2"/>
  </r>
  <r>
    <x v="1"/>
    <s v="XV"/>
    <n v="26"/>
    <s v="APARECIDA CASTORINA DA SILVA"/>
    <x v="1"/>
    <n v="3"/>
    <x v="1"/>
    <n v="3471.84"/>
    <n v="85964.07"/>
    <n v="4.0387105915296935E-2"/>
  </r>
  <r>
    <x v="3"/>
    <s v="XXXVII"/>
    <n v="21"/>
    <s v="CELSO HIROSHI MIYASAKI"/>
    <x v="0"/>
    <n v="3"/>
    <x v="0"/>
    <n v="7811"/>
    <n v="101469.03"/>
    <n v="7.6979153146531504E-2"/>
  </r>
  <r>
    <x v="3"/>
    <s v="XL"/>
    <n v="29"/>
    <s v="MIKAELA APARECIDA LIMA TEODORO"/>
    <x v="0"/>
    <n v="3"/>
    <x v="0"/>
    <n v="4175.97"/>
    <n v="133735.15"/>
    <n v="3.1225672532613904E-2"/>
  </r>
  <r>
    <x v="1"/>
    <s v="XVIII - A"/>
    <n v="3"/>
    <s v="DENISE APARECIDA BALZER"/>
    <x v="0"/>
    <n v="3"/>
    <x v="0"/>
    <n v="3342.98"/>
    <n v="121290.36"/>
    <n v="2.756179468838249E-2"/>
  </r>
  <r>
    <x v="3"/>
    <s v="XLI"/>
    <n v="5"/>
    <s v="THAIS AMARILHA DE CASTRO"/>
    <x v="0"/>
    <n v="3"/>
    <x v="0"/>
    <n v="3250.35"/>
    <n v="117136.93"/>
    <n v="2.7748294239912211E-2"/>
  </r>
  <r>
    <x v="4"/>
    <s v="XIII"/>
    <n v="1"/>
    <s v="CLAUDIO MORYAMA"/>
    <x v="0"/>
    <n v="3"/>
    <x v="0"/>
    <n v="5412.35"/>
    <n v="115810.91"/>
    <n v="4.6734370708251927E-2"/>
  </r>
  <r>
    <x v="0"/>
    <s v="XXV"/>
    <n v="25"/>
    <s v="DANIELLY NUNES GOMES CIQUINI"/>
    <x v="1"/>
    <n v="3"/>
    <x v="1"/>
    <n v="5367.88"/>
    <n v="21204.99"/>
    <n v="0.25314230282589145"/>
  </r>
  <r>
    <x v="6"/>
    <s v="XLIX"/>
    <n v="27"/>
    <s v="MARCOS RIBEIRO MORGAN"/>
    <x v="1"/>
    <n v="3"/>
    <x v="1"/>
    <n v="16330.19"/>
    <n v="100330.19"/>
    <n v="0.16276446800310057"/>
  </r>
  <r>
    <x v="2"/>
    <s v="XXX"/>
    <n v="37"/>
    <s v="DIEGO ALEXANDRE FAGUNDES"/>
    <x v="1"/>
    <n v="3"/>
    <x v="1"/>
    <n v="5143.9799999999996"/>
    <n v="141926.87"/>
    <n v="3.6243876864190692E-2"/>
  </r>
  <r>
    <x v="5"/>
    <s v="XI"/>
    <n v="1"/>
    <s v="THIAGO DE MENEZES CALDAS"/>
    <x v="1"/>
    <n v="3"/>
    <x v="2"/>
    <n v="8051.57"/>
    <n v="119039.61"/>
    <n v="6.7637738396488359E-2"/>
  </r>
  <r>
    <x v="5"/>
    <s v="XI"/>
    <n v="2"/>
    <s v="THIAGO DE MENEZES CALDAS"/>
    <x v="1"/>
    <n v="3"/>
    <x v="2"/>
    <n v="5887.7"/>
    <n v="87494.85"/>
    <n v="6.7291960612538906E-2"/>
  </r>
  <r>
    <x v="5"/>
    <s v="XI"/>
    <n v="3"/>
    <s v="THIAGO DE MENEZES CALDAS"/>
    <x v="1"/>
    <n v="3"/>
    <x v="2"/>
    <n v="5790.06"/>
    <n v="83582.25"/>
    <n v="6.9273799161903404E-2"/>
  </r>
  <r>
    <x v="5"/>
    <s v="XI - A"/>
    <n v="1"/>
    <s v="THIAGO DE MENEZES CALDAS"/>
    <x v="1"/>
    <n v="3"/>
    <x v="2"/>
    <n v="7258.85"/>
    <n v="107334.93"/>
    <n v="6.7628031247609716E-2"/>
  </r>
  <r>
    <x v="5"/>
    <s v="XI - A"/>
    <n v="2"/>
    <s v="THIAGO DE MENEZES CALDAS"/>
    <x v="1"/>
    <n v="3"/>
    <x v="2"/>
    <n v="7139.93"/>
    <n v="105565.17"/>
    <n v="6.7635281599034994E-2"/>
  </r>
  <r>
    <x v="0"/>
    <s v="XXIII"/>
    <n v="12"/>
    <s v="MIRIAN APARECIDA GONCALVES DIAS"/>
    <x v="1"/>
    <n v="3"/>
    <x v="2"/>
    <n v="10014.52"/>
    <n v="56115.96"/>
    <n v="0.17846117218702132"/>
  </r>
  <r>
    <x v="0"/>
    <s v="XXIII"/>
    <n v="11"/>
    <s v="MARA SILVIA SPURIO "/>
    <x v="1"/>
    <n v="3"/>
    <x v="2"/>
    <n v="8001.83"/>
    <n v="58772.3"/>
    <n v="0.13614968275871456"/>
  </r>
  <r>
    <x v="1"/>
    <s v="XII"/>
    <n v="6"/>
    <s v="ROBERTO NUNES"/>
    <x v="1"/>
    <n v="3"/>
    <x v="2"/>
    <n v="5531.48"/>
    <n v="88117.21"/>
    <n v="6.2774116429696297E-2"/>
  </r>
  <r>
    <x v="0"/>
    <s v="XXIV"/>
    <n v="5"/>
    <s v="ERICA DE CAMARGO CORREA FERRAZ MARANGONI"/>
    <x v="1"/>
    <n v="3"/>
    <x v="2"/>
    <n v="6544.51"/>
    <n v="104027.65"/>
    <n v="6.2911254844264963E-2"/>
  </r>
  <r>
    <x v="2"/>
    <s v="XXVII"/>
    <n v="16"/>
    <s v="LUIZ FERNANDO PERISOTTO TEXEIRA"/>
    <x v="1"/>
    <n v="2"/>
    <x v="2"/>
    <n v="5169.6000000000004"/>
    <n v="74514.69"/>
    <n v="6.9376924201120613E-2"/>
  </r>
  <r>
    <x v="2"/>
    <s v="XXVII"/>
    <n v="17"/>
    <s v="LUIZ FERNANDO PERISOTTO TEXEIRA"/>
    <x v="1"/>
    <n v="2"/>
    <x v="2"/>
    <n v="5191"/>
    <n v="78615.48"/>
    <n v="6.6030252566034078E-2"/>
  </r>
  <r>
    <x v="5"/>
    <s v="XI"/>
    <n v="19"/>
    <s v="ANGELA MARIA CARDOSO DE ALMEIDA"/>
    <x v="0"/>
    <n v="2"/>
    <x v="0"/>
    <n v="2622.99"/>
    <n v="86720.44"/>
    <n v="3.0246502439332638E-2"/>
  </r>
  <r>
    <x v="0"/>
    <s v="XXI"/>
    <n v="21"/>
    <s v="FABIO HENRIQUE VILLAS BOAS"/>
    <x v="1"/>
    <n v="2"/>
    <x v="1"/>
    <n v="3626.39"/>
    <n v="78090.45"/>
    <n v="4.6438328886566793E-2"/>
  </r>
  <r>
    <x v="3"/>
    <s v="XLII"/>
    <n v="7"/>
    <s v="RENAN VINICIUS GOUVEIA ANCIOTO"/>
    <x v="0"/>
    <n v="2"/>
    <x v="0"/>
    <n v="2094.59"/>
    <n v="122864.56"/>
    <n v="1.7047959151117297E-2"/>
  </r>
  <r>
    <x v="1"/>
    <s v="XVIII"/>
    <n v="20"/>
    <s v="TAINA APARECIDA SIMAO"/>
    <x v="1"/>
    <n v="2"/>
    <x v="2"/>
    <n v="2001.23"/>
    <n v="80696.92"/>
    <n v="2.4799335588024923E-2"/>
  </r>
  <r>
    <x v="4"/>
    <s v="XIII"/>
    <n v="17"/>
    <s v="JOSE CARLOS BRUNO DE OLIVEIRA"/>
    <x v="0"/>
    <n v="2"/>
    <x v="0"/>
    <n v="180630.18"/>
    <n v="180644.54"/>
    <n v="0.99992050686945744"/>
  </r>
  <r>
    <x v="1"/>
    <s v="XVIII"/>
    <n v="23"/>
    <s v="MARCIA REGINA DE FREITAS SOUZA"/>
    <x v="0"/>
    <n v="2"/>
    <x v="0"/>
    <n v="202944.89"/>
    <n v="202991.11"/>
    <n v="0.99977230529947847"/>
  </r>
  <r>
    <x v="3"/>
    <s v="XLI - A"/>
    <n v="5"/>
    <s v="BRUNO RODRIGUES CROCE"/>
    <x v="0"/>
    <n v="2"/>
    <x v="0"/>
    <n v="3260.9"/>
    <n v="125572.11"/>
    <n v="2.5968345996575194E-2"/>
  </r>
  <r>
    <x v="2"/>
    <s v="XXX"/>
    <n v="32"/>
    <s v="JANETE LONGHINI PONTES"/>
    <x v="0"/>
    <n v="2"/>
    <x v="0"/>
    <n v="914.41"/>
    <n v="112916.98"/>
    <n v="8.0980734695525868E-3"/>
  </r>
  <r>
    <x v="1"/>
    <s v="VIII"/>
    <n v="23"/>
    <s v="JULIANA DE SOUZA"/>
    <x v="0"/>
    <n v="2"/>
    <x v="0"/>
    <n v="2785.25"/>
    <n v="82516.91"/>
    <n v="3.3753687577491691E-2"/>
  </r>
  <r>
    <x v="3"/>
    <s v="XXXV"/>
    <n v="17"/>
    <s v="ALESSANDRO DALBELLO MENDES"/>
    <x v="0"/>
    <n v="2"/>
    <x v="0"/>
    <n v="885.76"/>
    <n v="140720.44"/>
    <n v="6.2944658217384767E-3"/>
  </r>
  <r>
    <x v="3"/>
    <s v="XLI"/>
    <n v="3"/>
    <s v="RICARDO CANDIDO RODRIGUES"/>
    <x v="0"/>
    <n v="2"/>
    <x v="0"/>
    <n v="1976.88"/>
    <n v="124038.27"/>
    <n v="1.5937661820017324E-2"/>
  </r>
  <r>
    <x v="2"/>
    <s v="XXXIV"/>
    <n v="2"/>
    <s v="MARCIO LOPES BAZZO"/>
    <x v="0"/>
    <n v="2"/>
    <x v="0"/>
    <n v="4161.32"/>
    <n v="99461.8"/>
    <n v="4.1838374129565314E-2"/>
  </r>
  <r>
    <x v="0"/>
    <s v="XXIV"/>
    <n v="3"/>
    <s v="JESSICA SCIPIONI VASCONCELOS"/>
    <x v="1"/>
    <n v="2"/>
    <x v="3"/>
    <n v="5163.07"/>
    <n v="110012.71"/>
    <n v="4.6931577269571846E-2"/>
  </r>
  <r>
    <x v="3"/>
    <s v="XXXVII"/>
    <n v="42"/>
    <s v="EWERTON MITSUSTOCHI SUZUKI"/>
    <x v="1"/>
    <n v="2"/>
    <x v="1"/>
    <n v="9714.14"/>
    <n v="88034.52"/>
    <n v="0.11034466934107211"/>
  </r>
  <r>
    <x v="6"/>
    <s v="XLIX"/>
    <n v="5"/>
    <s v="INGRID RODRIGUES PAULINO"/>
    <x v="1"/>
    <n v="2"/>
    <x v="1"/>
    <n v="6021.73"/>
    <n v="124030.77"/>
    <n v="4.8550291189839417E-2"/>
  </r>
  <r>
    <x v="3"/>
    <s v="XXXVIII"/>
    <n v="1"/>
    <s v="PAULO FERNANDO DOS SANTOS"/>
    <x v="1"/>
    <n v="2"/>
    <x v="2"/>
    <n v="5137.7299999999996"/>
    <n v="196140.88"/>
    <n v="2.6194080499689812E-2"/>
  </r>
  <r>
    <x v="3"/>
    <s v="XXXVII"/>
    <n v="25"/>
    <s v="TEREZINHA ROSA DE SOUZA"/>
    <x v="1"/>
    <n v="2"/>
    <x v="1"/>
    <n v="2343.5100000000002"/>
    <n v="89904.93"/>
    <n v="2.6066534949751925E-2"/>
  </r>
  <r>
    <x v="6"/>
    <s v="L"/>
    <n v="2"/>
    <s v="GUILHERME NEVES BORGES"/>
    <x v="1"/>
    <n v="2"/>
    <x v="2"/>
    <n v="2488.6799999999998"/>
    <n v="100971.88"/>
    <n v="2.4647258226745898E-2"/>
  </r>
  <r>
    <x v="2"/>
    <s v="XXVIII"/>
    <n v="10"/>
    <s v="CILAS FONSECA VIANNA"/>
    <x v="1"/>
    <n v="2"/>
    <x v="2"/>
    <n v="5474.66"/>
    <n v="110044.63"/>
    <n v="4.9749451654296985E-2"/>
  </r>
  <r>
    <x v="4"/>
    <s v="XVI"/>
    <n v="1"/>
    <s v="CLAUDIO MORYAMA"/>
    <x v="0"/>
    <n v="2"/>
    <x v="0"/>
    <n v="4814.45"/>
    <n v="144277.59"/>
    <n v="3.336935417343747E-2"/>
  </r>
  <r>
    <x v="3"/>
    <s v="XXXVII"/>
    <n v="41"/>
    <s v="HELEN BERNARDO DA SILVA BENTO"/>
    <x v="0"/>
    <n v="2"/>
    <x v="0"/>
    <n v="1934.5"/>
    <n v="54951.29"/>
    <n v="3.5203905131253516E-2"/>
  </r>
  <r>
    <x v="3"/>
    <s v="XXXIX"/>
    <n v="13"/>
    <s v="VICTOR BELIEIRO MALVEZZI"/>
    <x v="1"/>
    <n v="2"/>
    <x v="1"/>
    <n v="2428.61"/>
    <n v="123709.18"/>
    <n v="1.9631606967243663E-2"/>
  </r>
  <r>
    <x v="6"/>
    <s v="XLIX"/>
    <n v="26"/>
    <s v="MARCOS RIBEIRO MORGAN"/>
    <x v="1"/>
    <n v="2"/>
    <x v="2"/>
    <n v="10800.39"/>
    <n v="38800.39"/>
    <n v="0.27835776908427984"/>
  </r>
  <r>
    <x v="3"/>
    <s v="XL"/>
    <n v="23"/>
    <s v="LUIS ADRIANO PILCHOWSKI"/>
    <x v="1"/>
    <n v="2"/>
    <x v="2"/>
    <n v="1874.02"/>
    <n v="71475.12"/>
    <n v="2.6219193475995564E-2"/>
  </r>
  <r>
    <x v="1"/>
    <s v="XVIII"/>
    <n v="19"/>
    <s v="VINCENZO TADEU ETERNO"/>
    <x v="1"/>
    <n v="2"/>
    <x v="2"/>
    <n v="1994.5"/>
    <n v="50923.56"/>
    <n v="3.9166546879283386E-2"/>
  </r>
  <r>
    <x v="7"/>
    <s v="XIV"/>
    <n v="19"/>
    <s v="WILSON LOPES DE SOUSA JUNIOR"/>
    <x v="1"/>
    <n v="2"/>
    <x v="2"/>
    <n v="2394.44"/>
    <n v="97922.6"/>
    <n v="2.4452373609360863E-2"/>
  </r>
  <r>
    <x v="1"/>
    <s v="XII"/>
    <n v="30"/>
    <s v="VAGNER RODRIGO CREPALDI"/>
    <x v="1"/>
    <n v="2"/>
    <x v="2"/>
    <n v="2093.5500000000002"/>
    <n v="134171.79"/>
    <n v="1.5603503538262403E-2"/>
  </r>
  <r>
    <x v="6"/>
    <s v="XLVIII"/>
    <n v="7"/>
    <s v="VAGNER RODRIGO CREPALDI"/>
    <x v="1"/>
    <n v="2"/>
    <x v="2"/>
    <n v="1501.41"/>
    <n v="121924.15"/>
    <n v="1.2314295404150861E-2"/>
  </r>
  <r>
    <x v="3"/>
    <s v="XXXIX"/>
    <n v="3"/>
    <s v="VALDEIR MAGALHAES"/>
    <x v="1"/>
    <n v="2"/>
    <x v="3"/>
    <n v="42932.58"/>
    <n v="102932.58"/>
    <n v="0.4170941795105107"/>
  </r>
  <r>
    <x v="3"/>
    <s v="XXXVII"/>
    <n v="36"/>
    <s v="HERMES RINALDIN"/>
    <x v="1"/>
    <n v="1"/>
    <x v="3"/>
    <n v="1456.32"/>
    <n v="90987.69"/>
    <n v="1.600568164770421E-2"/>
  </r>
  <r>
    <x v="3"/>
    <s v="XXXIX"/>
    <n v="36"/>
    <s v="SILVANA SOARES DE SOUZA"/>
    <x v="0"/>
    <n v="1"/>
    <x v="0"/>
    <n v="2286.16"/>
    <n v="145019.26"/>
    <n v="1.5764526725622511E-2"/>
  </r>
  <r>
    <x v="7"/>
    <s v="XVII"/>
    <n v="17"/>
    <s v="PRISCILA JESSILYN DA ROCHA"/>
    <x v="1"/>
    <n v="1"/>
    <x v="1"/>
    <n v="1512.06"/>
    <n v="82201.52"/>
    <n v="1.8394550368411679E-2"/>
  </r>
  <r>
    <x v="2"/>
    <s v="XXVII"/>
    <n v="5"/>
    <s v="CLAUDIA THAIS BERA"/>
    <x v="1"/>
    <n v="1"/>
    <x v="2"/>
    <n v="3614.41"/>
    <n v="98029.23"/>
    <n v="3.6870737432090406E-2"/>
  </r>
  <r>
    <x v="1"/>
    <s v="XII"/>
    <n v="31"/>
    <s v="HELBERT NILSON FAGGION"/>
    <x v="0"/>
    <n v="1"/>
    <x v="0"/>
    <n v="733.1"/>
    <n v="26184.04"/>
    <n v="2.7997971283270268E-2"/>
  </r>
  <r>
    <x v="1"/>
    <s v="XVIII - A"/>
    <n v="2"/>
    <s v="DALMO CORREIA"/>
    <x v="1"/>
    <n v="1"/>
    <x v="3"/>
    <n v="2952.12"/>
    <n v="37915.03"/>
    <n v="7.786147076766127E-2"/>
  </r>
  <r>
    <x v="3"/>
    <s v="XXXVI"/>
    <n v="10"/>
    <s v="LUCIANO CROCE"/>
    <x v="0"/>
    <n v="1"/>
    <x v="0"/>
    <n v="5605.37"/>
    <n v="153962.98000000001"/>
    <n v="3.640725842017347E-2"/>
  </r>
  <r>
    <x v="1"/>
    <s v="XVIII"/>
    <n v="8"/>
    <s v="NATANAEL CARVALHO DOS SANTOS"/>
    <x v="0"/>
    <n v="1"/>
    <x v="0"/>
    <n v="198.4"/>
    <n v="59583.26"/>
    <n v="3.3297943079985889E-3"/>
  </r>
  <r>
    <x v="7"/>
    <s v="XIV"/>
    <n v="21"/>
    <s v="MARCOS JOSE DE MOURA"/>
    <x v="0"/>
    <n v="1"/>
    <x v="0"/>
    <n v="1289.6300000000001"/>
    <n v="39156.01"/>
    <n v="3.2935684713534398E-2"/>
  </r>
  <r>
    <x v="1"/>
    <s v="XVIII"/>
    <n v="6"/>
    <s v="ANDREA SARAIVA DA ROCHA ZIELONKA"/>
    <x v="0"/>
    <n v="1"/>
    <x v="0"/>
    <n v="2497.2600000000002"/>
    <n v="35890.269999999997"/>
    <n v="6.958041831393301E-2"/>
  </r>
  <r>
    <x v="7"/>
    <s v="XIV"/>
    <n v="16"/>
    <s v="NILTON CESAR GONCALVES CAMARGO"/>
    <x v="0"/>
    <n v="1"/>
    <x v="0"/>
    <n v="739.26"/>
    <n v="95900.36"/>
    <n v="7.7086259113104474E-3"/>
  </r>
  <r>
    <x v="4"/>
    <s v="XVI"/>
    <n v="21"/>
    <s v="MARIA APARECIDA BATISTA FERREIRA"/>
    <x v="0"/>
    <n v="1"/>
    <x v="0"/>
    <n v="1627.72"/>
    <n v="84277.92"/>
    <n v="1.9313718231299491E-2"/>
  </r>
  <r>
    <x v="0"/>
    <s v="XXIV"/>
    <n v="13"/>
    <s v="LUCIANA MELANI"/>
    <x v="1"/>
    <n v="1"/>
    <x v="3"/>
    <n v="1315.91"/>
    <n v="92172.05"/>
    <n v="1.4276670639309857E-2"/>
  </r>
  <r>
    <x v="3"/>
    <s v="XXXIX"/>
    <n v="24"/>
    <s v="DEIVIN BUSUTTIL"/>
    <x v="1"/>
    <n v="1"/>
    <x v="1"/>
    <n v="715.29"/>
    <n v="131476.85"/>
    <n v="5.4404254437187983E-3"/>
  </r>
  <r>
    <x v="3"/>
    <s v="XXXIX"/>
    <n v="34"/>
    <s v="MARVIN PARREIRA BUSUTTIL"/>
    <x v="1"/>
    <n v="1"/>
    <x v="1"/>
    <n v="715.29"/>
    <n v="131476.85"/>
    <n v="5.4404254437187983E-3"/>
  </r>
  <r>
    <x v="3"/>
    <s v="XXXVI"/>
    <n v="13"/>
    <s v="NATHALIA RODRIGUES INACIO"/>
    <x v="1"/>
    <n v="1"/>
    <x v="1"/>
    <n v="661.76"/>
    <n v="123250.11"/>
    <n v="5.3692447008769403E-3"/>
  </r>
  <r>
    <x v="3"/>
    <s v="XLI"/>
    <n v="1"/>
    <s v="LEONARDO MEDEIROS GUILET PIRES"/>
    <x v="1"/>
    <n v="1"/>
    <x v="3"/>
    <n v="3736.25"/>
    <n v="68976.94"/>
    <n v="5.4166653377201134E-2"/>
  </r>
  <r>
    <x v="7"/>
    <s v="XIV"/>
    <n v="1"/>
    <s v="BRUNO BORTOLETO CORA"/>
    <x v="1"/>
    <n v="1"/>
    <x v="1"/>
    <n v="4321.0200000000004"/>
    <n v="116713"/>
    <n v="3.7022611020194843E-2"/>
  </r>
  <r>
    <x v="0"/>
    <s v="XXIII"/>
    <n v="23"/>
    <s v="MARCOS GUIRALDELLI JUNIOR"/>
    <x v="1"/>
    <n v="1"/>
    <x v="2"/>
    <n v="3692.86"/>
    <n v="101485.08"/>
    <n v="3.638820602989129E-2"/>
  </r>
  <r>
    <x v="0"/>
    <s v="XXI"/>
    <n v="10"/>
    <s v="NILSON DE SOUZA FARIA"/>
    <x v="1"/>
    <n v="1"/>
    <x v="2"/>
    <n v="1268.79"/>
    <n v="101495.43"/>
    <n v="1.2500956939637578E-2"/>
  </r>
  <r>
    <x v="0"/>
    <s v="XXV"/>
    <n v="11"/>
    <s v="DEJAIR DA SILVA"/>
    <x v="1"/>
    <n v="1"/>
    <x v="3"/>
    <n v="1611.94"/>
    <n v="56440.44"/>
    <n v="2.8560018313110246E-2"/>
  </r>
  <r>
    <x v="3"/>
    <s v="XXXVI"/>
    <n v="6"/>
    <s v="ADRIANO TORRES UNZER DOS SANTOS"/>
    <x v="1"/>
    <n v="1"/>
    <x v="3"/>
    <n v="1456.63"/>
    <n v="109734.87"/>
    <n v="1.3274085074325054E-2"/>
  </r>
  <r>
    <x v="1"/>
    <s v="XII"/>
    <n v="4"/>
    <s v="ROGERIO FRANCISCO MANOEL"/>
    <x v="1"/>
    <n v="1"/>
    <x v="2"/>
    <n v="3121.19"/>
    <n v="85706.51"/>
    <n v="3.6417186979145463E-2"/>
  </r>
  <r>
    <x v="3"/>
    <s v="XXXVIII"/>
    <n v="40"/>
    <s v="LUCILENE MARIA RODRIGUES"/>
    <x v="1"/>
    <n v="1"/>
    <x v="2"/>
    <n v="3883.09"/>
    <n v="133812.04999999999"/>
    <n v="2.9018985958290007E-2"/>
  </r>
  <r>
    <x v="3"/>
    <s v="XXXV"/>
    <n v="25"/>
    <s v="LEANDRO MARIA CLARO"/>
    <x v="1"/>
    <n v="1"/>
    <x v="3"/>
    <n v="2460.9900000000002"/>
    <n v="138336.20000000001"/>
    <n v="1.7789920498033053E-2"/>
  </r>
  <r>
    <x v="2"/>
    <s v="XXX"/>
    <n v="3"/>
    <s v="ELOUISE BATISTI DE SOUZA"/>
    <x v="1"/>
    <n v="1"/>
    <x v="3"/>
    <n v="1368.4"/>
    <n v="95841.48"/>
    <n v="1.4277742789447745E-2"/>
  </r>
  <r>
    <x v="2"/>
    <s v="XXX"/>
    <n v="2"/>
    <s v="ROBSON CAMILLO DE SOUZA"/>
    <x v="1"/>
    <n v="1"/>
    <x v="3"/>
    <n v="1368.4"/>
    <n v="95841.48"/>
    <n v="1.4277742789447745E-2"/>
  </r>
  <r>
    <x v="0"/>
    <s v="XXV"/>
    <n v="21"/>
    <s v="SUELI GOMES BRENZAM"/>
    <x v="1"/>
    <n v="1"/>
    <x v="3"/>
    <n v="2697.58"/>
    <n v="49484.82"/>
    <n v="5.4513283063371755E-2"/>
  </r>
  <r>
    <x v="3"/>
    <s v="XLII"/>
    <n v="6"/>
    <s v="FRANCIELLE SANCHES CARNELOSSI"/>
    <x v="1"/>
    <n v="1"/>
    <x v="3"/>
    <n v="1808.71"/>
    <n v="140097.17000000001"/>
    <n v="1.2910396405580497E-2"/>
  </r>
  <r>
    <x v="6"/>
    <s v="XLIV"/>
    <n v="5"/>
    <s v="LEANDRO DA SILVA CREPALDI"/>
    <x v="1"/>
    <n v="1"/>
    <x v="3"/>
    <n v="1720.82"/>
    <n v="178055.26"/>
    <n v="9.6645277426794345E-3"/>
  </r>
  <r>
    <x v="6"/>
    <s v="XLVI"/>
    <n v="6"/>
    <s v="RAFAELA MAICHAK DE CARVALHO"/>
    <x v="1"/>
    <n v="1"/>
    <x v="3"/>
    <n v="7729.14"/>
    <n v="138858.14000000001"/>
    <n v="5.5662131150539675E-2"/>
  </r>
  <r>
    <x v="6"/>
    <s v="XLIX"/>
    <n v="12"/>
    <s v="CLEONILDO DA SILVA POGGIAN"/>
    <x v="1"/>
    <n v="1"/>
    <x v="3"/>
    <n v="36336.959999999999"/>
    <n v="102336.96000000001"/>
    <n v="0.35507171602517795"/>
  </r>
  <r>
    <x v="0"/>
    <s v="XXV"/>
    <n v="17"/>
    <s v="RODOLFO VINNICIUS DA SILVA EVANGELISTA"/>
    <x v="0"/>
    <n v="1"/>
    <x v="0"/>
    <n v="3199.05"/>
    <n v="101546.83"/>
    <n v="3.1503199065889109E-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8">
  <r>
    <x v="0"/>
    <s v="VII"/>
    <n v="9"/>
    <n v="252.5"/>
    <n v="2367"/>
    <s v="ROMARIO LOMBARDE"/>
    <d v="2013-06-21T00:00:00"/>
    <n v="79749.600000000006"/>
    <x v="0"/>
    <n v="50467.340000000004"/>
    <n v="0.63282248437609723"/>
  </r>
  <r>
    <x v="0"/>
    <s v="VII"/>
    <n v="18"/>
    <n v="252.5"/>
    <n v="2398"/>
    <s v="VALDELICE FLORENTINO"/>
    <d v="2013-06-17T00:00:00"/>
    <n v="79749.600000000006"/>
    <x v="1"/>
    <n v="115793.32"/>
    <n v="1.4519611383630764"/>
  </r>
  <r>
    <x v="0"/>
    <s v="VII"/>
    <n v="19"/>
    <n v="252.5"/>
    <n v="2399"/>
    <s v="VALDELICE FLORENTINO"/>
    <d v="2013-06-17T00:00:00"/>
    <n v="79749.600000000006"/>
    <x v="1"/>
    <n v="115793.32"/>
    <n v="1.4519611383630764"/>
  </r>
  <r>
    <x v="0"/>
    <s v="VII"/>
    <n v="25"/>
    <n v="252.75"/>
    <n v="4953"/>
    <s v="MARCO ANTONIO VOLSE FERNANDES"/>
    <d v="2020-12-22T00:00:00"/>
    <n v="159800.1"/>
    <x v="0"/>
    <n v="118267.73"/>
    <n v="0.74009797240427255"/>
  </r>
  <r>
    <x v="0"/>
    <s v="XI"/>
    <n v="1"/>
    <n v="400.62"/>
    <n v="2633"/>
    <s v="THIAGO DE MENEZES CALDAS"/>
    <d v="2013-06-08T00:00:00"/>
    <n v="120506.5"/>
    <x v="0"/>
    <n v="112350.52"/>
    <n v="0.93231916950537941"/>
  </r>
  <r>
    <x v="0"/>
    <s v="XI"/>
    <n v="2"/>
    <n v="267.14"/>
    <n v="2634"/>
    <s v="THIAGO DE MENEZES CALDAS"/>
    <d v="2013-06-08T00:00:00"/>
    <n v="87889.06"/>
    <x v="0"/>
    <n v="82638.67"/>
    <n v="0.94026116561037287"/>
  </r>
  <r>
    <x v="0"/>
    <s v="XI"/>
    <n v="3"/>
    <n v="262.63"/>
    <n v="2638"/>
    <s v="THIAGO DE MENEZES CALDAS"/>
    <d v="2013-06-08T00:00:00"/>
    <n v="86405.27"/>
    <x v="0"/>
    <n v="78533.930000000008"/>
    <n v="0.9089020843288842"/>
  </r>
  <r>
    <x v="0"/>
    <s v="XI"/>
    <n v="4"/>
    <n v="262.63"/>
    <n v="2639"/>
    <s v="THIAGO DE MENEZES CALDAS"/>
    <d v="2013-06-08T00:00:00"/>
    <n v="86405.27"/>
    <x v="0"/>
    <n v="79877.87"/>
    <n v="0.92445599672334788"/>
  </r>
  <r>
    <x v="0"/>
    <s v="XI"/>
    <n v="5"/>
    <n v="262.08999999999997"/>
    <n v="2658"/>
    <s v="MARCOS ALIPIO VASCONCELOS VIANA"/>
    <d v="2013-06-22T00:00:00"/>
    <n v="86227.69"/>
    <x v="0"/>
    <n v="77600.240000000005"/>
    <n v="0.89994571349412245"/>
  </r>
  <r>
    <x v="0"/>
    <s v="XI"/>
    <n v="8"/>
    <n v="252.75"/>
    <n v="2454"/>
    <s v="MARIO CESAR VOLPE PAULO"/>
    <d v="2013-06-21T00:00:00"/>
    <n v="83154.75"/>
    <x v="0"/>
    <n v="84495.89"/>
    <n v="1.0161282428243725"/>
  </r>
  <r>
    <x v="0"/>
    <s v="XI"/>
    <n v="9"/>
    <n v="252.75"/>
    <n v="2455"/>
    <s v="MARIO CESAR VOLPE PAULO"/>
    <d v="2013-06-21T00:00:00"/>
    <n v="83154.75"/>
    <x v="0"/>
    <n v="40315.379999999997"/>
    <n v="0.4848235368394469"/>
  </r>
  <r>
    <x v="0"/>
    <s v="XI"/>
    <n v="10"/>
    <n v="252.75"/>
    <n v="2630"/>
    <s v="LUIZ HIROAKI SATO"/>
    <d v="2013-06-06T00:00:00"/>
    <n v="83154.75"/>
    <x v="0"/>
    <n v="84493.63"/>
    <n v="1.0161010645813979"/>
  </r>
  <r>
    <x v="0"/>
    <s v="XI"/>
    <n v="11"/>
    <n v="252.75"/>
    <n v="2348"/>
    <s v="EUGENIA CAMPREGHER DA SILVA"/>
    <d v="2013-06-15T00:00:00"/>
    <n v="83154.75"/>
    <x v="0"/>
    <n v="17409.64"/>
    <n v="0.20936434779732968"/>
  </r>
  <r>
    <x v="0"/>
    <s v="XI"/>
    <n v="13"/>
    <n v="252.75"/>
    <n v="3801"/>
    <s v="ROBERTO CARLOS DE OLIVEIRA"/>
    <d v="2020-03-02T00:00:00"/>
    <n v="144759"/>
    <x v="0"/>
    <n v="36022.910000000003"/>
    <n v="0.24884746371555486"/>
  </r>
  <r>
    <x v="0"/>
    <s v="XI"/>
    <n v="14"/>
    <n v="252.75"/>
    <n v="2299"/>
    <s v="ANDERSON CARNEIRO"/>
    <d v="2013-06-20T00:00:00"/>
    <n v="83154.75"/>
    <x v="0"/>
    <n v="42611.16"/>
    <n v="0.5124320619086703"/>
  </r>
  <r>
    <x v="0"/>
    <s v="XI"/>
    <n v="17"/>
    <n v="252.75"/>
    <n v="7018"/>
    <s v="DOUGLAS ANTONIO DE LIMA"/>
    <d v="2019-03-01T00:00:00"/>
    <n v="154912"/>
    <x v="0"/>
    <n v="152580.36000000002"/>
    <n v="0.9849486159884322"/>
  </r>
  <r>
    <x v="0"/>
    <s v="XI"/>
    <n v="19"/>
    <n v="252.75"/>
    <n v="2614"/>
    <s v="ANGELA MARIA CARDOSO DE ALMEIDA"/>
    <d v="2013-06-20T00:00:00"/>
    <n v="83154.75"/>
    <x v="0"/>
    <n v="84363.150000000009"/>
    <n v="1.0145319419516023"/>
  </r>
  <r>
    <x v="0"/>
    <s v="XI"/>
    <n v="20"/>
    <n v="252.75"/>
    <n v="2497"/>
    <s v="PAULA BERTONCINE SASSO"/>
    <d v="2013-06-10T00:00:00"/>
    <n v="83154.75"/>
    <x v="0"/>
    <n v="95183.56"/>
    <n v="1.1446557172019638"/>
  </r>
  <r>
    <x v="0"/>
    <s v="XI"/>
    <n v="22"/>
    <n v="252.75"/>
    <n v="2413"/>
    <s v="BIANCA SILVA DE LIMA"/>
    <d v="2013-06-10T00:00:00"/>
    <n v="83154.75"/>
    <x v="0"/>
    <n v="73852.150000000009"/>
    <n v="0.88812906057681618"/>
  </r>
  <r>
    <x v="0"/>
    <s v="XI"/>
    <n v="25"/>
    <n v="252.75"/>
    <n v="3124"/>
    <s v="MARIO REGIS MARTINS DOS SANTOS"/>
    <d v="2019-10-14T00:00:00"/>
    <n v="150400"/>
    <x v="0"/>
    <n v="148999.80000000002"/>
    <n v="0.99069015957446815"/>
  </r>
  <r>
    <x v="0"/>
    <s v="XI"/>
    <n v="26"/>
    <n v="252.75"/>
    <n v="6006"/>
    <s v="CARLOS ROBERTO DA SILVA JUNIOR"/>
    <d v="2017-11-28T00:00:00"/>
    <n v="128780"/>
    <x v="0"/>
    <n v="127934.78"/>
    <n v="0.99343671377543097"/>
  </r>
  <r>
    <x v="0"/>
    <s v="XI"/>
    <n v="27"/>
    <n v="252.75"/>
    <n v="6007"/>
    <s v="CARLOS ROBERTO DA SILVA JUNIOR"/>
    <d v="2017-11-28T00:00:00"/>
    <n v="128779.81"/>
    <x v="0"/>
    <n v="77940.55"/>
    <n v="0.60522336537070531"/>
  </r>
  <r>
    <x v="0"/>
    <s v="XI"/>
    <s v="12 - A"/>
    <n v="252.75"/>
    <n v="2401"/>
    <s v="MARLENE SALLES DE OLIVEIRA TSAY"/>
    <d v="2013-06-15T00:00:00"/>
    <n v="83154.75"/>
    <x v="0"/>
    <n v="84125.16"/>
    <n v="1.0116699286571122"/>
  </r>
  <r>
    <x v="0"/>
    <s v="XI - A"/>
    <n v="1"/>
    <n v="343.7"/>
    <n v="2496"/>
    <s v="THIAGO DE MENEZES CALDAS"/>
    <d v="2013-06-08T00:00:00"/>
    <n v="108554.21"/>
    <x v="0"/>
    <n v="99680.31"/>
    <n v="0.91825374621583067"/>
  </r>
  <r>
    <x v="0"/>
    <s v="XI - A"/>
    <n v="2"/>
    <n v="338.02"/>
    <n v="2495"/>
    <s v="THIAGO DE MENEZES CALDAS"/>
    <d v="2013-06-08T00:00:00"/>
    <n v="106760.24"/>
    <x v="0"/>
    <n v="99628.24"/>
    <n v="0.93319610371801343"/>
  </r>
  <r>
    <x v="1"/>
    <s v="XIX"/>
    <n v="6"/>
    <n v="252.75"/>
    <n v="2579"/>
    <s v="GMO EMPREENDIMENTOS E ASSESSORIA EMPRESARIAL LTDA"/>
    <d v="2013-06-19T00:00:00"/>
    <n v="90282.3"/>
    <x v="0"/>
    <n v="91333"/>
    <n v="1.0116379401056463"/>
  </r>
  <r>
    <x v="1"/>
    <s v="XIX"/>
    <n v="7"/>
    <n v="252.75"/>
    <n v="2690"/>
    <s v="GMO EMPREENDIMENTOS E ASSESSORIA EMPRESARIAL LTDA"/>
    <d v="2013-06-22T00:00:00"/>
    <n v="93846.07"/>
    <x v="0"/>
    <n v="96724.62"/>
    <n v="1.0306731011751475"/>
  </r>
  <r>
    <x v="1"/>
    <s v="XIX"/>
    <n v="9"/>
    <n v="252.75"/>
    <n v="2530"/>
    <s v="MARCELO FELIX RAMPAZZO"/>
    <d v="2013-06-16T00:00:00"/>
    <n v="93846.07"/>
    <x v="0"/>
    <n v="95086.59"/>
    <n v="1.0132186675478259"/>
  </r>
  <r>
    <x v="1"/>
    <s v="XIX"/>
    <n v="10"/>
    <n v="252.75"/>
    <n v="2340"/>
    <s v="MARCELO RIBEIRO DA CRUZ"/>
    <d v="2013-06-14T00:00:00"/>
    <n v="93846.07"/>
    <x v="0"/>
    <n v="20020.28"/>
    <n v="0.21333104305806302"/>
  </r>
  <r>
    <x v="1"/>
    <s v="XIX"/>
    <n v="15"/>
    <n v="252.75"/>
    <n v="2711"/>
    <s v="ROSICLER RODINI MASIRONI"/>
    <d v="2013-07-29T00:00:00"/>
    <n v="90282.3"/>
    <x v="0"/>
    <n v="91619.95"/>
    <n v="1.0148163039709888"/>
  </r>
  <r>
    <x v="1"/>
    <s v="XIX"/>
    <n v="17"/>
    <n v="252.75"/>
    <n v="2343"/>
    <s v="ANTONIO ROBERTO DE MORAES"/>
    <d v="2013-06-14T00:00:00"/>
    <n v="90282.3"/>
    <x v="0"/>
    <n v="91538.84"/>
    <n v="1.0139178997433604"/>
  </r>
  <r>
    <x v="1"/>
    <s v="XIX"/>
    <n v="18"/>
    <n v="252.75"/>
    <n v="2344"/>
    <s v="ELAINE LOMBARDI"/>
    <d v="2013-06-19T00:00:00"/>
    <n v="90282.3"/>
    <x v="0"/>
    <n v="91642.72"/>
    <n v="1.0150685128757242"/>
  </r>
  <r>
    <x v="1"/>
    <s v="XXI"/>
    <n v="1"/>
    <n v="310.73"/>
    <n v="2791"/>
    <s v="GIELE ROSA ALVES"/>
    <d v="2013-08-20T00:00:00"/>
    <n v="123085.12"/>
    <x v="1"/>
    <n v="162062.05000000002"/>
    <n v="1.3166664662633472"/>
  </r>
  <r>
    <x v="1"/>
    <s v="XXI"/>
    <n v="4"/>
    <n v="256.74"/>
    <n v="4732"/>
    <s v="ELCIO LUIZ DOS SANTOS"/>
    <d v="2020-08-03T00:00:00"/>
    <n v="149460"/>
    <x v="0"/>
    <n v="138100"/>
    <n v="0.92399304161648599"/>
  </r>
  <r>
    <x v="1"/>
    <s v="XXI"/>
    <n v="10"/>
    <n v="256.74"/>
    <n v="2298"/>
    <s v="NILSON DE SOUZA FARIA"/>
    <d v="2013-06-22T00:00:00"/>
    <n v="98947.6"/>
    <x v="0"/>
    <n v="102073.11"/>
    <n v="1.0315875271355748"/>
  </r>
  <r>
    <x v="1"/>
    <s v="XXI"/>
    <n v="17"/>
    <n v="256.74"/>
    <n v="2500"/>
    <s v="NILTON CESAR BONINI"/>
    <d v="2013-06-22T00:00:00"/>
    <n v="96534.24"/>
    <x v="0"/>
    <n v="6827.93"/>
    <n v="7.0730654739706869E-2"/>
  </r>
  <r>
    <x v="1"/>
    <s v="XXI"/>
    <n v="21"/>
    <n v="372.98"/>
    <n v="2802"/>
    <s v="FABIO HENRIQUE VILLAS BOAS"/>
    <d v="2013-09-10T00:00:00"/>
    <n v="126216.42"/>
    <x v="0"/>
    <n v="67302.570000000007"/>
    <n v="0.53323149238427148"/>
  </r>
  <r>
    <x v="1"/>
    <s v="XXI"/>
    <n v="30"/>
    <n v="261.70999999999998"/>
    <n v="2365"/>
    <s v="ANTONIO SERGIO BARROTTI RODELLA"/>
    <d v="2013-06-14T00:00:00"/>
    <n v="95942.89"/>
    <x v="1"/>
    <n v="216432.73"/>
    <n v="2.2558495996941517"/>
  </r>
  <r>
    <x v="1"/>
    <s v="XXII"/>
    <n v="10"/>
    <n v="258.7"/>
    <n v="2410"/>
    <s v="ANGELA DO ROCIO DE OLIVEIRA LIMA"/>
    <d v="2013-06-14T00:00:00"/>
    <n v="94839.42"/>
    <x v="0"/>
    <n v="88945.97"/>
    <n v="0.93785864569817068"/>
  </r>
  <r>
    <x v="1"/>
    <s v="XXII"/>
    <n v="13"/>
    <n v="258.7"/>
    <n v="2292"/>
    <s v="MEIRE ADRIANA ARAUJO MARCONDES"/>
    <d v="2013-06-22T00:00:00"/>
    <n v="94839.42"/>
    <x v="0"/>
    <n v="9570.26"/>
    <n v="0.10091014896548292"/>
  </r>
  <r>
    <x v="1"/>
    <s v="XXII"/>
    <n v="14"/>
    <n v="258.7"/>
    <n v="2293"/>
    <s v="WELLINGTON TEIXEIRA MARCONDES"/>
    <d v="2013-06-21T00:00:00"/>
    <n v="94839.42"/>
    <x v="0"/>
    <n v="9540.42"/>
    <n v="0.10059551186626826"/>
  </r>
  <r>
    <x v="1"/>
    <s v="XXII"/>
    <n v="16"/>
    <n v="258.7"/>
    <n v="2612"/>
    <s v="ALEX SANDRO DA SILVA OLIVEIRA"/>
    <d v="2013-06-07T00:00:00"/>
    <n v="94839.12"/>
    <x v="0"/>
    <n v="96619.06"/>
    <n v="1.018767993629633"/>
  </r>
  <r>
    <x v="1"/>
    <s v="XXII"/>
    <n v="17"/>
    <n v="258.7"/>
    <n v="2276"/>
    <s v="MARCO AURELIO BENEDITO DA SILVA"/>
    <d v="2013-06-08T00:00:00"/>
    <n v="94839.42"/>
    <x v="1"/>
    <n v="161794.73000000001"/>
    <n v="1.705986076253946"/>
  </r>
  <r>
    <x v="1"/>
    <s v="XXII"/>
    <n v="18"/>
    <n v="258.7"/>
    <n v="2278"/>
    <s v="MARCO AURELIO BENEDITO DA SILVA"/>
    <d v="2013-06-08T00:00:00"/>
    <n v="94839.42"/>
    <x v="1"/>
    <n v="161794.61000000002"/>
    <n v="1.7059848109573004"/>
  </r>
  <r>
    <x v="1"/>
    <s v="XXII"/>
    <n v="21"/>
    <n v="266.81"/>
    <n v="2483"/>
    <s v="CLAUDIO GUIRARDELLI"/>
    <d v="2013-06-20T00:00:00"/>
    <n v="97812.55"/>
    <x v="0"/>
    <n v="45257.97"/>
    <n v="0.4627010542103237"/>
  </r>
  <r>
    <x v="1"/>
    <s v="XXII"/>
    <n v="26"/>
    <n v="266.81"/>
    <n v="2618"/>
    <s v="AGUINALDO AUGUSTINHO"/>
    <d v="2013-06-20T00:00:00"/>
    <n v="97812.55"/>
    <x v="1"/>
    <n v="24147.09"/>
    <n v="0.24687108147165163"/>
  </r>
  <r>
    <x v="1"/>
    <s v="XXII"/>
    <n v="27"/>
    <n v="266.81"/>
    <n v="2617"/>
    <s v="AGUINALDO AUGUSTINHO"/>
    <d v="2013-06-20T00:00:00"/>
    <n v="97812.55"/>
    <x v="1"/>
    <n v="25300.53"/>
    <n v="0.25866343327108843"/>
  </r>
  <r>
    <x v="1"/>
    <s v="XXII"/>
    <n v="28"/>
    <n v="266.81"/>
    <n v="2463"/>
    <s v="JOAQUIM MANOEL DA SILVA"/>
    <d v="2013-06-19T00:00:00"/>
    <n v="97812.6"/>
    <x v="1"/>
    <n v="102134.61"/>
    <n v="1.0441866385312322"/>
  </r>
  <r>
    <x v="1"/>
    <s v="XXII"/>
    <n v="31"/>
    <n v="266.81"/>
    <n v="4731"/>
    <s v="ELCIO LUIZ DOS SANTOS"/>
    <d v="2020-08-03T00:00:00"/>
    <n v="155100"/>
    <x v="0"/>
    <n v="143500"/>
    <n v="0.92520954223081886"/>
  </r>
  <r>
    <x v="1"/>
    <s v="XXII"/>
    <n v="36"/>
    <n v="266.81"/>
    <n v="2696"/>
    <s v="WESLEY DOS SANTOS ANTUNES"/>
    <d v="2013-07-20T00:00:00"/>
    <n v="97812.6"/>
    <x v="0"/>
    <n v="21149.52"/>
    <n v="0.21622490354003471"/>
  </r>
  <r>
    <x v="1"/>
    <s v="XXIII"/>
    <n v="6"/>
    <n v="263.74"/>
    <n v="2435"/>
    <s v="DENISON HENRIQUE LEANDRO"/>
    <d v="2013-06-17T00:00:00"/>
    <n v="96687.08"/>
    <x v="2"/>
    <n v="100566.25"/>
    <n v="1.0401208724061166"/>
  </r>
  <r>
    <x v="1"/>
    <s v="XXIII"/>
    <n v="9"/>
    <n v="263.74"/>
    <n v="2507"/>
    <s v="ROGERIO SANCHES FRANCO"/>
    <d v="2013-06-21T00:00:00"/>
    <n v="96687.08"/>
    <x v="0"/>
    <n v="97809.760000000009"/>
    <n v="1.0116114790104325"/>
  </r>
  <r>
    <x v="1"/>
    <s v="XXIII"/>
    <n v="10"/>
    <n v="263.74"/>
    <n v="2508"/>
    <s v="ROGERIO SANCHES FRANCO"/>
    <d v="2013-06-21T00:00:00"/>
    <n v="96687.08"/>
    <x v="0"/>
    <n v="97809.760000000009"/>
    <n v="1.0116114790104325"/>
  </r>
  <r>
    <x v="1"/>
    <s v="XXIII"/>
    <n v="11"/>
    <n v="263.74"/>
    <n v="2537"/>
    <s v="MARA SILVIA SPURIO"/>
    <d v="2013-06-21T00:00:00"/>
    <n v="96687.16"/>
    <x v="1"/>
    <n v="65472.55"/>
    <n v="0.67715868373835786"/>
  </r>
  <r>
    <x v="1"/>
    <s v="XXIII"/>
    <n v="12"/>
    <n v="263.74"/>
    <n v="2538"/>
    <s v="MIRIAN APARECIDA GONCALVES DIAS"/>
    <d v="2013-06-28T00:00:00"/>
    <n v="96687.08"/>
    <x v="1"/>
    <n v="62503.98"/>
    <n v="0.64645638279695694"/>
  </r>
  <r>
    <x v="1"/>
    <s v="XXIII"/>
    <n v="18"/>
    <n v="327.11"/>
    <n v="2464"/>
    <s v="DARCI FIN"/>
    <d v="2013-06-21T00:00:00"/>
    <n v="116843.69"/>
    <x v="0"/>
    <n v="118690.93000000001"/>
    <n v="1.015809497286503"/>
  </r>
  <r>
    <x v="1"/>
    <s v="XXIII"/>
    <n v="19"/>
    <n v="268.58"/>
    <n v="4672"/>
    <s v="EVERTON JULIANO D'ADA"/>
    <d v="2020-08-11T00:00:00"/>
    <n v="155100.6"/>
    <x v="0"/>
    <n v="147478.25"/>
    <n v="0.95085544478873707"/>
  </r>
  <r>
    <x v="1"/>
    <s v="XXIII"/>
    <n v="20"/>
    <n v="268.58"/>
    <n v="4668"/>
    <s v="MARISTELA ROMAGNOLE DE ARAUJO JURKEVICZ"/>
    <d v="2020-08-07T00:00:00"/>
    <n v="164860.60999999999"/>
    <x v="0"/>
    <n v="165601.08000000002"/>
    <n v="1.0044914913271279"/>
  </r>
  <r>
    <x v="1"/>
    <s v="XXIII"/>
    <n v="21"/>
    <n v="268.58"/>
    <n v="3780"/>
    <s v="CARLOS KUNIO NAKANO"/>
    <d v="2014-06-05T00:00:00"/>
    <n v="108570.31"/>
    <x v="0"/>
    <n v="112497.59"/>
    <n v="1.0361726884633562"/>
  </r>
  <r>
    <x v="1"/>
    <s v="XXIII"/>
    <n v="23"/>
    <n v="268.58"/>
    <n v="2611"/>
    <s v="MARCOS GUIRALDELLI JUNIOR"/>
    <d v="2013-06-13T00:00:00"/>
    <n v="98461.43"/>
    <x v="1"/>
    <n v="103919.19"/>
    <n v="1.0554304360600899"/>
  </r>
  <r>
    <x v="1"/>
    <s v="XXIII"/>
    <n v="26"/>
    <n v="268.58"/>
    <n v="2763"/>
    <s v="ROBERTO MARTINS"/>
    <d v="2013-08-15T00:00:00"/>
    <n v="103258.27"/>
    <x v="0"/>
    <n v="89543.14"/>
    <n v="0.86717644988628995"/>
  </r>
  <r>
    <x v="1"/>
    <s v="XXIII"/>
    <n v="27"/>
    <n v="268.58"/>
    <n v="2362"/>
    <s v="MARINA APARECIDA BERNINI"/>
    <d v="2013-06-20T00:00:00"/>
    <n v="98461.43"/>
    <x v="0"/>
    <n v="88643.89"/>
    <n v="0.90029049953875351"/>
  </r>
  <r>
    <x v="1"/>
    <s v="XXIII"/>
    <n v="29"/>
    <n v="268.58"/>
    <n v="2356"/>
    <s v="VINICIUS MENDONCA DE OLIVEIRA"/>
    <d v="2013-06-19T00:00:00"/>
    <n v="98461.62"/>
    <x v="0"/>
    <n v="87059.26"/>
    <n v="0.88419487715111733"/>
  </r>
  <r>
    <x v="1"/>
    <s v="XXIII"/>
    <n v="30"/>
    <n v="268.58"/>
    <n v="6481"/>
    <s v="EDUARDO FAGANELLO HELBEL"/>
    <d v="2018-06-21T00:00:00"/>
    <n v="162897.51"/>
    <x v="0"/>
    <n v="154623.74"/>
    <n v="0.9492087386725554"/>
  </r>
  <r>
    <x v="1"/>
    <s v="XXIII"/>
    <n v="31"/>
    <n v="268.58"/>
    <n v="2674"/>
    <s v="VALDIR DAMA"/>
    <d v="2018-11-15T00:00:00"/>
    <n v="162896.34"/>
    <x v="0"/>
    <n v="154036.22"/>
    <n v="0.94560884547805069"/>
  </r>
  <r>
    <x v="1"/>
    <s v="XXIII"/>
    <n v="32"/>
    <n v="268.58"/>
    <n v="6565"/>
    <s v="SERGIO PEREIRA JUNIOR"/>
    <d v="2018-07-18T00:00:00"/>
    <n v="162897.51"/>
    <x v="1"/>
    <n v="181162.58000000002"/>
    <n v="1.1121261460657073"/>
  </r>
  <r>
    <x v="1"/>
    <s v="XXIII"/>
    <n v="33"/>
    <n v="266.81"/>
    <n v="4834"/>
    <s v="ERMESON TIAGO MENDES LIMA"/>
    <d v="2020-10-01T00:00:00"/>
    <n v="213072.4"/>
    <x v="0"/>
    <n v="137195.97"/>
    <n v="0.64389367182234769"/>
  </r>
  <r>
    <x v="1"/>
    <s v="XXIV"/>
    <n v="1"/>
    <n v="330.15"/>
    <n v="2713"/>
    <s v="JOSEMARIS APARECIDA MARTINELLI"/>
    <d v="2013-07-24T00:00:00"/>
    <n v="117929.58"/>
    <x v="0"/>
    <n v="119853.3"/>
    <n v="1.0163124468008791"/>
  </r>
  <r>
    <x v="1"/>
    <s v="XXIV"/>
    <n v="3"/>
    <n v="256.14"/>
    <n v="2663"/>
    <s v="LARISSA BASSI PICONI"/>
    <d v="2013-07-07T00:00:00"/>
    <n v="98716.36"/>
    <x v="2"/>
    <n v="108164.57"/>
    <n v="1.0957106805801997"/>
  </r>
  <r>
    <x v="1"/>
    <s v="XXIV"/>
    <n v="5"/>
    <n v="256.14"/>
    <n v="2449"/>
    <s v="ERICA DE CAMARGO CORREA FERRAZ MARANGONI"/>
    <d v="2013-06-20T00:00:00"/>
    <n v="98716.36"/>
    <x v="0"/>
    <n v="10318.540000000001"/>
    <n v="0.10452715233827505"/>
  </r>
  <r>
    <x v="1"/>
    <s v="XXIV"/>
    <n v="6"/>
    <n v="256.14"/>
    <n v="3773"/>
    <s v="RODRIGO ALBUQUERQUE LINDOLFO"/>
    <d v="2020-02-05T00:00:00"/>
    <n v="156980"/>
    <x v="0"/>
    <n v="154328.78"/>
    <n v="0.98311109695502608"/>
  </r>
  <r>
    <x v="1"/>
    <s v="XXIV"/>
    <n v="10"/>
    <n v="256.14"/>
    <n v="2557"/>
    <s v="GUSTAVO APARECIDO BRANDAO MEIRELES"/>
    <d v="2013-07-01T00:00:00"/>
    <n v="93900.92"/>
    <x v="1"/>
    <n v="167759.89000000001"/>
    <n v="1.7865627940599518"/>
  </r>
  <r>
    <x v="1"/>
    <s v="XXIV"/>
    <n v="11"/>
    <n v="256.14"/>
    <n v="3573"/>
    <s v="C. C. FIGUEIRA DOS SANTOS FOGOES - ME."/>
    <d v="2014-02-24T00:00:00"/>
    <n v="96068.01"/>
    <x v="0"/>
    <n v="99668.75"/>
    <n v="1.0374811552773915"/>
  </r>
  <r>
    <x v="1"/>
    <s v="XXIV"/>
    <n v="13"/>
    <n v="256.14"/>
    <n v="2528"/>
    <s v="LUCIANA MELANI"/>
    <d v="2013-06-27T00:00:00"/>
    <n v="91493.21"/>
    <x v="2"/>
    <n v="93928.45"/>
    <n v="1.0266166199655689"/>
  </r>
  <r>
    <x v="1"/>
    <s v="XXV"/>
    <n v="2"/>
    <n v="255.53"/>
    <n v="2623"/>
    <s v="PEDRO LUCAS BACILI"/>
    <d v="2013-07-05T00:00:00"/>
    <n v="92476.31"/>
    <x v="1"/>
    <n v="130822.29000000001"/>
    <n v="1.4146573322400084"/>
  </r>
  <r>
    <x v="1"/>
    <s v="XXV"/>
    <n v="4"/>
    <n v="254.32"/>
    <n v="2573"/>
    <s v="FAUSTO ALMEIDA DE OLIVEIRA"/>
    <d v="2013-06-16T00:00:00"/>
    <n v="92038.41"/>
    <x v="1"/>
    <n v="169014.99"/>
    <n v="1.8363527792364078"/>
  </r>
  <r>
    <x v="1"/>
    <s v="XXV"/>
    <n v="6"/>
    <n v="261.2"/>
    <n v="2373"/>
    <s v="VALDETE PIRES CARDIA"/>
    <d v="2013-06-21T00:00:00"/>
    <n v="94528.28"/>
    <x v="2"/>
    <n v="54566.770000000004"/>
    <n v="0.57725338914449731"/>
  </r>
  <r>
    <x v="1"/>
    <s v="XXV"/>
    <n v="7"/>
    <n v="260.61"/>
    <n v="4751"/>
    <s v="MARIA LUCIA GIMENES"/>
    <d v="2015-05-01T00:00:00"/>
    <n v="140730.35999999999"/>
    <x v="0"/>
    <n v="18251.63"/>
    <n v="0.12969220003416465"/>
  </r>
  <r>
    <x v="1"/>
    <s v="XXV"/>
    <n v="9"/>
    <n v="260"/>
    <n v="2671"/>
    <s v="DEBORA SKAU DE AQUINO"/>
    <d v="2013-06-11T00:00:00"/>
    <n v="94094"/>
    <x v="0"/>
    <n v="95495.87"/>
    <n v="1.0148986120262715"/>
  </r>
  <r>
    <x v="1"/>
    <s v="XXV"/>
    <n v="11"/>
    <n v="260"/>
    <n v="2372"/>
    <s v="DEJAIR DA SILVA"/>
    <d v="2013-06-26T00:00:00"/>
    <n v="94094"/>
    <x v="0"/>
    <n v="50809.37"/>
    <n v="0.53998522753841904"/>
  </r>
  <r>
    <x v="1"/>
    <s v="XXV"/>
    <n v="17"/>
    <n v="260"/>
    <n v="3617"/>
    <s v="RODOLFO VINNICIUS DA SILVA EVANGELISTA"/>
    <d v="2014-03-27T00:00:00"/>
    <n v="95879.86"/>
    <x v="2"/>
    <n v="101688.40000000001"/>
    <n v="1.0605814401481188"/>
  </r>
  <r>
    <x v="1"/>
    <s v="XXV"/>
    <n v="18"/>
    <n v="260"/>
    <n v="3590"/>
    <s v="EDINARA FERREIRA"/>
    <d v="2014-03-11T00:00:00"/>
    <n v="103870.9"/>
    <x v="0"/>
    <n v="108973.34"/>
    <n v="1.0491229016018924"/>
  </r>
  <r>
    <x v="1"/>
    <s v="XXV"/>
    <n v="20"/>
    <n v="260"/>
    <n v="3589"/>
    <s v="JOSE MARIA DE ANDRADE"/>
    <d v="2014-03-05T00:00:00"/>
    <n v="103869.79"/>
    <x v="0"/>
    <n v="99320.24"/>
    <n v="0.95619948783953457"/>
  </r>
  <r>
    <x v="1"/>
    <s v="XXV"/>
    <n v="25"/>
    <n v="260"/>
    <n v="3832"/>
    <s v="DANIELLY NUNES GOMES CIQUINI"/>
    <d v="2014-07-11T00:00:00"/>
    <n v="104825.61"/>
    <x v="1"/>
    <n v="8858.18"/>
    <n v="8.4503968066582211E-2"/>
  </r>
  <r>
    <x v="1"/>
    <s v="XXV"/>
    <n v="26"/>
    <n v="253.97"/>
    <n v="3789"/>
    <s v="MATEUS DOS SANTOS GONSALES"/>
    <d v="2014-06-16T00:00:00"/>
    <n v="103192.39"/>
    <x v="1"/>
    <n v="186020.2"/>
    <n v="1.8026542461125283"/>
  </r>
  <r>
    <x v="1"/>
    <s v="XXV - A"/>
    <n v="4"/>
    <n v="250.71"/>
    <n v="2812"/>
    <s v="WILSON ALVES DE ANDRADE"/>
    <d v="2013-10-04T00:00:00"/>
    <n v="96387.96"/>
    <x v="0"/>
    <n v="66730.17"/>
    <n v="0.69230814720012746"/>
  </r>
  <r>
    <x v="1"/>
    <s v="XXV - A"/>
    <n v="6"/>
    <n v="250.71"/>
    <n v="2631"/>
    <s v="LUIZ HIROAKI SATO"/>
    <d v="2013-06-06T00:00:00"/>
    <n v="90731.95"/>
    <x v="0"/>
    <n v="14488.460000000001"/>
    <n v="0.15968421267260322"/>
  </r>
  <r>
    <x v="1"/>
    <s v="XXV - A"/>
    <n v="8"/>
    <n v="250.71"/>
    <n v="2407"/>
    <s v="HELIO YASSUO NISHIMURA"/>
    <d v="2013-06-06T00:00:00"/>
    <n v="90731.95"/>
    <x v="0"/>
    <n v="14496.74"/>
    <n v="0.1597754704930292"/>
  </r>
  <r>
    <x v="1"/>
    <s v="XXV - A"/>
    <n v="9"/>
    <n v="250.71"/>
    <n v="2408"/>
    <s v="HELIO YASSUO NISHIMURA"/>
    <d v="2013-06-06T00:00:00"/>
    <n v="90731.95"/>
    <x v="0"/>
    <n v="14496.74"/>
    <n v="0.1597754704930292"/>
  </r>
  <r>
    <x v="1"/>
    <s v="XXV - A"/>
    <n v="11"/>
    <n v="250.71"/>
    <n v="2429"/>
    <s v="KEIGO FUKUDA"/>
    <d v="2013-06-27T00:00:00"/>
    <n v="90731.95"/>
    <x v="1"/>
    <n v="81964.040000000008"/>
    <n v="0.90336469126917263"/>
  </r>
  <r>
    <x v="1"/>
    <s v="XXV - A"/>
    <n v="14"/>
    <n v="257.62"/>
    <n v="2561"/>
    <s v="MARLENE MOREIRA DA SILVA"/>
    <d v="2013-06-20T00:00:00"/>
    <n v="93232.68"/>
    <x v="0"/>
    <n v="19485.39"/>
    <n v="0.20899742450823039"/>
  </r>
  <r>
    <x v="1"/>
    <s v="XXV - A"/>
    <n v="15"/>
    <n v="257.62"/>
    <n v="2790"/>
    <s v="ANDRE LUIZ DOS SANTOS"/>
    <d v="2013-08-15T00:00:00"/>
    <n v="95877.1"/>
    <x v="1"/>
    <n v="218578.11000000002"/>
    <n v="2.2797738980423898"/>
  </r>
  <r>
    <x v="1"/>
    <s v="XXV - A"/>
    <n v="16"/>
    <n v="257.62"/>
    <n v="2444"/>
    <s v="EVERALDO FIORINI DE OLIVEIRA"/>
    <d v="2013-06-20T00:00:00"/>
    <n v="93232.68"/>
    <x v="0"/>
    <n v="94317.52"/>
    <n v="1.0116358341302643"/>
  </r>
  <r>
    <x v="1"/>
    <s v="XXV - A"/>
    <n v="17"/>
    <n v="257.62"/>
    <n v="2432"/>
    <s v="PAULO SERGIO PUZIPPE JUNIOR"/>
    <d v="2013-06-21T00:00:00"/>
    <n v="93232.68"/>
    <x v="0"/>
    <n v="35110.15"/>
    <n v="0.37658629999695392"/>
  </r>
  <r>
    <x v="1"/>
    <s v="XXV - A"/>
    <n v="18"/>
    <n v="257.62"/>
    <n v="4738"/>
    <s v="ALEXANDRE GREIN"/>
    <d v="2020-08-03T00:00:00"/>
    <n v="158132.89000000001"/>
    <x v="0"/>
    <n v="158869.30000000002"/>
    <n v="1.0046569059731976"/>
  </r>
  <r>
    <x v="1"/>
    <s v="XXV - A"/>
    <n v="20"/>
    <n v="257.62"/>
    <n v="3567"/>
    <s v="MARCELO JOSE SIMOES DE OLIVEIRA"/>
    <d v="2014-02-17T00:00:00"/>
    <n v="94899.03"/>
    <x v="0"/>
    <n v="98320.52"/>
    <n v="1.0360540039239601"/>
  </r>
  <r>
    <x v="1"/>
    <s v="XXV - A"/>
    <n v="21"/>
    <n v="257.62"/>
    <n v="3568"/>
    <s v="MARCELO JOSE SIMOES DE OLIVEIRA"/>
    <d v="2014-02-17T00:00:00"/>
    <n v="94899.01"/>
    <x v="0"/>
    <n v="98320.52"/>
    <n v="1.0360542222727087"/>
  </r>
  <r>
    <x v="1"/>
    <s v="XXV - A"/>
    <n v="23"/>
    <n v="257.62"/>
    <n v="3911"/>
    <s v="SILVIA HELENA FIORINI ALVES"/>
    <d v="2014-09-11T00:00:00"/>
    <n v="113754.98"/>
    <x v="0"/>
    <n v="115719.72"/>
    <n v="1.0172716834023443"/>
  </r>
  <r>
    <x v="1"/>
    <s v="XXV - A"/>
    <n v="27"/>
    <n v="257.62"/>
    <n v="3699"/>
    <s v="JONATHAS SIMEY ALVES DOS SANTOS"/>
    <d v="2014-04-25T00:00:00"/>
    <n v="102918.74"/>
    <x v="1"/>
    <n v="283063.41000000003"/>
    <n v="2.7503582923770735"/>
  </r>
  <r>
    <x v="1"/>
    <s v="XXV - A"/>
    <n v="28"/>
    <n v="285.25"/>
    <n v="3700"/>
    <s v="JONATHAS SIMEY ALVES DOS SANTOS"/>
    <d v="2014-04-25T00:00:00"/>
    <n v="115298.5"/>
    <x v="1"/>
    <n v="316793.07"/>
    <n v="2.747590558420101"/>
  </r>
  <r>
    <x v="2"/>
    <s v="VIII"/>
    <n v="1"/>
    <n v="359.22"/>
    <n v="2580"/>
    <s v="GMO EMPREENDIMENTOS E ASSESSORIA EMPRESARIAL LTDA"/>
    <d v="2013-06-19T00:00:00"/>
    <n v="113456.04"/>
    <x v="0"/>
    <n v="114769.25"/>
    <n v="1.0115746151549094"/>
  </r>
  <r>
    <x v="2"/>
    <s v="VIII"/>
    <n v="3"/>
    <n v="251.25"/>
    <n v="2419"/>
    <s v="JOAO CARVALHO DE SOUZA"/>
    <d v="2013-06-20T00:00:00"/>
    <n v="79354.8"/>
    <x v="0"/>
    <n v="80668.09"/>
    <n v="1.0165495975038685"/>
  </r>
  <r>
    <x v="2"/>
    <s v="VIII"/>
    <n v="12"/>
    <n v="251.25"/>
    <n v="4782"/>
    <s v="GUILHERME STELLBRINK"/>
    <d v="2020-09-11T00:00:00"/>
    <n v="141000"/>
    <x v="0"/>
    <n v="94220.36"/>
    <n v="0.66822950354609933"/>
  </r>
  <r>
    <x v="2"/>
    <s v="VIII"/>
    <n v="14"/>
    <n v="251.25"/>
    <n v="3902"/>
    <s v="ELIO JOSE DE SOUZA"/>
    <d v="2020-05-04T00:00:00"/>
    <n v="145700"/>
    <x v="0"/>
    <n v="138380.81"/>
    <n v="0.94976533973919008"/>
  </r>
  <r>
    <x v="2"/>
    <s v="VIII"/>
    <n v="19"/>
    <n v="251.25"/>
    <n v="2586"/>
    <s v="CARLOS ALBERTO DA COSTA"/>
    <d v="2013-06-21T00:00:00"/>
    <n v="79354.8"/>
    <x v="1"/>
    <n v="190988.51"/>
    <n v="2.406766950455423"/>
  </r>
  <r>
    <x v="2"/>
    <s v="VIII"/>
    <n v="21"/>
    <n v="251.25"/>
    <n v="2710"/>
    <s v="RGS CONSULTORIA EMPRESARIAL E ADMINISTRADORA DE BENS LTDA"/>
    <d v="2013-07-22T00:00:00"/>
    <n v="77767.7"/>
    <x v="0"/>
    <n v="107383.53"/>
    <n v="1.3808243010915844"/>
  </r>
  <r>
    <x v="2"/>
    <s v="VIII"/>
    <n v="22"/>
    <n v="251.25"/>
    <n v="2647"/>
    <s v="JAIME DOS SANTOS MENDES GOMES"/>
    <d v="2013-07-07T00:00:00"/>
    <n v="79354.8"/>
    <x v="0"/>
    <n v="27776.84"/>
    <n v="0.3500335203415546"/>
  </r>
  <r>
    <x v="2"/>
    <s v="VIII"/>
    <n v="23"/>
    <n v="251.25"/>
    <n v="2470"/>
    <s v="JULIANA DE SOUZA"/>
    <d v="2013-06-24T00:00:00"/>
    <n v="79354.8"/>
    <x v="1"/>
    <n v="84490.14"/>
    <n v="1.0647136657139833"/>
  </r>
  <r>
    <x v="2"/>
    <s v="VIII"/>
    <n v="26"/>
    <n v="251.25"/>
    <s v="4552"/>
    <s v="LUCIANE APARECIDA DE PAULA"/>
    <d v="2020-07-22T00:00:00"/>
    <n v="145700"/>
    <x v="0"/>
    <n v="142012.69"/>
    <n v="0.97469245024021967"/>
  </r>
  <r>
    <x v="2"/>
    <s v="VIII"/>
    <n v="27"/>
    <n v="251.25"/>
    <n v="2712"/>
    <s v="OSVALDO TOSHIYUKI HIGASHI"/>
    <d v="2013-07-29T00:00:00"/>
    <n v="79354.8"/>
    <x v="0"/>
    <n v="80214.31"/>
    <n v="1.0108312288607619"/>
  </r>
  <r>
    <x v="2"/>
    <s v="VIII"/>
    <n v="28"/>
    <n v="251.25"/>
    <n v="3444"/>
    <s v="DANILO HENRIQUE DE OLIVEIRA"/>
    <d v="2019-12-04T00:00:00"/>
    <n v="145700"/>
    <x v="2"/>
    <n v="151000.07"/>
    <n v="1.0363765957446809"/>
  </r>
  <r>
    <x v="2"/>
    <s v="VIII"/>
    <n v="32"/>
    <n v="251.25"/>
    <n v="2610"/>
    <s v="JOAQUIM MOREIRA DIAS"/>
    <d v="2013-06-29T00:00:00"/>
    <n v="79354.8"/>
    <x v="0"/>
    <n v="80282.900000000009"/>
    <n v="1.0116955748108496"/>
  </r>
  <r>
    <x v="2"/>
    <s v="VIII"/>
    <n v="34"/>
    <n v="368.4"/>
    <n v="3550"/>
    <s v="JOSE TADEI FERRAZ DE GOUVEIA"/>
    <d v="2014-02-07T00:00:00"/>
    <n v="138518.39999999999"/>
    <x v="0"/>
    <n v="41654.07"/>
    <n v="0.30071145782798531"/>
  </r>
  <r>
    <x v="2"/>
    <s v="XII"/>
    <n v="4"/>
    <n v="252.75"/>
    <n v="2476"/>
    <s v="ROGERIO FRANCISCO MANOEL"/>
    <d v="2013-06-14T00:00:00"/>
    <n v="83154.75"/>
    <x v="1"/>
    <n v="85595.63"/>
    <n v="1.0293534644743687"/>
  </r>
  <r>
    <x v="2"/>
    <s v="XII"/>
    <n v="6"/>
    <n v="252.75"/>
    <n v="2332"/>
    <s v="ROBERTO NUNES"/>
    <d v="2013-06-16T00:00:00"/>
    <n v="83154.75"/>
    <x v="1"/>
    <n v="98065.74"/>
    <n v="1.1793161545191346"/>
  </r>
  <r>
    <x v="2"/>
    <s v="XII"/>
    <n v="11"/>
    <n v="252.75"/>
    <n v="2656"/>
    <s v="VALDENILSON  PEREIRA MEIRELES"/>
    <d v="2013-06-17T00:00:00"/>
    <n v="83154.75"/>
    <x v="1"/>
    <n v="149413.45000000001"/>
    <n v="1.7968119680475261"/>
  </r>
  <r>
    <x v="2"/>
    <s v="XII"/>
    <n v="14"/>
    <n v="252.75"/>
    <n v="2498"/>
    <s v="ANGELA FERREIRA DA SILVA"/>
    <d v="2013-06-21T00:00:00"/>
    <n v="83154.75"/>
    <x v="1"/>
    <n v="203597.82"/>
    <n v="2.4484208057868013"/>
  </r>
  <r>
    <x v="2"/>
    <s v="XII"/>
    <n v="15"/>
    <n v="252.75"/>
    <n v="2389"/>
    <s v="CARLOS ANTONIO DA SILVA"/>
    <d v="2013-06-15T00:00:00"/>
    <n v="83154.75"/>
    <x v="1"/>
    <n v="145913.62"/>
    <n v="1.7547238131315408"/>
  </r>
  <r>
    <x v="2"/>
    <s v="XII"/>
    <n v="18"/>
    <n v="252.75"/>
    <n v="2575"/>
    <s v="GILSON TOSHIHIKO MORIYAMA"/>
    <d v="2013-06-22T00:00:00"/>
    <n v="83154.75"/>
    <x v="0"/>
    <n v="84363.150000000009"/>
    <n v="1.0145319419516023"/>
  </r>
  <r>
    <x v="2"/>
    <s v="XII"/>
    <n v="22"/>
    <n v="252.75"/>
    <n v="2806"/>
    <s v="CLAUDINEI DOS SANTOS SISNER"/>
    <d v="2013-09-18T00:00:00"/>
    <n v="87429.4"/>
    <x v="0"/>
    <n v="90125.24"/>
    <n v="1.0308344790196433"/>
  </r>
  <r>
    <x v="2"/>
    <s v="XII"/>
    <n v="23"/>
    <n v="252.75"/>
    <n v="2513"/>
    <s v="MARLI PEREIRA NEVES LEME"/>
    <d v="2013-06-20T00:00:00"/>
    <n v="83154.75"/>
    <x v="0"/>
    <n v="25029.29"/>
    <n v="0.30099651553278678"/>
  </r>
  <r>
    <x v="2"/>
    <s v="XII"/>
    <n v="30"/>
    <n v="252.75"/>
    <n v="3760"/>
    <s v="VAGNER RODRIGO CREPALDI"/>
    <d v="2020-02-03T00:00:00"/>
    <n v="122200.2"/>
    <x v="0"/>
    <n v="140437.29"/>
    <n v="1.1492394447799594"/>
  </r>
  <r>
    <x v="2"/>
    <s v="XII"/>
    <n v="31"/>
    <n v="290.68"/>
    <n v="2694"/>
    <s v="HELBERT NILSON FAGGION"/>
    <d v="2013-07-17T00:00:00"/>
    <n v="95633.72"/>
    <x v="0"/>
    <n v="17101.77"/>
    <n v="0.17882573217898456"/>
  </r>
  <r>
    <x v="2"/>
    <s v="XV"/>
    <n v="2"/>
    <n v="253"/>
    <n v="2409"/>
    <s v="EDUARDO FERREIRA DE MELLO"/>
    <d v="2013-06-19T00:00:00"/>
    <n v="73724.2"/>
    <x v="0"/>
    <n v="20648.77"/>
    <n v="0.2800813030185475"/>
  </r>
  <r>
    <x v="2"/>
    <s v="XV"/>
    <n v="4"/>
    <n v="253"/>
    <n v="2549"/>
    <s v="JOSE CARLOS OLIVEIRA"/>
    <d v="2013-06-20T00:00:00"/>
    <n v="73724.2"/>
    <x v="1"/>
    <n v="60029.15"/>
    <n v="0.81423942206222655"/>
  </r>
  <r>
    <x v="2"/>
    <s v="XV"/>
    <n v="6"/>
    <n v="253"/>
    <n v="5971"/>
    <s v="LUIZ ROBERTO CARVALHO SALGADO"/>
    <d v="2017-10-31T00:00:00"/>
    <n v="127767.53"/>
    <x v="0"/>
    <n v="41388.54"/>
    <n v="0.32393629273415553"/>
  </r>
  <r>
    <x v="2"/>
    <s v="XV"/>
    <n v="8"/>
    <n v="253"/>
    <n v="3766"/>
    <s v="ELTON JOHANATA GALDINI MATUO"/>
    <d v="2020-02-03T00:00:00"/>
    <n v="122200.2"/>
    <x v="0"/>
    <n v="110303.67"/>
    <n v="0.90264721334334974"/>
  </r>
  <r>
    <x v="2"/>
    <s v="XV"/>
    <n v="10"/>
    <n v="253"/>
    <n v="2764"/>
    <s v="EMPORIUM DA PIZZA DELIVERY LTDA ME"/>
    <d v="2013-08-06T00:00:00"/>
    <n v="73724.2"/>
    <x v="0"/>
    <n v="74242.31"/>
    <n v="1.0070276788354435"/>
  </r>
  <r>
    <x v="2"/>
    <s v="XV"/>
    <n v="11"/>
    <n v="253"/>
    <n v="2815"/>
    <s v="JOSE CARLOS PEREIRA FARIA"/>
    <d v="2013-10-09T00:00:00"/>
    <n v="77529.320000000007"/>
    <x v="1"/>
    <n v="96932.650000000009"/>
    <n v="1.2502708652674885"/>
  </r>
  <r>
    <x v="2"/>
    <s v="XV"/>
    <n v="12"/>
    <n v="253"/>
    <n v="2452"/>
    <s v="JOSE LEONARDO SULINO"/>
    <d v="2013-06-28T00:00:00"/>
    <n v="73724.2"/>
    <x v="0"/>
    <n v="71025.680000000008"/>
    <n v="0.96339709349168945"/>
  </r>
  <r>
    <x v="2"/>
    <s v="XV"/>
    <n v="15"/>
    <n v="253"/>
    <n v="2541"/>
    <s v="JANIO VIEIRA ALVAREZ"/>
    <d v="2013-07-02T00:00:00"/>
    <n v="73724.2"/>
    <x v="0"/>
    <n v="75921.36"/>
    <n v="1.0298024257977707"/>
  </r>
  <r>
    <x v="2"/>
    <s v="XV"/>
    <n v="18"/>
    <n v="250.48"/>
    <n v="2468"/>
    <s v="THIAGO MERCADANTE DREWS"/>
    <d v="2013-06-20T00:00:00"/>
    <n v="72989.87"/>
    <x v="0"/>
    <n v="65169.200000000004"/>
    <n v="0.89285266571922939"/>
  </r>
  <r>
    <x v="2"/>
    <s v="XV"/>
    <n v="20"/>
    <n v="264.79000000000002"/>
    <n v="3521"/>
    <s v="GABRIELA FERNANDA GRILO SILVA"/>
    <d v="2014-01-13T00:00:00"/>
    <n v="81142.25"/>
    <x v="2"/>
    <n v="76696.02"/>
    <n v="0.94520450197030526"/>
  </r>
  <r>
    <x v="2"/>
    <s v="XV"/>
    <n v="21"/>
    <n v="271.89"/>
    <n v="2738"/>
    <s v="EDMILSON TEIXEIRA DE VASCONCELOS"/>
    <d v="2013-07-09T00:00:00"/>
    <n v="76672.98"/>
    <x v="1"/>
    <n v="94937.48"/>
    <n v="1.2382129923735845"/>
  </r>
  <r>
    <x v="2"/>
    <s v="XV"/>
    <n v="22"/>
    <n v="268.33999999999997"/>
    <n v="2739"/>
    <s v="EDMILSON TEIXEIRA DE VASCONCELOS"/>
    <d v="2013-07-09T00:00:00"/>
    <n v="75671.88"/>
    <x v="1"/>
    <n v="93695.31"/>
    <n v="1.2381786999345066"/>
  </r>
  <r>
    <x v="2"/>
    <s v="XV"/>
    <n v="23"/>
    <n v="268.33999999999997"/>
    <n v="2433"/>
    <s v="ELIANARA CARVALHO DA SILVA"/>
    <d v="2013-06-22T00:00:00"/>
    <n v="75671.88"/>
    <x v="0"/>
    <n v="68639.8"/>
    <n v="0.90707142468245794"/>
  </r>
  <r>
    <x v="2"/>
    <s v="XV"/>
    <n v="24"/>
    <n v="268.33999999999997"/>
    <n v="2353"/>
    <s v="ANTONIO LUIZ SOKOLOSKI"/>
    <d v="2013-06-18T00:00:00"/>
    <n v="75671.88"/>
    <x v="0"/>
    <n v="38962.910000000003"/>
    <n v="0.51489285055426137"/>
  </r>
  <r>
    <x v="2"/>
    <s v="XV"/>
    <n v="26"/>
    <n v="268.33999999999997"/>
    <n v="3406"/>
    <s v="APARECIDA CASTORINA DA SILVA"/>
    <d v="2013-12-16T00:00:00"/>
    <n v="79385.820000000007"/>
    <x v="2"/>
    <n v="87114.47"/>
    <n v="1.0973555478799613"/>
  </r>
  <r>
    <x v="2"/>
    <s v="XVIII"/>
    <n v="1"/>
    <n v="265.02"/>
    <n v="5288"/>
    <s v="LUZIA DO CARMO ALVES"/>
    <d v="2016-09-15T00:00:00"/>
    <n v="128501.96"/>
    <x v="0"/>
    <n v="126061.66"/>
    <n v="0.98100962817999038"/>
  </r>
  <r>
    <x v="2"/>
    <s v="XVIII"/>
    <n v="3"/>
    <n v="265.02"/>
    <n v="2388"/>
    <s v="SILVANO MARCOS DE SOUZA"/>
    <d v="2013-06-21T00:00:00"/>
    <n v="84700.39"/>
    <x v="1"/>
    <n v="55377.39"/>
    <n v="0.65380324695081093"/>
  </r>
  <r>
    <x v="2"/>
    <s v="XVIII"/>
    <n v="5"/>
    <n v="265.02"/>
    <n v="3919"/>
    <s v="WASHINGTON SOARES DE OLIVEIRA"/>
    <d v="2020-06-03T00:00:00"/>
    <n v="93060.2"/>
    <x v="0"/>
    <n v="81449.42"/>
    <n v="0.87523366594956808"/>
  </r>
  <r>
    <x v="2"/>
    <s v="XVIII"/>
    <n v="7"/>
    <n v="257.86"/>
    <m/>
    <s v="IZAEL DE PAULA GUIMARAES"/>
    <d v="2018-11-14T00:00:00"/>
    <n v="79900"/>
    <x v="0"/>
    <n v="79746.990000000005"/>
    <n v="0.99808498122653322"/>
  </r>
  <r>
    <x v="2"/>
    <s v="XVIII"/>
    <n v="8"/>
    <n v="253.77"/>
    <n v="6826"/>
    <s v="NATANAEL CARVALHO DOS SANTOS"/>
    <d v="2018-12-17T00:00:00"/>
    <n v="79900"/>
    <x v="0"/>
    <n v="59089.66"/>
    <n v="0.73954518147684611"/>
  </r>
  <r>
    <x v="2"/>
    <s v="XVIII"/>
    <n v="12"/>
    <n v="255.81"/>
    <n v="6786"/>
    <s v="MIRIAM QUADROS MONTEIRO MARTINS"/>
    <d v="2018-12-05T00:00:00"/>
    <n v="77080"/>
    <x v="0"/>
    <n v="63444.270000000004"/>
    <n v="0.82309639335755069"/>
  </r>
  <r>
    <x v="2"/>
    <s v="XVIII"/>
    <n v="13"/>
    <n v="255.81"/>
    <n v="3886"/>
    <s v="WALDIR PITELLA"/>
    <d v="2020-05-07T00:00:00"/>
    <n v="94000"/>
    <x v="2"/>
    <n v="88812.99"/>
    <n v="0.94481904255319149"/>
  </r>
  <r>
    <x v="2"/>
    <s v="XVIII"/>
    <n v="14"/>
    <n v="255.81"/>
    <n v="6882"/>
    <s v="ANDRE HENRIQUE DE SOUZA GUIRAO"/>
    <d v="2019-01-23T00:00:00"/>
    <n v="77080"/>
    <x v="0"/>
    <n v="12710.300000000001"/>
    <n v="0.1648975090814738"/>
  </r>
  <r>
    <x v="2"/>
    <s v="XVIII"/>
    <n v="15"/>
    <n v="255.81"/>
    <m/>
    <s v="JESSICA SABRINA APARECIDA BRAGA"/>
    <d v="2018-11-10T00:00:00"/>
    <n v="79900"/>
    <x v="0"/>
    <n v="79816.75"/>
    <n v="0.99895807259073843"/>
  </r>
  <r>
    <x v="2"/>
    <s v="XVIII"/>
    <n v="16"/>
    <n v="253.43"/>
    <n v="6831"/>
    <s v="MARCIO RODRIGUES"/>
    <d v="2019-01-07T00:00:00"/>
    <n v="79900"/>
    <x v="0"/>
    <n v="64407.14"/>
    <n v="0.80609687108886108"/>
  </r>
  <r>
    <x v="2"/>
    <s v="XVIII"/>
    <n v="17"/>
    <n v="258.2"/>
    <n v="3094"/>
    <s v="ELIZEU GETAO"/>
    <d v="2019-09-19T00:00:00"/>
    <n v="93060.9"/>
    <x v="0"/>
    <n v="90744.46"/>
    <n v="0.97510834303128391"/>
  </r>
  <r>
    <x v="2"/>
    <s v="XVIII"/>
    <n v="18"/>
    <n v="261.55"/>
    <n v="4172"/>
    <s v="MIGUEL DA SILVA"/>
    <d v="2020-06-08T00:00:00"/>
    <n v="93060"/>
    <x v="0"/>
    <n v="93812.66"/>
    <n v="1.0080879002793897"/>
  </r>
  <r>
    <x v="2"/>
    <s v="XVIII"/>
    <n v="20"/>
    <n v="265.44"/>
    <m/>
    <s v="TAINA APARECIDA SIMAO"/>
    <d v="2018-11-05T00:00:00"/>
    <n v="79900"/>
    <x v="2"/>
    <n v="85426.78"/>
    <n v="1.0691712140175218"/>
  </r>
  <r>
    <x v="2"/>
    <s v="XVIII"/>
    <n v="21"/>
    <n v="265.44"/>
    <m/>
    <s v="CLAUDIONOR ELENO RICCI"/>
    <d v="2018-11-01T00:00:00"/>
    <n v="81999.679999999993"/>
    <x v="0"/>
    <n v="26205.15"/>
    <n v="0.31957624712681809"/>
  </r>
  <r>
    <x v="2"/>
    <s v="XVIII"/>
    <n v="23"/>
    <n v="265.44"/>
    <n v="4635"/>
    <s v="MARCIA REGINA DE FREITAS SOUZA"/>
    <d v="2015-04-07T00:00:00"/>
    <n v="115000.2"/>
    <x v="1"/>
    <n v="231400.12"/>
    <n v="2.012171457093118"/>
  </r>
  <r>
    <x v="2"/>
    <s v="XVIII - A"/>
    <n v="1"/>
    <n v="255.38"/>
    <n v="4360"/>
    <s v="MOYSES DO LAGO"/>
    <d v="2015-01-11T00:00:00"/>
    <n v="109600.16"/>
    <x v="1"/>
    <n v="256109.85"/>
    <n v="2.336765293043368"/>
  </r>
  <r>
    <x v="2"/>
    <s v="XVIII - A"/>
    <n v="2"/>
    <n v="253.59"/>
    <m/>
    <s v="DALMO CORREIA"/>
    <d v="2018-11-22T00:00:00"/>
    <n v="79900.100000000006"/>
    <x v="2"/>
    <n v="22519.05"/>
    <n v="0.28184007279089762"/>
  </r>
  <r>
    <x v="2"/>
    <s v="XVIII - A"/>
    <n v="3"/>
    <n v="253.59"/>
    <n v="5299"/>
    <s v="DENISE APARECIDA BALZER"/>
    <d v="2016-09-15T00:00:00"/>
    <n v="122959.95"/>
    <x v="2"/>
    <n v="122239.18000000001"/>
    <n v="0.99413817263263371"/>
  </r>
  <r>
    <x v="2"/>
    <s v="XVIII - B"/>
    <n v="1"/>
    <n v="256.08"/>
    <n v="2664"/>
    <s v="YASMIN ADRIANA DA SILVA ALVES"/>
    <d v="2013-07-09T00:00:00"/>
    <n v="81843.17"/>
    <x v="0"/>
    <n v="83117.81"/>
    <n v="1.0155741768066902"/>
  </r>
  <r>
    <x v="2"/>
    <s v="XVIII - B"/>
    <n v="2"/>
    <n v="256.08"/>
    <n v="6455"/>
    <s v="JOSE DONIZETE PIANISSOLA"/>
    <d v="2018-06-04T00:00:00"/>
    <n v="103400"/>
    <x v="0"/>
    <n v="105929.54000000001"/>
    <n v="1.0244636363636364"/>
  </r>
  <r>
    <x v="2"/>
    <s v="XVIII - B"/>
    <n v="3"/>
    <n v="257.87"/>
    <n v="5158"/>
    <s v="DYESSICA YENDIS RIAN MIRANDA"/>
    <d v="2016-03-18T00:00:00"/>
    <n v="108152.67"/>
    <x v="0"/>
    <n v="120285.95"/>
    <n v="1.1121865969651974"/>
  </r>
  <r>
    <x v="3"/>
    <s v="XXIX"/>
    <n v="14"/>
    <n v="257.86"/>
    <n v="6618"/>
    <s v="BILL ANDERSON DA SILVA FRANCISCO"/>
    <d v="2018-09-01T00:00:00"/>
    <n v="159354.03"/>
    <x v="0"/>
    <n v="160360.65"/>
    <n v="1.0063168782113636"/>
  </r>
  <r>
    <x v="3"/>
    <s v="XXIX"/>
    <n v="23"/>
    <n v="355.37"/>
    <n v="4926"/>
    <s v="FABIANA BARBOSA DOS SANTOS"/>
    <d v="2020-12-11T00:00:00"/>
    <n v="235000"/>
    <x v="0"/>
    <n v="228013.06"/>
    <n v="0.97026834042553189"/>
  </r>
  <r>
    <x v="3"/>
    <s v="XXIX"/>
    <n v="32"/>
    <n v="273.55"/>
    <n v="2598"/>
    <s v="ELIEL MARCIO PEDRO"/>
    <d v="2013-06-18T00:00:00"/>
    <n v="101350.5"/>
    <x v="0"/>
    <n v="99720.7"/>
    <n v="0.98391917158770803"/>
  </r>
  <r>
    <x v="3"/>
    <s v="XXIX"/>
    <n v="33"/>
    <n v="273.55"/>
    <n v="4504"/>
    <s v="ROBERTO MARTINS"/>
    <d v="2015-03-13T00:00:00"/>
    <n v="140633.82"/>
    <x v="0"/>
    <n v="133720.56"/>
    <n v="0.95084212318203398"/>
  </r>
  <r>
    <x v="3"/>
    <s v="XXIX"/>
    <n v="41"/>
    <n v="258.7"/>
    <n v="2553"/>
    <s v="AUREO SILVA CASTRO"/>
    <d v="2013-06-20T00:00:00"/>
    <n v="94839.42"/>
    <x v="1"/>
    <n v="171399.45"/>
    <n v="1.8072595762395005"/>
  </r>
  <r>
    <x v="3"/>
    <s v="XXIX"/>
    <n v="43"/>
    <n v="258.7"/>
    <n v="2672"/>
    <s v="RODRIGO CHANAN LOPES DE JESUS"/>
    <d v="2013-06-11T00:00:00"/>
    <n v="94839.42"/>
    <x v="0"/>
    <n v="48162.700000000004"/>
    <n v="0.50783418962283833"/>
  </r>
  <r>
    <x v="3"/>
    <s v="XXIX"/>
    <n v="45"/>
    <n v="258.7"/>
    <n v="7131"/>
    <s v="LAIARA MARTINS BRASIL"/>
    <d v="2019-04-05T00:00:00"/>
    <n v="141000"/>
    <x v="0"/>
    <n v="41226.300000000003"/>
    <n v="0.29238510638297877"/>
  </r>
  <r>
    <x v="3"/>
    <s v="XXVI"/>
    <n v="2"/>
    <n v="253.02"/>
    <n v="2421"/>
    <s v="VERA LUCIA GOMES MAGALHAES"/>
    <d v="2013-06-16T00:00:00"/>
    <n v="91567.94"/>
    <x v="0"/>
    <n v="66966.2"/>
    <n v="0.73132801720776941"/>
  </r>
  <r>
    <x v="3"/>
    <s v="XXVI"/>
    <n v="9"/>
    <n v="262.81"/>
    <n v="3456"/>
    <s v="MARCELO BUOSI BRIANEZI"/>
    <d v="2019-12-04T00:00:00"/>
    <n v="161680"/>
    <x v="0"/>
    <n v="61463.42"/>
    <n v="0.38015475012370115"/>
  </r>
  <r>
    <x v="3"/>
    <s v="XXVII"/>
    <n v="5"/>
    <n v="262.25"/>
    <n v="2645"/>
    <s v="CLAUDIA THAIS BERA"/>
    <d v="2013-06-29T00:00:00"/>
    <n v="96140.85"/>
    <x v="2"/>
    <n v="97991.03"/>
    <n v="1.0192444730829817"/>
  </r>
  <r>
    <x v="3"/>
    <s v="XXVII"/>
    <n v="6"/>
    <n v="262.25"/>
    <n v="2699"/>
    <s v="DALMO CORREIA"/>
    <d v="2013-07-12T00:00:00"/>
    <n v="96140.85"/>
    <x v="0"/>
    <n v="53216.51"/>
    <n v="0.55352651864425995"/>
  </r>
  <r>
    <x v="3"/>
    <s v="XXVII"/>
    <n v="7"/>
    <n v="262.25"/>
    <n v="2740"/>
    <s v="CARLOS HENRIQUE NAVARRO MAZZEO"/>
    <d v="2013-07-17T00:00:00"/>
    <n v="96140.85"/>
    <x v="1"/>
    <n v="159685.04"/>
    <n v="1.6609489098546559"/>
  </r>
  <r>
    <x v="3"/>
    <s v="XXVII"/>
    <n v="8"/>
    <n v="262.25"/>
    <n v="2714"/>
    <s v="GILDETE RODRIGUES DA CRUZ"/>
    <d v="2013-07-13T00:00:00"/>
    <n v="96140.85"/>
    <x v="1"/>
    <n v="156850.78"/>
    <n v="1.6314686212988547"/>
  </r>
  <r>
    <x v="3"/>
    <s v="XXVII"/>
    <n v="11"/>
    <n v="262.25"/>
    <n v="2324"/>
    <s v="FABIO AUGUSTO GUIRARDELLI"/>
    <d v="2013-06-20T00:00:00"/>
    <n v="96140.85"/>
    <x v="0"/>
    <n v="87183.13"/>
    <n v="0.90682711875337074"/>
  </r>
  <r>
    <x v="3"/>
    <s v="XXVII"/>
    <n v="13"/>
    <n v="262.25"/>
    <n v="2619"/>
    <s v="JULIANO CEZARIO BORTOLASSI"/>
    <d v="2013-07-06T00:00:00"/>
    <n v="99838.57"/>
    <x v="2"/>
    <n v="40481.450000000004"/>
    <n v="0.40546904868529271"/>
  </r>
  <r>
    <x v="3"/>
    <s v="XXVII"/>
    <n v="16"/>
    <n v="262.25"/>
    <n v="2333"/>
    <s v="LUIZ FERNANDO PERISOTTO TEXEIRA"/>
    <d v="2013-06-21T00:00:00"/>
    <n v="99838.57"/>
    <x v="2"/>
    <n v="71001.279999999999"/>
    <n v="0.71116082692290161"/>
  </r>
  <r>
    <x v="3"/>
    <s v="XXVII"/>
    <n v="17"/>
    <n v="262.25"/>
    <n v="2331"/>
    <s v="LUIZ FERNANDO PERISOTTO TEXEIRA"/>
    <d v="2013-06-20T00:00:00"/>
    <n v="99838.57"/>
    <x v="2"/>
    <n v="75430.09"/>
    <n v="0.75552053680256026"/>
  </r>
  <r>
    <x v="3"/>
    <s v="XXVII"/>
    <n v="21"/>
    <n v="262.25"/>
    <n v="2665"/>
    <s v="SANDERSON CAVALCANTI DOS SANTOS"/>
    <d v="2013-07-13T00:00:00"/>
    <n v="98700"/>
    <x v="0"/>
    <n v="30517.040000000001"/>
    <n v="0.30918986828774064"/>
  </r>
  <r>
    <x v="3"/>
    <s v="XXVIII"/>
    <n v="8"/>
    <n v="331.75"/>
    <n v="2587"/>
    <s v="MARLY APARECIDA BORGES KOTINDA"/>
    <d v="2013-06-11T00:00:00"/>
    <n v="124738"/>
    <x v="0"/>
    <n v="112474.95"/>
    <n v="0.90168954127851975"/>
  </r>
  <r>
    <x v="3"/>
    <s v="XXVIII"/>
    <n v="10"/>
    <n v="280.05"/>
    <n v="2615"/>
    <s v="CILAS FONSECA VIANNA"/>
    <d v="2013-06-17T00:00:00"/>
    <n v="105298.8"/>
    <x v="0"/>
    <n v="106698.51000000001"/>
    <n v="1.0132927440768555"/>
  </r>
  <r>
    <x v="3"/>
    <s v="XXX"/>
    <n v="1"/>
    <n v="317.64"/>
    <n v="2605"/>
    <s v="GABRIEL GARCIA BOGO"/>
    <d v="2013-06-24T00:00:00"/>
    <n v="116446.82"/>
    <x v="1"/>
    <n v="194837.33000000002"/>
    <n v="1.6731872111234982"/>
  </r>
  <r>
    <x v="3"/>
    <s v="XXX"/>
    <n v="2"/>
    <n v="259.51"/>
    <n v="2539"/>
    <s v="ROBSON CAMILLO DE SOUZA"/>
    <d v="2013-06-28T00:00:00"/>
    <n v="95136.37"/>
    <x v="0"/>
    <n v="96242.71"/>
    <n v="1.0116289910998286"/>
  </r>
  <r>
    <x v="3"/>
    <s v="XXX"/>
    <n v="3"/>
    <n v="259.51"/>
    <n v="2465"/>
    <s v="ELOUISE BATISTI DE SOUZA"/>
    <d v="2013-06-27T00:00:00"/>
    <n v="95136.37"/>
    <x v="0"/>
    <n v="96242.71"/>
    <n v="1.0116289910998286"/>
  </r>
  <r>
    <x v="3"/>
    <s v="XXX"/>
    <n v="5"/>
    <n v="259.51"/>
    <n v="2766"/>
    <s v="WANDERSON GERALDO GLATZ"/>
    <d v="2013-08-12T00:00:00"/>
    <n v="95136.37"/>
    <x v="0"/>
    <n v="69890.990000000005"/>
    <n v="0.73464007508379825"/>
  </r>
  <r>
    <x v="3"/>
    <s v="XXX"/>
    <n v="20"/>
    <n v="277.73"/>
    <n v="3520"/>
    <s v="SELMA ROSA DA SILVA"/>
    <d v="2014-01-09T00:00:00"/>
    <n v="106775.67999999999"/>
    <x v="1"/>
    <n v="136432.20000000001"/>
    <n v="1.2777460185690226"/>
  </r>
  <r>
    <x v="3"/>
    <s v="XXX"/>
    <n v="28"/>
    <n v="263.51"/>
    <n v="3701"/>
    <s v="JONATHAS SIMEY ALVES DOS SANTOS"/>
    <d v="2014-04-15T00:00:00"/>
    <n v="106510.01"/>
    <x v="1"/>
    <n v="272833.43"/>
    <n v="2.561575480088679"/>
  </r>
  <r>
    <x v="3"/>
    <s v="XXX"/>
    <n v="32"/>
    <n v="263.51"/>
    <n v="3541"/>
    <s v="JANETE LONGHINI PONTES"/>
    <d v="2014-01-17T00:00:00"/>
    <n v="106510.22"/>
    <x v="0"/>
    <n v="110399.14"/>
    <n v="1.0365121769535355"/>
  </r>
  <r>
    <x v="3"/>
    <s v="XXX"/>
    <n v="34"/>
    <n v="250.97"/>
    <n v="2461"/>
    <s v="REGIANE GEREMIAS DOS SANTOS"/>
    <d v="2013-06-16T00:00:00"/>
    <n v="96723.839999999997"/>
    <x v="0"/>
    <n v="103942.75"/>
    <n v="1.0746342370195394"/>
  </r>
  <r>
    <x v="3"/>
    <s v="XXX"/>
    <n v="37"/>
    <n v="250.97"/>
    <m/>
    <s v="DIEGO ALEXANDRE FAGUNDES"/>
    <d v="2019-08-01T00:00:00"/>
    <n v="141000"/>
    <x v="1"/>
    <n v="152824.16"/>
    <n v="1.0838592907801419"/>
  </r>
  <r>
    <x v="3"/>
    <s v="XXX"/>
    <n v="39"/>
    <n v="250.97"/>
    <n v="6779"/>
    <s v="ANDERSON JOSE LIMA DA SILVA"/>
    <d v="2018-12-05T00:00:00"/>
    <n v="140999.88"/>
    <x v="0"/>
    <n v="24958.99"/>
    <n v="0.17701426412561486"/>
  </r>
  <r>
    <x v="3"/>
    <s v="XXX"/>
    <n v="41"/>
    <n v="250.97"/>
    <n v="2686"/>
    <s v="SIDNEY APARECIDO DE OLIVEIRA"/>
    <d v="2013-07-15T00:00:00"/>
    <n v="96723.839999999997"/>
    <x v="0"/>
    <n v="100005.28"/>
    <n v="1.033925865639743"/>
  </r>
  <r>
    <x v="3"/>
    <s v="XXX"/>
    <n v="43"/>
    <n v="250.97"/>
    <n v="2473"/>
    <s v="EVERSON PEREIRA DOS SANTOS"/>
    <d v="2013-06-16T00:00:00"/>
    <n v="96723.839999999997"/>
    <x v="1"/>
    <n v="161841.09"/>
    <n v="1.6732285442761579"/>
  </r>
  <r>
    <x v="3"/>
    <s v="XXX"/>
    <n v="47"/>
    <n v="334.77"/>
    <n v="3736"/>
    <s v="ANDERSON WILLIANS DE SOUZA CORTEZ"/>
    <d v="2020-02-03T00:00:00"/>
    <n v="205488.41"/>
    <x v="0"/>
    <n v="79587.77"/>
    <n v="0.38731026241333999"/>
  </r>
  <r>
    <x v="3"/>
    <s v="XXXII"/>
    <n v="4"/>
    <n v="250.7"/>
    <n v="3826"/>
    <s v="MARCUS VINICIUS RICARDO"/>
    <d v="2014-07-16T00:00:00"/>
    <n v="102094.45"/>
    <x v="1"/>
    <n v="239042"/>
    <n v="2.3413809467605731"/>
  </r>
  <r>
    <x v="3"/>
    <s v="XXXII"/>
    <n v="5"/>
    <n v="250.7"/>
    <n v="4845"/>
    <s v="WENDEL ROGERIO DANTAS TSUZAKI"/>
    <d v="2020-10-28T00:00:00"/>
    <n v="153877.6"/>
    <x v="0"/>
    <n v="143059.11000000002"/>
    <n v="0.92969418550848215"/>
  </r>
  <r>
    <x v="3"/>
    <s v="XXXII"/>
    <n v="13"/>
    <n v="267.12"/>
    <n v="4185"/>
    <s v="HORACIO BORGES DOS REIS"/>
    <d v="2014-11-04T00:00:00"/>
    <n v="124357.18"/>
    <x v="0"/>
    <n v="10314.5"/>
    <n v="8.2942536972935549E-2"/>
  </r>
  <r>
    <x v="3"/>
    <s v="XXXII"/>
    <n v="16"/>
    <n v="267.12"/>
    <n v="4138"/>
    <s v="MARCIO ROGERIO DA SILVA"/>
    <d v="2014-11-05T00:00:00"/>
    <n v="124774.8"/>
    <x v="0"/>
    <n v="118087.12"/>
    <n v="0.94640199783930723"/>
  </r>
  <r>
    <x v="3"/>
    <s v="XXXII"/>
    <n v="17"/>
    <n v="267.12"/>
    <n v="4820"/>
    <s v="MARCOS ROBERTO RODRIGUES"/>
    <d v="2020-10-09T00:00:00"/>
    <n v="160182.42000000001"/>
    <x v="0"/>
    <n v="159577.93"/>
    <n v="0.99622624005805371"/>
  </r>
  <r>
    <x v="3"/>
    <s v="XXXII"/>
    <n v="19"/>
    <n v="260.95999999999998"/>
    <n v="5362"/>
    <s v="VANDERSON FABIANO DA SILVA"/>
    <d v="2016-12-12T00:00:00"/>
    <n v="146578.5"/>
    <x v="0"/>
    <n v="137342.26999999999"/>
    <n v="0.93698782563609251"/>
  </r>
  <r>
    <x v="3"/>
    <s v="XXXII"/>
    <n v="23"/>
    <n v="318.23"/>
    <n v="4183"/>
    <s v="EDIOGENES DE ARAUJO AVILA"/>
    <d v="2014-11-13T00:00:00"/>
    <n v="148336.47"/>
    <x v="1"/>
    <n v="346354.24"/>
    <n v="2.3349230300545778"/>
  </r>
  <r>
    <x v="3"/>
    <s v="XXXIII"/>
    <n v="5"/>
    <n v="257.33"/>
    <n v="2371"/>
    <s v="PATRICIANE KELY DONIZETTI LOPES"/>
    <d v="2013-06-19T00:00:00"/>
    <n v="91918.28"/>
    <x v="0"/>
    <n v="92990.19"/>
    <n v="1.0116615541544076"/>
  </r>
  <r>
    <x v="3"/>
    <s v="XXXIII"/>
    <n v="8"/>
    <n v="257.73"/>
    <n v="3764"/>
    <s v="LEANDRO RENE GOMES"/>
    <d v="2020-02-03T00:00:00"/>
    <n v="157954.60999999999"/>
    <x v="0"/>
    <n v="162748.84"/>
    <n v="1.0303519473094203"/>
  </r>
  <r>
    <x v="3"/>
    <s v="XXXIII"/>
    <n v="10"/>
    <n v="257.33"/>
    <n v="2792"/>
    <s v="ALEXANDRE CESAR CESTARI"/>
    <d v="2013-08-16T00:00:00"/>
    <n v="91918.28"/>
    <x v="0"/>
    <n v="73777.650000000009"/>
    <n v="0.80264393546093349"/>
  </r>
  <r>
    <x v="3"/>
    <s v="XXXIII"/>
    <n v="11"/>
    <n v="257.33"/>
    <n v="3542"/>
    <s v="CLEMILDO DE OLIVEIRA"/>
    <d v="2014-01-22T00:00:00"/>
    <n v="96514.19"/>
    <x v="0"/>
    <n v="91099.91"/>
    <n v="0.94390172056564947"/>
  </r>
  <r>
    <x v="3"/>
    <s v="XXXIII"/>
    <n v="15"/>
    <n v="257.33"/>
    <n v="3601"/>
    <s v="FREDERICO MERCER DE LIMA"/>
    <d v="2014-03-23T00:00:00"/>
    <n v="101593.63"/>
    <x v="0"/>
    <n v="107821.86"/>
    <n v="1.0613053200284308"/>
  </r>
  <r>
    <x v="3"/>
    <s v="XXXIII"/>
    <n v="17"/>
    <n v="257.33"/>
    <n v="3570"/>
    <s v="EDUARDO LUCIO DA SILVA NETO"/>
    <d v="2014-02-21T00:00:00"/>
    <n v="96514.74"/>
    <x v="0"/>
    <n v="101233.52"/>
    <n v="1.0488918065779382"/>
  </r>
  <r>
    <x v="3"/>
    <s v="XXXIII"/>
    <n v="20"/>
    <n v="251.98"/>
    <n v="3697"/>
    <s v="GUSTAVO ALUISIO DE PAULA"/>
    <d v="2014-04-15T00:00:00"/>
    <n v="99482.06"/>
    <x v="0"/>
    <n v="47785.54"/>
    <n v="0.48034329003641463"/>
  </r>
  <r>
    <x v="3"/>
    <s v="XXXIII"/>
    <n v="21"/>
    <n v="251.98"/>
    <n v="3735"/>
    <s v="WILLIAN VASCONCELOS NUNES"/>
    <d v="2014-05-15T00:00:00"/>
    <n v="99480.92"/>
    <x v="2"/>
    <n v="101440.12"/>
    <n v="1.0196942288028699"/>
  </r>
  <r>
    <x v="3"/>
    <s v="XXXIII"/>
    <n v="24"/>
    <n v="251.98"/>
    <n v="2597"/>
    <s v="RENATO DE MORAIS SILVA"/>
    <d v="2013-06-18T00:00:00"/>
    <n v="90007.26"/>
    <x v="2"/>
    <n v="80398.559999999998"/>
    <n v="0.89324527821422406"/>
  </r>
  <r>
    <x v="3"/>
    <s v="XXXIII"/>
    <n v="25"/>
    <n v="251.98"/>
    <n v="3856"/>
    <s v="JOAO AMANDIO RODRIGUES DA COSTA JUNIOR"/>
    <d v="2014-08-07T00:00:00"/>
    <n v="100888.86"/>
    <x v="1"/>
    <n v="257337.97"/>
    <n v="2.5507074814801158"/>
  </r>
  <r>
    <x v="3"/>
    <s v="XXXIV"/>
    <n v="1"/>
    <n v="273.17"/>
    <n v="2295"/>
    <s v="LUCIANO BUENO"/>
    <d v="2013-06-14T00:00:00"/>
    <n v="96292.43"/>
    <x v="1"/>
    <n v="135703.71"/>
    <n v="1.4092874175051975"/>
  </r>
  <r>
    <x v="3"/>
    <s v="XXXIV"/>
    <n v="2"/>
    <n v="265.16000000000003"/>
    <n v="2426"/>
    <s v="MARCIO LOPES BAZZO"/>
    <d v="2013-06-20T00:00:00"/>
    <n v="95961.4"/>
    <x v="0"/>
    <n v="97239.33"/>
    <n v="1.0133171254275157"/>
  </r>
  <r>
    <x v="3"/>
    <s v="XXXIV"/>
    <n v="7"/>
    <n v="253.5"/>
    <n v="2447"/>
    <s v="MARCOS MASSARO THIBES"/>
    <d v="2013-06-24T00:00:00"/>
    <n v="91741.65"/>
    <x v="1"/>
    <n v="81011.41"/>
    <n v="0.88303851086175156"/>
  </r>
  <r>
    <x v="3"/>
    <s v="XXXIV"/>
    <n v="8"/>
    <n v="253.5"/>
    <n v="2446"/>
    <s v="MARCOS MASSARO THIBES"/>
    <d v="2013-06-24T00:00:00"/>
    <n v="91741.65"/>
    <x v="1"/>
    <n v="92232.45"/>
    <n v="1.0053498056771379"/>
  </r>
  <r>
    <x v="3"/>
    <s v="XXXIV"/>
    <n v="9"/>
    <n v="253.5"/>
    <n v="3777"/>
    <s v="SILVIO AKIO NAKANO"/>
    <d v="2014-06-01T00:00:00"/>
    <n v="102204.35"/>
    <x v="0"/>
    <n v="105839.51000000001"/>
    <n v="1.0355675663511388"/>
  </r>
  <r>
    <x v="3"/>
    <s v="XXXIV"/>
    <n v="11"/>
    <n v="253.5"/>
    <n v="4517"/>
    <s v="FERNANDO IMANISHI"/>
    <d v="2020-07-08T00:00:00"/>
    <n v="147580"/>
    <x v="0"/>
    <n v="146473.87"/>
    <n v="0.99250487870985227"/>
  </r>
  <r>
    <x v="3"/>
    <s v="XXXIV"/>
    <n v="15"/>
    <n v="292.86"/>
    <n v="2504"/>
    <s v="ANDRE LUIZ IWAI DA SILVA"/>
    <d v="2013-06-20T00:00:00"/>
    <n v="105986.03"/>
    <x v="0"/>
    <n v="107518.91"/>
    <n v="1.0144630381947508"/>
  </r>
  <r>
    <x v="4"/>
    <s v="IX"/>
    <n v="1"/>
    <n v="378.5"/>
    <n v="3803"/>
    <s v="JOAO PAULO PASCHOALETO FRATELLI"/>
    <d v="2020-03-02T00:00:00"/>
    <n v="187530"/>
    <x v="0"/>
    <n v="48410.9"/>
    <n v="0.25815016264064417"/>
  </r>
  <r>
    <x v="4"/>
    <s v="IX"/>
    <n v="7"/>
    <n v="254"/>
    <n v="4866"/>
    <s v="MARCIO GEREMIAS"/>
    <d v="2020-11-18T00:00:00"/>
    <n v="149460"/>
    <x v="0"/>
    <n v="147831.82"/>
    <n v="0.98910624916365586"/>
  </r>
  <r>
    <x v="4"/>
    <s v="IX"/>
    <n v="9"/>
    <n v="254"/>
    <n v="3708"/>
    <s v="EDUARDO ALEXANDRE DA SILVA"/>
    <d v="2014-04-01T00:00:00"/>
    <n v="98669.94"/>
    <x v="0"/>
    <n v="7554.97"/>
    <n v="7.6568101693383017E-2"/>
  </r>
  <r>
    <x v="4"/>
    <s v="IX"/>
    <n v="10"/>
    <n v="254"/>
    <n v="3644"/>
    <s v="SEBASTIAO MONTEIRO"/>
    <d v="2014-04-01T00:00:00"/>
    <n v="98669.85"/>
    <x v="0"/>
    <n v="39390.89"/>
    <n v="0.39921911303199503"/>
  </r>
  <r>
    <x v="4"/>
    <s v="IX"/>
    <n v="11"/>
    <n v="254"/>
    <n v="3823"/>
    <s v="SILVIA HELENA FIORINI ALVES"/>
    <d v="2014-07-10T00:00:00"/>
    <n v="97873.35"/>
    <x v="0"/>
    <n v="101141.01000000001"/>
    <n v="1.0333866164793584"/>
  </r>
  <r>
    <x v="4"/>
    <s v="IX"/>
    <n v="13"/>
    <n v="254"/>
    <n v="4855"/>
    <s v="FABIANO TERUO OMURA"/>
    <d v="2015-07-01T00:00:00"/>
    <n v="125499.4"/>
    <x v="0"/>
    <n v="57636.82"/>
    <n v="0.45925972554450462"/>
  </r>
  <r>
    <x v="4"/>
    <s v="IX"/>
    <n v="16"/>
    <n v="254"/>
    <n v="4934"/>
    <s v="ARLINDO MARCOS FIRMINO"/>
    <d v="2015-08-14T00:00:00"/>
    <n v="128900.61"/>
    <x v="0"/>
    <n v="120118.38"/>
    <n v="0.93186820450267849"/>
  </r>
  <r>
    <x v="4"/>
    <s v="IX"/>
    <n v="22"/>
    <n v="254"/>
    <n v="5052"/>
    <s v="NILVA APARECIDA DINIS RIBEIRO"/>
    <d v="2015-12-22T00:00:00"/>
    <n v="123000.4"/>
    <x v="0"/>
    <n v="95307.03"/>
    <n v="0.77485138259712982"/>
  </r>
  <r>
    <x v="4"/>
    <s v="IX"/>
    <n v="25"/>
    <n v="254"/>
    <n v="5180"/>
    <s v="SANDRA KAAFA SOUTELLO"/>
    <d v="2016-04-01T00:00:00"/>
    <n v="129799.35"/>
    <x v="1"/>
    <n v="145195.34"/>
    <n v="1.1186137680966814"/>
  </r>
  <r>
    <x v="4"/>
    <s v="IX"/>
    <n v="26"/>
    <n v="254"/>
    <n v="5181"/>
    <s v="SANDRA KAAFA SOUTELLO"/>
    <d v="2016-04-01T00:00:00"/>
    <n v="129800.55"/>
    <x v="1"/>
    <n v="149524.58000000002"/>
    <n v="1.1519564439441898"/>
  </r>
  <r>
    <x v="4"/>
    <s v="IX"/>
    <n v="27"/>
    <n v="254"/>
    <n v="5182"/>
    <s v="ROBERTO LOPES DE LIMA"/>
    <d v="2016-04-01T00:00:00"/>
    <n v="129800.55"/>
    <x v="1"/>
    <n v="152980.74"/>
    <n v="1.1785831415968575"/>
  </r>
  <r>
    <x v="4"/>
    <s v="IX"/>
    <n v="28"/>
    <n v="254"/>
    <n v="5195"/>
    <s v="DIOGO RIBEIRO GARCIA"/>
    <d v="2016-04-07T00:00:00"/>
    <n v="129799.4"/>
    <x v="0"/>
    <n v="70623.92"/>
    <n v="0.54410051202085685"/>
  </r>
  <r>
    <x v="4"/>
    <s v="IX"/>
    <n v="29"/>
    <n v="254"/>
    <n v="5150"/>
    <s v="MARIA GERALDA DE OLIVEIRA"/>
    <d v="2016-03-10T00:00:00"/>
    <n v="116820"/>
    <x v="0"/>
    <n v="40963.67"/>
    <n v="0.35065630885122406"/>
  </r>
  <r>
    <x v="4"/>
    <s v="IX"/>
    <n v="30"/>
    <n v="254"/>
    <n v="5151"/>
    <s v="MARIA GERALDA DE OLIVEIRA"/>
    <d v="2016-03-10T00:00:00"/>
    <n v="116820"/>
    <x v="0"/>
    <n v="40963.67"/>
    <n v="0.35065630885122406"/>
  </r>
  <r>
    <x v="4"/>
    <s v="IX"/>
    <n v="31"/>
    <n v="254"/>
    <n v="4780"/>
    <s v="WANDERLEI ROSA"/>
    <d v="2020-09-04T00:00:00"/>
    <n v="133950.1"/>
    <x v="0"/>
    <n v="93254"/>
    <n v="0.69618462397564462"/>
  </r>
  <r>
    <x v="4"/>
    <s v="XIII"/>
    <n v="1"/>
    <n v="290.68"/>
    <n v="3629"/>
    <s v="CLAUDIO MORYAMA"/>
    <d v="2014-04-01T00:00:00"/>
    <n v="112461.68"/>
    <x v="2"/>
    <n v="113856.12"/>
    <n v="1.0123992456808399"/>
  </r>
  <r>
    <x v="4"/>
    <s v="XIII"/>
    <n v="3"/>
    <n v="250.75"/>
    <n v="3791"/>
    <s v="MARIA DAS GRACAS FONSECA MORAES"/>
    <d v="2014-06-24T00:00:00"/>
    <n v="99075.15"/>
    <x v="1"/>
    <n v="212512.56"/>
    <n v="2.1449632930154534"/>
  </r>
  <r>
    <x v="4"/>
    <s v="XIII"/>
    <n v="7"/>
    <n v="250.75"/>
    <m/>
    <s v="HELTON LUIS DE OLIVEIRA"/>
    <d v="2019-08-14T00:00:00"/>
    <n v="141000"/>
    <x v="0"/>
    <n v="139033.1"/>
    <n v="0.98605035460992907"/>
  </r>
  <r>
    <x v="4"/>
    <s v="XIII"/>
    <n v="13"/>
    <n v="250.75"/>
    <n v="3908"/>
    <s v="RAFAELI FRARE DE SIQUEIRA"/>
    <d v="2014-09-10T00:00:00"/>
    <n v="99562.240000000005"/>
    <x v="1"/>
    <n v="183669.52"/>
    <n v="1.8447708689559412"/>
  </r>
  <r>
    <x v="4"/>
    <s v="XIII"/>
    <n v="14"/>
    <n v="250.75"/>
    <n v="3907"/>
    <s v="RAFAELI FRARE DE SIQUEIRA"/>
    <d v="2014-09-10T00:00:00"/>
    <n v="99562.240000000005"/>
    <x v="1"/>
    <n v="183678.1"/>
    <n v="1.844857046205469"/>
  </r>
  <r>
    <x v="4"/>
    <s v="XIII"/>
    <n v="17"/>
    <n v="250.75"/>
    <n v="3683"/>
    <s v="JOSE CARLOS BRUNO DE OLIVEIRA"/>
    <d v="2014-04-01T00:00:00"/>
    <n v="94000.12"/>
    <x v="1"/>
    <n v="195779.78"/>
    <n v="2.0827609581775004"/>
  </r>
  <r>
    <x v="4"/>
    <s v="XIII"/>
    <n v="20"/>
    <n v="250.75"/>
    <n v="3914"/>
    <s v="FABIO APARECIDO VAZ DANTAS"/>
    <d v="2014-09-16T00:00:00"/>
    <n v="99562.42"/>
    <x v="0"/>
    <n v="4885.88"/>
    <n v="4.9073535978735754E-2"/>
  </r>
  <r>
    <x v="4"/>
    <s v="XIII"/>
    <n v="21"/>
    <n v="250.75"/>
    <n v="4425"/>
    <s v="TEREZINHA RODRIGUES DA SILVA SOUZA"/>
    <d v="2015-02-19T00:00:00"/>
    <n v="116000.6"/>
    <x v="0"/>
    <n v="109143.73"/>
    <n v="0.94088935746884061"/>
  </r>
  <r>
    <x v="4"/>
    <s v="XIII"/>
    <n v="23"/>
    <n v="250.75"/>
    <n v="5227"/>
    <s v="JOSIANE JUNIA FACUNDO DE ALMEIDA"/>
    <d v="2016-06-08T00:00:00"/>
    <n v="129800"/>
    <x v="0"/>
    <n v="117876.17"/>
    <n v="0.90813690292758087"/>
  </r>
  <r>
    <x v="4"/>
    <s v="XIII"/>
    <n v="24"/>
    <n v="250.75"/>
    <n v="4115"/>
    <s v="MARCIA MESTRE MARTINELI"/>
    <d v="2014-11-05T00:00:00"/>
    <n v="110503.34"/>
    <x v="0"/>
    <n v="10704.52"/>
    <n v="9.6870556129796628E-2"/>
  </r>
  <r>
    <x v="4"/>
    <s v="XIII"/>
    <n v="25"/>
    <n v="250.75"/>
    <n v="4949"/>
    <s v="ELENICE CHICO CLAUDIO"/>
    <d v="2020-12-03T00:00:00"/>
    <n v="145700.1"/>
    <x v="0"/>
    <n v="93448.73"/>
    <n v="0.64137725368754028"/>
  </r>
  <r>
    <x v="4"/>
    <s v="XIII"/>
    <n v="26"/>
    <n v="250.75"/>
    <n v="4163"/>
    <s v="EULALIA BOAVENTURA MACIEL"/>
    <d v="2014-11-04T00:00:00"/>
    <n v="108291.8"/>
    <x v="0"/>
    <n v="67045.22"/>
    <n v="0.61911631351588947"/>
  </r>
  <r>
    <x v="4"/>
    <s v="XVI"/>
    <n v="1"/>
    <n v="368.4"/>
    <n v="3627"/>
    <s v="CLAUDIO MORYAMA"/>
    <d v="2014-04-01T00:00:00"/>
    <n v="142079.42000000001"/>
    <x v="0"/>
    <n v="141756.11000000002"/>
    <n v="0.99772444172421315"/>
  </r>
  <r>
    <x v="4"/>
    <s v="XVI"/>
    <n v="3"/>
    <n v="257.75"/>
    <n v="4664"/>
    <s v="MATEUS REZENDE DE OLIVEIRA"/>
    <d v="2020-08-03T00:00:00"/>
    <n v="135915"/>
    <x v="0"/>
    <n v="125855.96"/>
    <n v="0.92599021447228047"/>
  </r>
  <r>
    <x v="4"/>
    <s v="XVI"/>
    <n v="5"/>
    <n v="257.75"/>
    <n v="6073"/>
    <s v="CESAR ALVES DE MACEDO"/>
    <d v="2018-01-03T00:00:00"/>
    <n v="126203.3"/>
    <x v="0"/>
    <n v="100850.69"/>
    <n v="0.79911293920206528"/>
  </r>
  <r>
    <x v="4"/>
    <s v="XVI"/>
    <n v="9"/>
    <n v="257.75"/>
    <n v="6363"/>
    <s v="EDUARDO OLIVEIRA BONIFACIO"/>
    <d v="2018-05-10T00:00:00"/>
    <n v="126203.3"/>
    <x v="0"/>
    <n v="120252.08"/>
    <n v="0.95284418077815713"/>
  </r>
  <r>
    <x v="4"/>
    <s v="XVI"/>
    <n v="10"/>
    <n v="257.75"/>
    <n v="5078"/>
    <s v="C. PIRES EMPREENDIMENTOS IMOBILIARIOS LTDA"/>
    <d v="2016-01-20T00:00:00"/>
    <n v="122999.05"/>
    <x v="1"/>
    <n v="125332.76000000001"/>
    <n v="1.0189733985750298"/>
  </r>
  <r>
    <x v="4"/>
    <s v="XVI"/>
    <n v="11"/>
    <n v="257.75"/>
    <m/>
    <s v="SANVIG MONITORAMENTO E CONSERVACAO LTDA"/>
    <d v="2019-02-18T00:00:00"/>
    <n v="124729.26"/>
    <x v="0"/>
    <n v="29095.850000000002"/>
    <n v="0.23327204859549397"/>
  </r>
  <r>
    <x v="4"/>
    <s v="XVI"/>
    <n v="12"/>
    <n v="257.75"/>
    <n v="3964"/>
    <s v="ALESSANDRA BERBET"/>
    <d v="2014-10-03T00:00:00"/>
    <n v="89873.5"/>
    <x v="1"/>
    <n v="161421.75"/>
    <n v="1.7960995176553711"/>
  </r>
  <r>
    <x v="4"/>
    <s v="XVI"/>
    <n v="13"/>
    <n v="257.75"/>
    <n v="4125"/>
    <s v="ADILSON APARECIDO DOS SANTOS"/>
    <d v="2014-11-10T00:00:00"/>
    <n v="99750.92"/>
    <x v="0"/>
    <n v="94977.97"/>
    <n v="0.95215131850413015"/>
  </r>
  <r>
    <x v="4"/>
    <s v="XVI"/>
    <n v="15"/>
    <n v="257.75"/>
    <n v="4975"/>
    <s v="MIKAELE DA COSTA MOURA"/>
    <d v="2021-01-15T00:00:00"/>
    <n v="159249.19"/>
    <x v="0"/>
    <n v="154550.84"/>
    <n v="0.97049686720541561"/>
  </r>
  <r>
    <x v="4"/>
    <s v="XVI"/>
    <n v="19"/>
    <n v="273.33999999999997"/>
    <n v="4750"/>
    <s v="IZAURA MARIA CARELLI"/>
    <d v="2015-05-01T00:00:00"/>
    <n v="115999.4"/>
    <x v="1"/>
    <n v="110994.69"/>
    <n v="0.95685572511581962"/>
  </r>
  <r>
    <x v="4"/>
    <s v="XVI"/>
    <n v="20"/>
    <n v="273.33999999999997"/>
    <n v="5345"/>
    <s v="DEMILTON SALES DOS SANTOS"/>
    <d v="2016-11-24T00:00:00"/>
    <n v="129142.05"/>
    <x v="0"/>
    <n v="118539.21"/>
    <n v="0.91789784969341903"/>
  </r>
  <r>
    <x v="4"/>
    <s v="XVI"/>
    <n v="21"/>
    <n v="273.33999999999997"/>
    <m/>
    <s v="MARIA APARECIDA BATISTA FERREIRA"/>
    <d v="2019-06-10T00:00:00"/>
    <n v="93060"/>
    <x v="0"/>
    <n v="82054.44"/>
    <n v="0.88173694390715673"/>
  </r>
  <r>
    <x v="4"/>
    <s v="XVI"/>
    <n v="22"/>
    <n v="273.33999999999997"/>
    <m/>
    <s v="RAFAEL DA COSTA BARROS"/>
    <d v="2019-07-02T00:00:00"/>
    <n v="93060"/>
    <x v="0"/>
    <n v="86672.87"/>
    <n v="0.93136546314205881"/>
  </r>
  <r>
    <x v="4"/>
    <s v="XVI"/>
    <n v="23"/>
    <n v="273.33999999999997"/>
    <m/>
    <s v="RITA DE CASSIA APARECIDA JARDIM"/>
    <d v="2019-07-16T00:00:00"/>
    <n v="93060.42"/>
    <x v="0"/>
    <n v="93389.180000000008"/>
    <n v="1.0035327586099441"/>
  </r>
  <r>
    <x v="4"/>
    <s v="XVI"/>
    <n v="24"/>
    <n v="273.33999999999997"/>
    <n v="3734"/>
    <s v="GABRIEL FERNANDO CONSTANTINO"/>
    <d v="2020-01-20T00:00:00"/>
    <n v="93060"/>
    <x v="0"/>
    <n v="78985.7"/>
    <n v="0.84876101439931229"/>
  </r>
  <r>
    <x v="4"/>
    <s v="XVI"/>
    <n v="27"/>
    <n v="273.33999999999997"/>
    <m/>
    <s v="CLAUDIONOR HENRIQUE DA SILVA"/>
    <d v="2019-08-19T00:00:00"/>
    <n v="93060"/>
    <x v="0"/>
    <n v="81803.28"/>
    <n v="0.87903803997421015"/>
  </r>
  <r>
    <x v="5"/>
    <s v="XL"/>
    <n v="5"/>
    <n v="272.07"/>
    <n v="6218"/>
    <s v="GLAUBER LOPES ARAUJO"/>
    <d v="2018-02-19T00:00:00"/>
    <n v="135360"/>
    <x v="0"/>
    <n v="34027.46"/>
    <n v="0.25138489952718673"/>
  </r>
  <r>
    <x v="5"/>
    <s v="XL"/>
    <n v="7"/>
    <n v="287.39999999999998"/>
    <n v="5179"/>
    <s v="SANDRA KAAFA SOUTELLO"/>
    <d v="2016-04-01T00:00:00"/>
    <n v="160900.5"/>
    <x v="1"/>
    <n v="184159.75"/>
    <n v="1.1445567291587038"/>
  </r>
  <r>
    <x v="5"/>
    <s v="XL"/>
    <n v="8"/>
    <n v="287.39999999999998"/>
    <n v="4870"/>
    <s v="M &amp; R MADEIRAS LTDA - ME"/>
    <d v="2020-11-20T00:00:00"/>
    <n v="168260.04"/>
    <x v="0"/>
    <n v="152924.76"/>
    <n v="0.90885964368010375"/>
  </r>
  <r>
    <x v="5"/>
    <s v="XL"/>
    <n v="9"/>
    <n v="287.39999999999998"/>
    <n v="4103"/>
    <s v="ANDRE BOBROFF CANAVEZI"/>
    <d v="2014-11-01T00:00:00"/>
    <n v="143077.37"/>
    <x v="1"/>
    <n v="276504.37"/>
    <n v="1.9325513881056102"/>
  </r>
  <r>
    <x v="5"/>
    <s v="XL"/>
    <n v="10"/>
    <n v="287.39999999999998"/>
    <n v="3927"/>
    <s v="ANDRE BOBROFF CANAVEZI"/>
    <d v="2014-10-01T00:00:00"/>
    <n v="128912.47"/>
    <x v="1"/>
    <n v="274514.28000000003"/>
    <n v="2.1294625725501963"/>
  </r>
  <r>
    <x v="5"/>
    <s v="XL"/>
    <n v="11"/>
    <n v="287.39999999999998"/>
    <n v="4102"/>
    <s v="ANDRE BOBROFF CANAVEZI"/>
    <d v="2014-11-01T00:00:00"/>
    <n v="143077.37"/>
    <x v="1"/>
    <n v="276504.2"/>
    <n v="1.9325501999372789"/>
  </r>
  <r>
    <x v="5"/>
    <s v="XL"/>
    <n v="12"/>
    <n v="287.39999999999998"/>
    <n v="3800"/>
    <s v="DIEGO RODRIGUES VIEIRA"/>
    <d v="2020-03-02T00:00:00"/>
    <n v="162093.6"/>
    <x v="0"/>
    <n v="155632.74"/>
    <n v="0.96014117768992724"/>
  </r>
  <r>
    <x v="5"/>
    <s v="XL"/>
    <n v="13"/>
    <n v="283.56"/>
    <n v="4116"/>
    <s v="FABIO ANTUNES PEREIRA"/>
    <d v="2014-11-10T00:00:00"/>
    <n v="141221.4"/>
    <x v="0"/>
    <n v="113461.49"/>
    <n v="0.80342986261289018"/>
  </r>
  <r>
    <x v="5"/>
    <s v="XL"/>
    <n v="15"/>
    <n v="287.39999999999998"/>
    <n v="5752"/>
    <s v="ADRIANO SEPE"/>
    <d v="2017-07-05T00:00:00"/>
    <n v="167628.32"/>
    <x v="0"/>
    <n v="90851.1"/>
    <n v="0.54197942209287786"/>
  </r>
  <r>
    <x v="5"/>
    <s v="XL"/>
    <n v="18"/>
    <n v="256.19"/>
    <s v="4566"/>
    <s v="LEANDRO LINO DA SILVA"/>
    <d v="2020-07-22T00:00:00"/>
    <n v="135970.6"/>
    <x v="2"/>
    <n v="124541.83"/>
    <n v="0.91594675613698839"/>
  </r>
  <r>
    <x v="5"/>
    <s v="XL"/>
    <n v="20"/>
    <n v="256.19"/>
    <n v="6080"/>
    <s v="FLAVIO DA SILVA SENA"/>
    <d v="2018-01-02T00:00:00"/>
    <n v="121260"/>
    <x v="2"/>
    <n v="127911.48"/>
    <n v="1.0548530430479961"/>
  </r>
  <r>
    <x v="5"/>
    <s v="XL"/>
    <n v="22"/>
    <n v="256.19"/>
    <n v="4978"/>
    <s v="IZALTINO CELESTE"/>
    <d v="2021-01-15T00:00:00"/>
    <n v="165440"/>
    <x v="0"/>
    <n v="147904.5"/>
    <n v="0.8940068907156673"/>
  </r>
  <r>
    <x v="5"/>
    <s v="XL"/>
    <n v="25"/>
    <n v="256.19"/>
    <n v="5091"/>
    <s v="MARILENA DE PAULO"/>
    <d v="2016-02-01T00:00:00"/>
    <n v="131500"/>
    <x v="0"/>
    <n v="128978.54000000001"/>
    <n v="0.98082539923954382"/>
  </r>
  <r>
    <x v="5"/>
    <s v="XL"/>
    <n v="26"/>
    <n v="256.19"/>
    <n v="6055"/>
    <s v="EDUARDO DA SILVA"/>
    <d v="2017-12-12T00:00:00"/>
    <n v="121259.76"/>
    <x v="2"/>
    <n v="111887.32"/>
    <n v="0.9227077474011165"/>
  </r>
  <r>
    <x v="5"/>
    <s v="XL"/>
    <n v="27"/>
    <n v="256.19"/>
    <n v="5295"/>
    <s v="CHRISTIAN RIBEIRO FRANCO"/>
    <d v="2016-10-04T00:00:00"/>
    <n v="137422.92000000001"/>
    <x v="0"/>
    <n v="117380.5"/>
    <n v="0.85415518750438424"/>
  </r>
  <r>
    <x v="5"/>
    <s v="XL"/>
    <n v="28"/>
    <n v="256.19"/>
    <n v="6127"/>
    <s v="VANIA BALDUINO FARIAS"/>
    <d v="2018-01-10T00:00:00"/>
    <n v="121260"/>
    <x v="1"/>
    <n v="67183.210000000006"/>
    <n v="0.55404263565891476"/>
  </r>
  <r>
    <x v="5"/>
    <s v="XL"/>
    <n v="29"/>
    <n v="256.19"/>
    <n v="6483"/>
    <s v="MIKAELA APARECIDA LIMA TEODORO"/>
    <d v="2018-06-13T00:00:00"/>
    <n v="131600"/>
    <x v="1"/>
    <n v="139794.81"/>
    <n v="1.0622705927051672"/>
  </r>
  <r>
    <x v="5"/>
    <s v="XL"/>
    <n v="30"/>
    <n v="256.19"/>
    <n v="4844"/>
    <s v="SORAYA FERNANDES DA SILVA ARAUJO"/>
    <d v="2020-10-23T00:00:00"/>
    <n v="165360.18"/>
    <x v="0"/>
    <n v="154706.1"/>
    <n v="0.93557046200602834"/>
  </r>
  <r>
    <x v="5"/>
    <s v="XL"/>
    <n v="31"/>
    <n v="277.37"/>
    <n v="6014"/>
    <s v="KAREN JEREMIAS FERMINO"/>
    <d v="2017-11-22T00:00:00"/>
    <n v="132539.85"/>
    <x v="2"/>
    <n v="162315.53"/>
    <n v="1.2246545472927575"/>
  </r>
  <r>
    <x v="5"/>
    <s v="XLI"/>
    <n v="1"/>
    <n v="370.23"/>
    <n v="6816"/>
    <s v="LEONARDO MEDEIROS GUILET PIRES"/>
    <d v="2018-12-05T00:00:00"/>
    <n v="155100"/>
    <x v="2"/>
    <n v="41876.33"/>
    <n v="0.26999568020631853"/>
  </r>
  <r>
    <x v="5"/>
    <s v="XLI"/>
    <n v="3"/>
    <n v="262.42"/>
    <n v="6594"/>
    <s v="RICARDO CANDIDO RODRIGUES"/>
    <d v="2018-08-16T00:00:00"/>
    <n v="124456"/>
    <x v="0"/>
    <n v="123175.27"/>
    <n v="0.98970937520087421"/>
  </r>
  <r>
    <x v="5"/>
    <s v="XLI"/>
    <n v="4"/>
    <n v="262.42"/>
    <n v="6577"/>
    <s v="POLEANE RODRIGUES"/>
    <d v="2018-08-01T00:00:00"/>
    <n v="126900"/>
    <x v="2"/>
    <n v="44122.64"/>
    <n v="0.34769613869188337"/>
  </r>
  <r>
    <x v="5"/>
    <s v="XLI"/>
    <n v="5"/>
    <n v="262.42"/>
    <n v="6810"/>
    <s v="THAIS AMARILHA DE CASTRO"/>
    <d v="2018-12-18T00:00:00"/>
    <n v="117500"/>
    <x v="2"/>
    <n v="118258.72"/>
    <n v="1.0064571914893616"/>
  </r>
  <r>
    <x v="5"/>
    <s v="XLI"/>
    <n v="7"/>
    <n v="262.42"/>
    <n v="2954"/>
    <s v="WESLEY DE LIMA PICCIOLI"/>
    <d v="2019-09-02T00:00:00"/>
    <n v="117499.65"/>
    <x v="0"/>
    <n v="68309.2"/>
    <n v="0.58135662531760735"/>
  </r>
  <r>
    <x v="5"/>
    <s v="XLI"/>
    <n v="9"/>
    <n v="262.42"/>
    <n v="7066"/>
    <s v="KRATOS ENGENHARIA LTDA"/>
    <d v="2019-04-01T00:00:00"/>
    <n v="121025"/>
    <x v="0"/>
    <n v="32135.31"/>
    <n v="0.265526213592233"/>
  </r>
  <r>
    <x v="5"/>
    <s v="XLI"/>
    <n v="11"/>
    <n v="262.42"/>
    <n v="4776"/>
    <s v="SERGIO AUGUSTO POLO"/>
    <d v="2020-09-10T00:00:00"/>
    <n v="122199.9"/>
    <x v="0"/>
    <n v="98016.56"/>
    <n v="0.80210016538475071"/>
  </r>
  <r>
    <x v="5"/>
    <s v="XLI"/>
    <n v="12"/>
    <n v="277.48"/>
    <n v="2955"/>
    <s v="CINTHYA DE CARVALHO SOVENHI DIAS"/>
    <d v="2019-09-02T00:00:00"/>
    <n v="122800"/>
    <x v="1"/>
    <n v="143451.59"/>
    <n v="1.1681725570032573"/>
  </r>
  <r>
    <x v="5"/>
    <s v="XLI"/>
    <n v="13"/>
    <n v="277.48"/>
    <n v="2056"/>
    <s v="CINTHYA DE CARVALHO SOVENHI DIAS"/>
    <d v="2019-09-02T00:00:00"/>
    <n v="122800"/>
    <x v="1"/>
    <n v="143451.59"/>
    <n v="1.1681725570032573"/>
  </r>
  <r>
    <x v="5"/>
    <s v="XLI"/>
    <n v="15"/>
    <n v="255.46"/>
    <n v="4869"/>
    <s v="ROBERTA REIS DA SILVA TERRA"/>
    <d v="2015-07-07T00:00:00"/>
    <n v="118400.8"/>
    <x v="0"/>
    <n v="14676.550000000001"/>
    <n v="0.12395651042898359"/>
  </r>
  <r>
    <x v="5"/>
    <s v="XLI"/>
    <n v="16"/>
    <n v="255.46"/>
    <n v="4785"/>
    <s v="CALEBE GUEDES SILVA"/>
    <d v="2020-09-24T00:00:00"/>
    <n v="122200.09"/>
    <x v="2"/>
    <n v="110376.41"/>
    <n v="0.90324327911706126"/>
  </r>
  <r>
    <x v="5"/>
    <s v="XLI"/>
    <n v="17"/>
    <n v="255.46"/>
    <n v="4863"/>
    <s v="LUCIMARA LOPES DA SILVA"/>
    <d v="2020-11-03T00:00:00"/>
    <n v="129531.6"/>
    <x v="0"/>
    <n v="126519.17"/>
    <n v="0.97674366718237093"/>
  </r>
  <r>
    <x v="5"/>
    <s v="XLI - A"/>
    <n v="2"/>
    <n v="255.45"/>
    <n v="4742"/>
    <s v="MATEUS HOFSTATTER"/>
    <d v="2020-08-19T00:00:00"/>
    <n v="122200"/>
    <x v="0"/>
    <n v="78349.3"/>
    <n v="0.64115630114566291"/>
  </r>
  <r>
    <x v="5"/>
    <s v="XLI - A"/>
    <n v="3"/>
    <n v="255.45"/>
    <n v="5199"/>
    <s v="HELTON ERNANI DE AGUIAR"/>
    <d v="2016-04-01T00:00:00"/>
    <n v="116730"/>
    <x v="0"/>
    <n v="81380.160000000003"/>
    <n v="0.69716576715497303"/>
  </r>
  <r>
    <x v="5"/>
    <s v="XLI - A"/>
    <n v="4"/>
    <n v="277.48"/>
    <n v="6385"/>
    <s v="RODRIGO LAFORE DOMENE"/>
    <d v="2018-05-14T00:00:00"/>
    <n v="123140"/>
    <x v="0"/>
    <n v="123661.66"/>
    <n v="1.0042363163878512"/>
  </r>
  <r>
    <x v="5"/>
    <s v="XLI - A"/>
    <n v="5"/>
    <n v="277.48"/>
    <n v="6252"/>
    <s v="BRUNO RODRIGUES CROCE"/>
    <d v="2018-03-16T00:00:00"/>
    <n v="124140"/>
    <x v="0"/>
    <n v="127663.88"/>
    <n v="1.0283863380054776"/>
  </r>
  <r>
    <x v="5"/>
    <s v="XLI - A"/>
    <n v="6"/>
    <n v="277.48"/>
    <n v="6282"/>
    <s v="CRISTIANE CAROLINA CRUZES"/>
    <d v="2018-03-28T00:00:00"/>
    <n v="123140"/>
    <x v="0"/>
    <n v="123392.27"/>
    <n v="1.0020486438200422"/>
  </r>
  <r>
    <x v="5"/>
    <s v="XLI - A"/>
    <n v="7"/>
    <n v="277.48"/>
    <n v="3699"/>
    <s v="LUIZ GUILHERME DE GOES"/>
    <d v="2020-01-15T00:00:00"/>
    <n v="122200.2"/>
    <x v="0"/>
    <n v="121224.5"/>
    <n v="0.99201556134932678"/>
  </r>
  <r>
    <x v="5"/>
    <s v="XLII"/>
    <n v="1"/>
    <n v="275.16000000000003"/>
    <n v="6150"/>
    <s v="JEFFERSON MOREIRA FRANCA"/>
    <d v="2018-01-29T00:00:00"/>
    <n v="129720"/>
    <x v="0"/>
    <n v="85093.75"/>
    <n v="0.65598018809744063"/>
  </r>
  <r>
    <x v="5"/>
    <s v="XLII"/>
    <n v="2"/>
    <n v="262.92"/>
    <m/>
    <s v="EDNILSON APARECIDO DA SILVA"/>
    <d v="2019-07-01T00:00:00"/>
    <n v="122200"/>
    <x v="0"/>
    <n v="119033.68000000001"/>
    <n v="0.97408903436988548"/>
  </r>
  <r>
    <x v="5"/>
    <s v="XLII"/>
    <n v="4"/>
    <n v="253.01"/>
    <n v="6524"/>
    <s v="LEONARDO NUNES BUONO"/>
    <d v="2018-07-03T00:00:00"/>
    <n v="131600"/>
    <x v="1"/>
    <n v="182095.82"/>
    <n v="1.3837068389057752"/>
  </r>
  <r>
    <x v="5"/>
    <s v="XLII"/>
    <n v="5"/>
    <n v="253.01"/>
    <m/>
    <s v="GIOVANO APARECIDO DE LIMA"/>
    <d v="2018-11-23T00:00:00"/>
    <n v="272538.23"/>
    <x v="0"/>
    <n v="112785.35"/>
    <n v="0.41383313452942"/>
  </r>
  <r>
    <x v="5"/>
    <s v="XLII"/>
    <n v="6"/>
    <n v="253.01"/>
    <n v="6331"/>
    <s v="FRANCIELLE SANCHES CARNELOSSI"/>
    <d v="2018-04-25T00:00:00"/>
    <n v="141353.45000000001"/>
    <x v="2"/>
    <n v="143395.98000000001"/>
    <n v="1.0144498064957028"/>
  </r>
  <r>
    <x v="5"/>
    <s v="XLII"/>
    <n v="7"/>
    <n v="253.01"/>
    <n v="5530"/>
    <s v="RENAN VINICIUS GOUVEIA ANCIOTO"/>
    <d v="2017-02-06T00:00:00"/>
    <n v="128212.23"/>
    <x v="1"/>
    <n v="127184.57"/>
    <n v="0.99198469599974992"/>
  </r>
  <r>
    <x v="5"/>
    <s v="XLII"/>
    <n v="9"/>
    <n v="253.01"/>
    <n v="5349"/>
    <s v="CRISTINA DA SILVA GERMANI"/>
    <d v="2016-12-01T00:00:00"/>
    <n v="136395.99"/>
    <x v="0"/>
    <n v="127798.7"/>
    <n v="0.93696816160064533"/>
  </r>
  <r>
    <x v="5"/>
    <s v="XLII"/>
    <n v="11"/>
    <n v="253.01"/>
    <n v="4811"/>
    <s v="DANIEL BRAGUETO MARTINS"/>
    <d v="2015-06-01T00:00:00"/>
    <n v="129699.4"/>
    <x v="1"/>
    <n v="206146.05000000002"/>
    <n v="1.5894140605122309"/>
  </r>
  <r>
    <x v="5"/>
    <s v="XLII"/>
    <n v="12"/>
    <n v="253.01"/>
    <n v="3868"/>
    <s v="FELIPE MARTINS SCOTTON"/>
    <d v="2014-08-08T00:00:00"/>
    <n v="102223.52"/>
    <x v="0"/>
    <n v="101269.15000000001"/>
    <n v="0.99066389026713231"/>
  </r>
  <r>
    <x v="5"/>
    <s v="XLII"/>
    <n v="15"/>
    <n v="272.5"/>
    <n v="4313"/>
    <s v="RODRIGO AUGUSTO MODESTO"/>
    <d v="2014-12-17T00:00:00"/>
    <n v="134352.85"/>
    <x v="0"/>
    <n v="76420.7"/>
    <n v="0.56880594643135585"/>
  </r>
  <r>
    <x v="5"/>
    <s v="XLII"/>
    <n v="16"/>
    <n v="272.5"/>
    <n v="4312"/>
    <s v="MARIA INEZ BUENO MODESTO"/>
    <d v="2014-12-17T00:00:00"/>
    <n v="134352.85"/>
    <x v="0"/>
    <n v="124971.91"/>
    <n v="0.93017684403419798"/>
  </r>
  <r>
    <x v="5"/>
    <s v="XLII"/>
    <n v="19"/>
    <n v="304.64"/>
    <m/>
    <s v="BENEDITA DE LOURDES CARDOSO"/>
    <d v="2019-08-23T00:00:00"/>
    <n v="154160.6"/>
    <x v="0"/>
    <n v="147324.91"/>
    <n v="0.95565864429692149"/>
  </r>
  <r>
    <x v="5"/>
    <s v="XLIII"/>
    <n v="1"/>
    <n v="300.63"/>
    <m/>
    <s v="ROBERTO CARDOSO"/>
    <d v="2019-02-04T00:00:00"/>
    <n v="141000"/>
    <x v="0"/>
    <n v="137157.45000000001"/>
    <n v="0.97274787234042559"/>
  </r>
  <r>
    <x v="5"/>
    <s v="XLIII"/>
    <n v="2"/>
    <n v="265.06"/>
    <m/>
    <s v="GILBERTO MILLE"/>
    <d v="2018-11-28T00:00:00"/>
    <n v="117500"/>
    <x v="0"/>
    <n v="117299.5"/>
    <n v="0.99829361702127661"/>
  </r>
  <r>
    <x v="5"/>
    <s v="XLIII"/>
    <n v="6"/>
    <n v="253.77"/>
    <m/>
    <s v="LEO ANTONIO RAMOS"/>
    <d v="2019-06-03T00:00:00"/>
    <n v="122200.1"/>
    <x v="0"/>
    <n v="31403.02"/>
    <n v="0.25698031343673206"/>
  </r>
  <r>
    <x v="5"/>
    <s v="XLIII"/>
    <n v="7"/>
    <n v="253.77"/>
    <n v="4681"/>
    <s v="WESLY APARECIDO WEBER"/>
    <d v="2020-08-03T00:00:00"/>
    <n v="122200"/>
    <x v="0"/>
    <n v="120315.19"/>
    <n v="0.98457602291325697"/>
  </r>
  <r>
    <x v="5"/>
    <s v="XLIII"/>
    <n v="8"/>
    <n v="253.77"/>
    <n v="4795"/>
    <s v="KATIA MUNARETTO"/>
    <d v="2020-09-30T00:00:00"/>
    <n v="122200"/>
    <x v="0"/>
    <n v="120861.89"/>
    <n v="0.98904983633387888"/>
  </r>
  <r>
    <x v="5"/>
    <s v="XLIII"/>
    <n v="9"/>
    <n v="251.25"/>
    <n v="3445"/>
    <s v="LEWI PETHRUS COSTA"/>
    <d v="2019-12-03T00:00:00"/>
    <n v="136299.75"/>
    <x v="2"/>
    <n v="134614.48000000001"/>
    <n v="0.98763556059347146"/>
  </r>
  <r>
    <x v="5"/>
    <s v="XXXIX"/>
    <n v="1"/>
    <n v="332.84"/>
    <n v="4812"/>
    <s v="MARIA DAS GRACAS PICCININI"/>
    <d v="2015-06-01T00:00:00"/>
    <n v="174300"/>
    <x v="0"/>
    <n v="161255.72"/>
    <n v="0.92516190476190474"/>
  </r>
  <r>
    <x v="5"/>
    <s v="XXXIX"/>
    <n v="3"/>
    <n v="250.5"/>
    <n v="4567"/>
    <s v="VALDEIR MAGALHAES"/>
    <d v="2020-07-20T00:00:00"/>
    <n v="141940"/>
    <x v="2"/>
    <n v="52156.24"/>
    <n v="0.36745272650415667"/>
  </r>
  <r>
    <x v="5"/>
    <s v="XXXIX"/>
    <n v="5"/>
    <n v="250.5"/>
    <n v="5165"/>
    <s v="GUILHERME GALAN CORDEIRO"/>
    <d v="2016-03-24T00:00:00"/>
    <n v="126990.9"/>
    <x v="1"/>
    <n v="187330.61000000002"/>
    <n v="1.4751498729436521"/>
  </r>
  <r>
    <x v="5"/>
    <s v="XXXIX"/>
    <n v="7"/>
    <n v="250.5"/>
    <n v="5526"/>
    <s v="CASSIA REGINA BACELAR"/>
    <d v="2017-02-09T00:00:00"/>
    <n v="133280.68"/>
    <x v="0"/>
    <n v="131834.32"/>
    <n v="0.98914801455094625"/>
  </r>
  <r>
    <x v="5"/>
    <s v="XXXIX"/>
    <n v="9"/>
    <n v="250.5"/>
    <n v="6158"/>
    <s v="CEZAR ALVES MOREIRA"/>
    <d v="2018-01-30T00:00:00"/>
    <n v="141000"/>
    <x v="0"/>
    <n v="141879.93"/>
    <n v="1.0062406382978724"/>
  </r>
  <r>
    <x v="5"/>
    <s v="XXXIX"/>
    <n v="10"/>
    <n v="250.5"/>
    <n v="5172"/>
    <s v="WALMI PEREIRA DE SOUZA"/>
    <d v="2016-04-04T00:00:00"/>
    <n v="141099.45000000001"/>
    <x v="0"/>
    <n v="121481.53"/>
    <n v="0.86096388044035599"/>
  </r>
  <r>
    <x v="5"/>
    <s v="XXXIX"/>
    <n v="11"/>
    <n v="250.5"/>
    <n v="5164"/>
    <s v="FERNANDO JUNIOR DE SOUZA"/>
    <d v="2016-04-01T00:00:00"/>
    <n v="141099.45000000001"/>
    <x v="0"/>
    <n v="140195.29"/>
    <n v="0.99359203738923152"/>
  </r>
  <r>
    <x v="5"/>
    <s v="XXXIX"/>
    <n v="12"/>
    <n v="250.5"/>
    <n v="4914"/>
    <s v="JOSE CARLOS OLIVEIRA"/>
    <d v="2020-12-01T00:00:00"/>
    <n v="159799.6"/>
    <x v="0"/>
    <n v="86243.57"/>
    <n v="0.53969828460146341"/>
  </r>
  <r>
    <x v="5"/>
    <s v="XXXIX"/>
    <n v="13"/>
    <n v="250.5"/>
    <n v="4813"/>
    <s v="EDUARDO GUIMARAES REZENDE JUNIOR"/>
    <d v="2020-10-01T00:00:00"/>
    <n v="147580.4"/>
    <x v="2"/>
    <n v="114091.8"/>
    <n v="0.77308233342638999"/>
  </r>
  <r>
    <x v="5"/>
    <s v="XXXIX"/>
    <n v="19"/>
    <n v="250.5"/>
    <n v="6631"/>
    <s v="CARLOS ROBERTO GOMES DOS SANTOS"/>
    <d v="2018-09-14T00:00:00"/>
    <n v="152082.60999999999"/>
    <x v="0"/>
    <n v="143918.07"/>
    <n v="0.94631509809043923"/>
  </r>
  <r>
    <x v="5"/>
    <s v="XXXIX"/>
    <n v="20"/>
    <n v="250.5"/>
    <n v="4734"/>
    <s v="MURILO COMAR ALENCAR"/>
    <d v="2020-08-03T00:00:00"/>
    <n v="143820"/>
    <x v="0"/>
    <n v="137890.72"/>
    <n v="0.95877291058267278"/>
  </r>
  <r>
    <x v="5"/>
    <s v="XXXIX"/>
    <n v="21"/>
    <n v="250.5"/>
    <n v="5330"/>
    <s v="DIEGO FREITAS DE SOUZA"/>
    <d v="2016-11-15T00:00:00"/>
    <n v="141082.26"/>
    <x v="1"/>
    <n v="172135.69"/>
    <n v="1.2201086798581195"/>
  </r>
  <r>
    <x v="5"/>
    <s v="XXXIX"/>
    <n v="24"/>
    <n v="256.75"/>
    <n v="5962"/>
    <s v="DEIVIN BUSUTTIL"/>
    <d v="2017-10-30T00:00:00"/>
    <n v="140999.6"/>
    <x v="0"/>
    <n v="131949.26999999999"/>
    <n v="0.93581308032079513"/>
  </r>
  <r>
    <x v="5"/>
    <s v="XXXIX"/>
    <n v="25"/>
    <n v="256.75"/>
    <n v="5982"/>
    <s v="LEANDRO NOGUEIRA SILVA"/>
    <d v="2017-11-07T00:00:00"/>
    <n v="133479.79999999999"/>
    <x v="0"/>
    <n v="114136.85"/>
    <n v="0.85508706186254413"/>
  </r>
  <r>
    <x v="5"/>
    <s v="XXXIX"/>
    <n v="31"/>
    <n v="256.75"/>
    <n v="5192"/>
    <s v="JOSE ORLANDO TAVARES CELESTINO"/>
    <d v="2016-04-15T00:00:00"/>
    <n v="145800.20000000001"/>
    <x v="1"/>
    <n v="231629.73"/>
    <n v="1.5886790964621447"/>
  </r>
  <r>
    <x v="5"/>
    <s v="XXXIX"/>
    <n v="34"/>
    <n v="256.75"/>
    <n v="5963"/>
    <s v="MARVIN PARREIRA BUSUTTIL"/>
    <d v="2017-10-30T00:00:00"/>
    <n v="140999.6"/>
    <x v="0"/>
    <n v="131949.26999999999"/>
    <n v="0.93581308032079513"/>
  </r>
  <r>
    <x v="5"/>
    <s v="XXXIX"/>
    <n v="35"/>
    <n v="256.75"/>
    <n v="6072"/>
    <s v="SAMUEL ANTONIO VIANA"/>
    <d v="2018-01-02T00:00:00"/>
    <n v="140999.6"/>
    <x v="0"/>
    <n v="71112.680000000008"/>
    <n v="0.50434667899767094"/>
  </r>
  <r>
    <x v="5"/>
    <s v="XXXIX"/>
    <n v="36"/>
    <n v="256.75"/>
    <n v="6200"/>
    <s v="SILVANA SOARES DE SOUZA"/>
    <d v="2018-02-19T00:00:00"/>
    <n v="152574.39000000001"/>
    <x v="1"/>
    <n v="160467.51999999999"/>
    <n v="1.0517329939841147"/>
  </r>
  <r>
    <x v="5"/>
    <s v="XXXIX"/>
    <n v="37"/>
    <n v="256.75"/>
    <n v="5815"/>
    <s v="WELINGTON MARQUES MOREIRA JUNIOR"/>
    <d v="2017-09-04T00:00:00"/>
    <n v="124080"/>
    <x v="0"/>
    <n v="124495.09"/>
    <n v="1.0033453417150224"/>
  </r>
  <r>
    <x v="5"/>
    <s v="XXXIX"/>
    <n v="38"/>
    <n v="256.75"/>
    <n v="5005"/>
    <s v="THIARA RAMOS DA SILVA"/>
    <d v="2021-01-26T00:00:00"/>
    <n v="187698.4"/>
    <x v="2"/>
    <n v="190066.56"/>
    <n v="1.0126168363715407"/>
  </r>
  <r>
    <x v="5"/>
    <s v="XXXIX"/>
    <n v="39"/>
    <n v="256.75"/>
    <n v="4991"/>
    <s v="MARCOS VINICIUS MAGALHAES BELIATO"/>
    <d v="2021-01-22T00:00:00"/>
    <n v="177660"/>
    <x v="0"/>
    <n v="172418.49"/>
    <n v="0.97049696048632217"/>
  </r>
  <r>
    <x v="5"/>
    <s v="XXXIX"/>
    <n v="40"/>
    <n v="256.75"/>
    <n v="5152"/>
    <s v="RAMON GUSTAVO DA SILVA"/>
    <d v="2016-03-04T00:00:00"/>
    <n v="131219.35"/>
    <x v="0"/>
    <n v="127528.44"/>
    <n v="0.97187221244427746"/>
  </r>
  <r>
    <x v="5"/>
    <s v="XXXIX"/>
    <n v="41"/>
    <n v="256.75"/>
    <m/>
    <s v="KELEY REGIANE APARECIDA DOS SANTOS"/>
    <d v="2019-07-16T00:00:00"/>
    <n v="144807"/>
    <x v="0"/>
    <n v="28511.119999999999"/>
    <n v="0.19689048181372446"/>
  </r>
  <r>
    <x v="5"/>
    <s v="XXXIX"/>
    <n v="43"/>
    <n v="256.75"/>
    <n v="5269"/>
    <s v="SABRINA APARECIDA DIZARRO SALES"/>
    <d v="2016-08-26T00:00:00"/>
    <n v="137499.6"/>
    <x v="0"/>
    <n v="120000.86"/>
    <n v="0.8727360661412833"/>
  </r>
  <r>
    <x v="5"/>
    <s v="XXXV"/>
    <n v="2"/>
    <n v="251.75"/>
    <n v="5124"/>
    <s v="SHEILA PINTO SILVA"/>
    <d v="2016-02-03T00:00:00"/>
    <n v="130023.6"/>
    <x v="1"/>
    <n v="250041.71"/>
    <n v="1.9230486619352178"/>
  </r>
  <r>
    <x v="5"/>
    <s v="XXXV"/>
    <n v="3"/>
    <n v="251.75"/>
    <n v="3955"/>
    <s v="PATRICIA FRANCISCO GONCALVES"/>
    <d v="2014-10-03T00:00:00"/>
    <n v="113163.86"/>
    <x v="0"/>
    <n v="116731.54000000001"/>
    <n v="1.0315266729148336"/>
  </r>
  <r>
    <x v="5"/>
    <s v="XXXV"/>
    <n v="8"/>
    <n v="251.75"/>
    <n v="5324"/>
    <s v="CAROLINA FONSECA DE ALMEIDA"/>
    <d v="2016-11-07T00:00:00"/>
    <n v="140980"/>
    <x v="0"/>
    <n v="118580.21"/>
    <n v="0.84111370407149955"/>
  </r>
  <r>
    <x v="5"/>
    <s v="XXXV"/>
    <n v="9"/>
    <n v="251.75"/>
    <n v="5325"/>
    <s v="CAROLINA FONSECA DE ALMEIDA"/>
    <d v="2016-11-07T00:00:00"/>
    <n v="140980"/>
    <x v="0"/>
    <n v="118580.21"/>
    <n v="0.84111370407149955"/>
  </r>
  <r>
    <x v="5"/>
    <s v="XXXV"/>
    <n v="10"/>
    <n v="251.75"/>
    <n v="5326"/>
    <s v="CAROLINA FONSECA DE ALMEIDA"/>
    <d v="2016-11-07T00:00:00"/>
    <n v="140980"/>
    <x v="0"/>
    <n v="118580.21"/>
    <n v="0.84111370407149955"/>
  </r>
  <r>
    <x v="5"/>
    <s v="XXXV"/>
    <n v="14"/>
    <n v="251.75"/>
    <n v="5972"/>
    <s v="ADEL JUNIOR CONTINI LOPES"/>
    <d v="2017-10-09T00:00:00"/>
    <n v="124080"/>
    <x v="0"/>
    <n v="115685.74"/>
    <n v="0.93234800128949069"/>
  </r>
  <r>
    <x v="5"/>
    <s v="XXXV"/>
    <n v="16"/>
    <n v="251.75"/>
    <n v="4884"/>
    <s v="MARIA MAYUMI HOSHINO DE BARROS"/>
    <d v="2020-11-23T00:00:00"/>
    <n v="158860"/>
    <x v="2"/>
    <n v="158893.21"/>
    <n v="1.0002090519954676"/>
  </r>
  <r>
    <x v="5"/>
    <s v="XXXV"/>
    <n v="17"/>
    <n v="251.75"/>
    <n v="5363"/>
    <s v="ALESSANDRO DALBELLO MENDES"/>
    <d v="2016-12-02T00:00:00"/>
    <n v="149921.14000000001"/>
    <x v="0"/>
    <n v="139482.67000000001"/>
    <n v="0.9303735950780524"/>
  </r>
  <r>
    <x v="5"/>
    <s v="XXXV"/>
    <n v="18"/>
    <n v="267.82"/>
    <n v="5529"/>
    <s v="EMERSON JORGE BIM"/>
    <d v="2017-02-17T00:00:00"/>
    <n v="140926.67000000001"/>
    <x v="0"/>
    <n v="139797.01"/>
    <n v="0.99198405809205592"/>
  </r>
  <r>
    <x v="5"/>
    <s v="XXXV"/>
    <n v="20"/>
    <n v="267.82"/>
    <n v="5595"/>
    <s v="GUILHERME ANDRADE SALVADOR"/>
    <d v="2017-05-15T00:00:00"/>
    <n v="132671.67000000001"/>
    <x v="1"/>
    <n v="166173.01"/>
    <n v="1.2525131401451417"/>
  </r>
  <r>
    <x v="5"/>
    <s v="XXXV"/>
    <n v="23"/>
    <n v="267.82"/>
    <n v="6189"/>
    <s v="GILMAR AMARAL GOMES"/>
    <d v="2018-02-07T00:00:00"/>
    <n v="131599.6"/>
    <x v="0"/>
    <n v="56344.33"/>
    <n v="0.42814970562220556"/>
  </r>
  <r>
    <x v="5"/>
    <s v="XXXV"/>
    <n v="24"/>
    <n v="267.82"/>
    <m/>
    <s v="LIVIA BEATRIZ LIMA LUIZETTO"/>
    <d v="2019-07-18T00:00:00"/>
    <n v="131600.42000000001"/>
    <x v="1"/>
    <n v="159876.65"/>
    <n v="1.2148642838677868"/>
  </r>
  <r>
    <x v="5"/>
    <s v="XXXV"/>
    <n v="25"/>
    <n v="267.82"/>
    <n v="7015"/>
    <s v="LEANDRO MARIA CLARO"/>
    <d v="2019-03-01T00:00:00"/>
    <n v="155371.26999999999"/>
    <x v="2"/>
    <n v="136906.26999999999"/>
    <n v="0.8811556345005096"/>
  </r>
  <r>
    <x v="5"/>
    <s v="XXXV"/>
    <n v="26"/>
    <n v="267.82"/>
    <n v="5956"/>
    <s v="ALINE CANDIDO DE OLIVEIRA"/>
    <d v="2017-10-30T00:00:00"/>
    <n v="126900"/>
    <x v="0"/>
    <n v="122387.99"/>
    <n v="0.96444436564223801"/>
  </r>
  <r>
    <x v="5"/>
    <s v="XXXV"/>
    <n v="27"/>
    <n v="267.82"/>
    <n v="6000"/>
    <s v="CARLOS ROBERTO DA SILVA JUNIOR"/>
    <d v="2017-11-23T00:00:00"/>
    <n v="127839.63"/>
    <x v="0"/>
    <n v="111381.24"/>
    <n v="0.87125752788865241"/>
  </r>
  <r>
    <x v="5"/>
    <s v="XXXVI"/>
    <n v="1"/>
    <n v="353.3"/>
    <n v="4980"/>
    <s v="CRISTIANO BETIOL"/>
    <d v="2021-01-06T00:00:00"/>
    <n v="225600"/>
    <x v="0"/>
    <n v="191636.4"/>
    <n v="0.84945212765957445"/>
  </r>
  <r>
    <x v="5"/>
    <s v="XXXVI"/>
    <n v="5"/>
    <n v="257"/>
    <n v="5806"/>
    <s v="ALEXANDRE FRANCO FERREIRA"/>
    <d v="2017-08-24T00:00:00"/>
    <n v="124079.4"/>
    <x v="0"/>
    <n v="117130.8"/>
    <n v="0.94399876208298883"/>
  </r>
  <r>
    <x v="5"/>
    <s v="XXXVI"/>
    <n v="6"/>
    <n v="257"/>
    <n v="5795"/>
    <s v="ADRIANO TORRES UNZER DOS SANTOS"/>
    <d v="2017-08-05T00:00:00"/>
    <n v="124080.6"/>
    <x v="0"/>
    <n v="110592.02"/>
    <n v="0.89129178936916809"/>
  </r>
  <r>
    <x v="5"/>
    <s v="XXXVI"/>
    <n v="8"/>
    <n v="257"/>
    <n v="5791"/>
    <s v="EDSON FIALHO DA COSTA"/>
    <d v="2017-08-20T00:00:00"/>
    <n v="124079.46"/>
    <x v="0"/>
    <n v="103152.32000000001"/>
    <n v="0.83134081982626296"/>
  </r>
  <r>
    <x v="5"/>
    <s v="XXXVI"/>
    <n v="10"/>
    <n v="257"/>
    <n v="6318"/>
    <s v="LUCIANO CROCE"/>
    <d v="2018-04-11T00:00:00"/>
    <n v="152573.47"/>
    <x v="1"/>
    <n v="156978.08000000002"/>
    <n v="1.0288687803980601"/>
  </r>
  <r>
    <x v="5"/>
    <s v="XXXVI"/>
    <n v="11"/>
    <n v="257"/>
    <n v="4883"/>
    <s v="FELIPE AKIO HOSHINO DE BARROS"/>
    <d v="2020-11-23T00:00:00"/>
    <n v="161748.62"/>
    <x v="2"/>
    <n v="161735.51"/>
    <n v="0.99991894830385575"/>
  </r>
  <r>
    <x v="5"/>
    <s v="XXXVI"/>
    <n v="12"/>
    <n v="257"/>
    <n v="4836"/>
    <s v="DIRLEY SOARES DOS SANTOS"/>
    <d v="2020-10-13T00:00:00"/>
    <n v="147579.96"/>
    <x v="0"/>
    <n v="128646.16"/>
    <n v="0.87170480328087918"/>
  </r>
  <r>
    <x v="5"/>
    <s v="XXXVI"/>
    <n v="13"/>
    <n v="257"/>
    <n v="6029"/>
    <s v="NATHALIA RODRIGUES INACIO"/>
    <d v="2017-12-05T00:00:00"/>
    <n v="126900.6"/>
    <x v="0"/>
    <n v="125300.31"/>
    <n v="0.987389421326613"/>
  </r>
  <r>
    <x v="5"/>
    <s v="XXXVI"/>
    <n v="14"/>
    <n v="257"/>
    <n v="6031"/>
    <s v="NADDYNE RODRIGUES INACIO"/>
    <d v="2017-12-05T00:00:00"/>
    <n v="126900.6"/>
    <x v="0"/>
    <n v="125300.31"/>
    <n v="0.987389421326613"/>
  </r>
  <r>
    <x v="5"/>
    <s v="XXXVI"/>
    <n v="16"/>
    <n v="257"/>
    <n v="6033"/>
    <s v="VALDEMIRO APARECIDO GIROLDO"/>
    <d v="2017-12-12T00:00:00"/>
    <n v="128779.28"/>
    <x v="0"/>
    <n v="101650.8"/>
    <n v="0.78934126670066806"/>
  </r>
  <r>
    <x v="5"/>
    <s v="XXXVI"/>
    <n v="18"/>
    <n v="257"/>
    <n v="4964"/>
    <s v="MARCO ANTONIO GERALDA"/>
    <d v="2015-09-10T00:00:00"/>
    <n v="150900.29"/>
    <x v="0"/>
    <n v="133393.70000000001"/>
    <n v="0.88398571003408943"/>
  </r>
  <r>
    <x v="5"/>
    <s v="XXXVI"/>
    <n v="21"/>
    <n v="338.85"/>
    <n v="4909"/>
    <s v="GIVANIA MARIA BERTIN MAZIERI"/>
    <d v="2020-12-01T00:00:00"/>
    <n v="222483.99"/>
    <x v="0"/>
    <n v="217378.27000000002"/>
    <n v="0.9770512925446907"/>
  </r>
  <r>
    <x v="5"/>
    <s v="XXXVII"/>
    <n v="2"/>
    <n v="255.5"/>
    <n v="3944"/>
    <s v="LUCAS FABRICIO SALAMON"/>
    <d v="2014-10-02T00:00:00"/>
    <n v="112653.35"/>
    <x v="0"/>
    <n v="118048.2"/>
    <n v="1.047888944270188"/>
  </r>
  <r>
    <x v="5"/>
    <s v="XXXVII"/>
    <n v="7"/>
    <n v="255.5"/>
    <n v="4735"/>
    <s v="ELCIO LUIZ DOS SANTOS"/>
    <d v="2020-08-03T00:00:00"/>
    <n v="146640"/>
    <x v="0"/>
    <n v="135400"/>
    <n v="0.92334969994544458"/>
  </r>
  <r>
    <x v="5"/>
    <s v="XXXVII"/>
    <n v="11"/>
    <n v="255.5"/>
    <n v="3679"/>
    <s v="RAQUEL EUCANAS GOULART VIEIRA"/>
    <d v="2014-04-01T00:00:00"/>
    <n v="104037.94"/>
    <x v="1"/>
    <n v="183502.38"/>
    <n v="1.7638025128140753"/>
  </r>
  <r>
    <x v="5"/>
    <s v="XXXVII"/>
    <n v="12"/>
    <n v="255.5"/>
    <n v="4828"/>
    <s v="ELCIO LUIS BASSI"/>
    <d v="2020-10-02T00:00:00"/>
    <n v="152279.9"/>
    <x v="0"/>
    <n v="56706.75"/>
    <n v="0.37238499631271099"/>
  </r>
  <r>
    <x v="5"/>
    <s v="XXXVII"/>
    <n v="15"/>
    <n v="255.5"/>
    <n v="3909"/>
    <s v="RAFAEL FRANCISCO FRARE DE SIQUEIRA"/>
    <d v="2014-09-05T00:00:00"/>
    <n v="106295.01"/>
    <x v="1"/>
    <n v="195988.96"/>
    <n v="1.8438208905573272"/>
  </r>
  <r>
    <x v="5"/>
    <s v="XXXVII"/>
    <n v="16"/>
    <n v="255.5"/>
    <n v="3942"/>
    <s v="RAFAEL FRANCISCO FRARE DE SIQUEIRA"/>
    <d v="2014-10-01T00:00:00"/>
    <n v="106293.2"/>
    <x v="1"/>
    <n v="196120.53"/>
    <n v="1.845090090429115"/>
  </r>
  <r>
    <x v="5"/>
    <s v="XXXVII"/>
    <n v="20"/>
    <n v="255.5"/>
    <n v="4124"/>
    <s v="GILBERTO ZEQUIM MALDONADO"/>
    <d v="2014-11-01T00:00:00"/>
    <n v="127412.46"/>
    <x v="1"/>
    <n v="134534.07"/>
    <n v="1.0558941409654912"/>
  </r>
  <r>
    <x v="5"/>
    <s v="XXXVII"/>
    <n v="22"/>
    <n v="334.57"/>
    <n v="5155"/>
    <s v="LINDAMARA HUNKA"/>
    <d v="2016-03-14T00:00:00"/>
    <n v="189899.7"/>
    <x v="0"/>
    <n v="6324.9400000000005"/>
    <n v="3.3306740347667743E-2"/>
  </r>
  <r>
    <x v="5"/>
    <s v="XXXVII"/>
    <n v="25"/>
    <n v="254.5"/>
    <n v="3875"/>
    <s v="TEREZINHA ROSA DE SOUZA"/>
    <d v="2014-08-12T00:00:00"/>
    <n v="103131.2"/>
    <x v="1"/>
    <n v="86911.71"/>
    <n v="0.84272955225964608"/>
  </r>
  <r>
    <x v="5"/>
    <s v="XXXVII"/>
    <n v="33"/>
    <n v="254.5"/>
    <n v="6805"/>
    <s v="FERNANDO DE OLIVEIRA GARBETO"/>
    <d v="2018-12-15T00:00:00"/>
    <n v="155100"/>
    <x v="1"/>
    <n v="164056.62"/>
    <n v="1.0577473887814313"/>
  </r>
  <r>
    <x v="5"/>
    <s v="XXXVII"/>
    <n v="36"/>
    <n v="254.5"/>
    <n v="3757"/>
    <s v="HERMES RINALDIN"/>
    <d v="2014-06-01T00:00:00"/>
    <n v="105373.52"/>
    <x v="2"/>
    <n v="91457.74"/>
    <n v="0.86793854850820207"/>
  </r>
  <r>
    <x v="5"/>
    <s v="XXXVII"/>
    <n v="38"/>
    <n v="254.5"/>
    <n v="4290"/>
    <s v="LUIS GUSTAVO DOS SANTOS SAMPAIO"/>
    <d v="2020-06-19T00:00:00"/>
    <n v="161679.6"/>
    <x v="0"/>
    <n v="150057.07"/>
    <n v="0.92811381275065008"/>
  </r>
  <r>
    <x v="5"/>
    <s v="XXXVII"/>
    <n v="39"/>
    <n v="254.5"/>
    <n v="3748"/>
    <s v="AGUSTINHO FERREIRA CHAVES"/>
    <d v="2014-05-08T00:00:00"/>
    <n v="103642.57"/>
    <x v="0"/>
    <n v="105756.14"/>
    <n v="1.0203928752442166"/>
  </r>
  <r>
    <x v="5"/>
    <s v="XXXVII"/>
    <n v="41"/>
    <n v="254.5"/>
    <n v="3750"/>
    <s v="HELEN BERNARDO DA SILVA BENTO"/>
    <d v="2014-05-22T00:00:00"/>
    <n v="103642.57"/>
    <x v="1"/>
    <n v="48666.94"/>
    <n v="0.46956516033903828"/>
  </r>
  <r>
    <x v="5"/>
    <s v="XXXVII"/>
    <n v="42"/>
    <n v="353.3"/>
    <m/>
    <s v="EWERTON MITSUSTOCHI SUZUKI"/>
    <d v="2019-02-11T00:00:00"/>
    <n v="117660"/>
    <x v="0"/>
    <n v="47137.440000000002"/>
    <n v="0.40062417134115247"/>
  </r>
  <r>
    <x v="5"/>
    <s v="XXXVIII"/>
    <n v="1"/>
    <n v="343.2"/>
    <n v="5545"/>
    <s v="PAULO FERNANDO DOS SANTOS"/>
    <d v="2017-03-05T00:00:00"/>
    <n v="184805.89"/>
    <x v="2"/>
    <n v="197695.99"/>
    <n v="1.0697494003032044"/>
  </r>
  <r>
    <x v="5"/>
    <s v="XXXVIII"/>
    <n v="3"/>
    <n v="253.75"/>
    <n v="5131"/>
    <s v="DEBORA SALES RODRIGUES MACHADO"/>
    <d v="2016-03-01T00:00:00"/>
    <n v="130050"/>
    <x v="2"/>
    <n v="91569.51"/>
    <n v="0.70411003460207611"/>
  </r>
  <r>
    <x v="5"/>
    <s v="XXXVIII"/>
    <n v="6"/>
    <n v="253.75"/>
    <n v="4827"/>
    <s v="RAFAEL COMAR ALENCAR"/>
    <d v="2020-10-13T00:00:00"/>
    <n v="152280"/>
    <x v="0"/>
    <n v="122709.65000000001"/>
    <n v="0.80581593117940642"/>
  </r>
  <r>
    <x v="5"/>
    <s v="XXXVIII"/>
    <n v="12"/>
    <n v="253.75"/>
    <n v="4291"/>
    <s v="ROBERTSON RODRIGUES"/>
    <d v="2020-06-18T00:00:00"/>
    <n v="150400.4"/>
    <x v="2"/>
    <n v="150611.01999999999"/>
    <n v="1.0014003952117148"/>
  </r>
  <r>
    <x v="5"/>
    <s v="XXXVIII"/>
    <n v="14"/>
    <n v="253.75"/>
    <n v="4910"/>
    <s v="CARLOS JUNIO RIBEIRO SILVA"/>
    <d v="2015-08-04T00:00:00"/>
    <n v="142800.75"/>
    <x v="1"/>
    <n v="167357.28"/>
    <n v="1.1719635926281899"/>
  </r>
  <r>
    <x v="5"/>
    <s v="XXXVIII"/>
    <n v="16"/>
    <n v="253.75"/>
    <n v="4477"/>
    <s v="FELIPE PEREIRA SIMOES"/>
    <d v="2015-03-01T00:00:00"/>
    <n v="132999.9"/>
    <x v="0"/>
    <n v="127820.27"/>
    <n v="0.96105538425216863"/>
  </r>
  <r>
    <x v="5"/>
    <s v="XXXVIII"/>
    <n v="19"/>
    <n v="253.75"/>
    <n v="4792"/>
    <s v="ANA PAULA GRACINDO"/>
    <d v="2020-09-21T00:00:00"/>
    <n v="155041.67000000001"/>
    <x v="0"/>
    <n v="155414.33000000002"/>
    <n v="1.0024036118805997"/>
  </r>
  <r>
    <x v="5"/>
    <s v="XXXVIII"/>
    <n v="21"/>
    <n v="366.62"/>
    <n v="5314"/>
    <s v="ZENILDO BEZERRA DA SILVA"/>
    <d v="2016-10-15T00:00:00"/>
    <n v="208973.4"/>
    <x v="2"/>
    <n v="102878.67"/>
    <n v="0.49230509720375898"/>
  </r>
  <r>
    <x v="5"/>
    <s v="XXXVIII"/>
    <n v="22"/>
    <n v="365.62"/>
    <n v="4737"/>
    <s v="HERCULES MARCIO IDALINO"/>
    <d v="2020-08-21T00:00:00"/>
    <n v="223393.96"/>
    <x v="0"/>
    <n v="226231.54"/>
    <n v="1.0127021339341493"/>
  </r>
  <r>
    <x v="5"/>
    <s v="XXXVIII"/>
    <n v="26"/>
    <n v="255.25"/>
    <n v="5084"/>
    <s v="DANIEL FORCATO SANDOLI"/>
    <d v="2016-02-01T00:00:00"/>
    <n v="137000"/>
    <x v="0"/>
    <n v="88759.57"/>
    <n v="0.64788007299270078"/>
  </r>
  <r>
    <x v="5"/>
    <s v="XXXVIII"/>
    <n v="27"/>
    <n v="255.25"/>
    <n v="4099"/>
    <s v="CELIA GUERRA BICUDO"/>
    <d v="2014-11-01T00:00:00"/>
    <n v="127291.14"/>
    <x v="2"/>
    <n v="113527.7"/>
    <n v="0.89187432840965997"/>
  </r>
  <r>
    <x v="5"/>
    <s v="XXXVIII"/>
    <n v="30"/>
    <n v="255.25"/>
    <n v="3765"/>
    <s v="THIAGO PASQUETTO BURANELLO"/>
    <d v="2020-02-03T00:00:00"/>
    <n v="144172.48000000001"/>
    <x v="0"/>
    <n v="47899"/>
    <n v="0.3322340019398986"/>
  </r>
  <r>
    <x v="5"/>
    <s v="XXXVIII"/>
    <n v="39"/>
    <n v="255.25"/>
    <n v="3307"/>
    <s v="WELLINGTON CORONADO FABRI"/>
    <d v="2019-11-19T00:00:00"/>
    <n v="144172.5"/>
    <x v="0"/>
    <n v="42761.760000000002"/>
    <n v="0.29660136295063205"/>
  </r>
  <r>
    <x v="5"/>
    <s v="XXXVIII"/>
    <n v="40"/>
    <n v="255.25"/>
    <n v="5042"/>
    <s v="LUCILENE MARIA RODRIGUES"/>
    <d v="2015-12-01T00:00:00"/>
    <n v="136999.70000000001"/>
    <x v="0"/>
    <n v="131970.93"/>
    <n v="0.96329356925599097"/>
  </r>
  <r>
    <x v="5"/>
    <s v="XXXVIII"/>
    <n v="41"/>
    <n v="255.25"/>
    <n v="4925"/>
    <s v="EDER VASSOLER"/>
    <d v="2020-12-10T00:00:00"/>
    <n v="172959.2"/>
    <x v="0"/>
    <n v="136743.45000000001"/>
    <n v="0.79061102271518369"/>
  </r>
  <r>
    <x v="6"/>
    <s v="X"/>
    <n v="1"/>
    <n v="334.04"/>
    <m/>
    <s v="CLEBIO SELMO MARQUES"/>
    <d v="2019-02-13T00:00:00"/>
    <n v="156999.4"/>
    <x v="0"/>
    <n v="143793.04"/>
    <n v="0.91588273585758939"/>
  </r>
  <r>
    <x v="6"/>
    <s v="X"/>
    <n v="2"/>
    <n v="252.5"/>
    <n v="3470"/>
    <s v="PAULO SERGIO BARBOSA"/>
    <d v="2019-12-10T00:00:00"/>
    <n v="122200"/>
    <x v="2"/>
    <n v="123052.23"/>
    <n v="1.0069740589198035"/>
  </r>
  <r>
    <x v="6"/>
    <s v="X"/>
    <n v="27"/>
    <n v="252.5"/>
    <n v="3136"/>
    <s v="THAIS FERNANDA VASCONCELOS DOS SANTOS"/>
    <d v="2019-10-24T00:00:00"/>
    <n v="105280"/>
    <x v="0"/>
    <n v="107155.81"/>
    <n v="1.0178173442249241"/>
  </r>
  <r>
    <x v="6"/>
    <s v="X"/>
    <n v="28"/>
    <n v="439.76"/>
    <n v="3137"/>
    <s v="THAIS FERNANDA VASCONCELOS DOS SANTOS"/>
    <d v="2019-10-24T00:00:00"/>
    <n v="164500"/>
    <x v="0"/>
    <n v="167430.86000000002"/>
    <n v="1.0178167781155016"/>
  </r>
  <r>
    <x v="6"/>
    <s v="XIV"/>
    <n v="1"/>
    <n v="279.54000000000002"/>
    <n v="7103"/>
    <s v="BRUNO BORTOLETO CORA"/>
    <d v="2019-04-10T00:00:00"/>
    <n v="135325.26"/>
    <x v="0"/>
    <n v="98698.83"/>
    <n v="0.72934520872156461"/>
  </r>
  <r>
    <x v="6"/>
    <s v="XIV"/>
    <n v="2"/>
    <n v="257"/>
    <n v="7250"/>
    <s v="KAIO HENRIQUE ALBANO CAVALARI"/>
    <d v="2019-05-24T00:00:00"/>
    <n v="112800"/>
    <x v="2"/>
    <n v="113136.05"/>
    <n v="1.0029791666666668"/>
  </r>
  <r>
    <x v="6"/>
    <s v="XIV"/>
    <n v="3"/>
    <n v="257"/>
    <n v="6886"/>
    <s v="ANDREA BRENZAN ALVIM"/>
    <d v="2019-01-22T00:00:00"/>
    <n v="120790"/>
    <x v="0"/>
    <n v="122391.54000000001"/>
    <n v="1.0132588790462786"/>
  </r>
  <r>
    <x v="6"/>
    <s v="XIV"/>
    <n v="4"/>
    <n v="257"/>
    <n v="6881"/>
    <s v="ANDREA BRENZAN ALVIM"/>
    <d v="2019-01-18T00:00:00"/>
    <n v="120790"/>
    <x v="0"/>
    <n v="122391.54000000001"/>
    <n v="1.0132588790462786"/>
  </r>
  <r>
    <x v="6"/>
    <s v="XIV"/>
    <n v="10"/>
    <n v="257"/>
    <n v="4769"/>
    <s v="GABRIELLA MIDORI UENO MAZETI"/>
    <d v="2020-09-02T00:00:00"/>
    <n v="124080"/>
    <x v="0"/>
    <n v="114040.57"/>
    <n v="0.91908905544809805"/>
  </r>
  <r>
    <x v="6"/>
    <s v="XIV"/>
    <n v="11"/>
    <n v="257"/>
    <n v="4682"/>
    <s v="BRUNO BARBALHO SILVA"/>
    <d v="2020-08-07T00:00:00"/>
    <n v="119380"/>
    <x v="0"/>
    <n v="116719.3"/>
    <n v="0.97771234712682198"/>
  </r>
  <r>
    <x v="6"/>
    <s v="XIV"/>
    <n v="12"/>
    <n v="257"/>
    <n v="4667"/>
    <s v="SIDNEY ROEDA GARDENGUE"/>
    <d v="2020-08-07T00:00:00"/>
    <n v="122200"/>
    <x v="0"/>
    <n v="110146.38"/>
    <n v="0.90136153846153855"/>
  </r>
  <r>
    <x v="6"/>
    <s v="XIV"/>
    <n v="14"/>
    <n v="257"/>
    <n v="4676"/>
    <s v="GUSTAVO SHINJI YAMASHIRO SATO"/>
    <d v="2020-08-12T00:00:00"/>
    <n v="117876"/>
    <x v="2"/>
    <n v="118009.26000000001"/>
    <n v="1.0011305100274865"/>
  </r>
  <r>
    <x v="6"/>
    <s v="XIV"/>
    <n v="15"/>
    <n v="257"/>
    <n v="4784"/>
    <s v="MARCELO HENRIQUE PELEGRINI ROCHA"/>
    <d v="2020-09-24T00:00:00"/>
    <n v="124080"/>
    <x v="0"/>
    <n v="120063.49"/>
    <n v="0.96762967440361058"/>
  </r>
  <r>
    <x v="6"/>
    <s v="XIV"/>
    <n v="16"/>
    <n v="257"/>
    <n v="7135"/>
    <s v="NILTON CESAR GONCALVES CAMARGO"/>
    <d v="2019-04-22T00:00:00"/>
    <n v="111971.39"/>
    <x v="0"/>
    <n v="93246.47"/>
    <n v="0.8327704961061928"/>
  </r>
  <r>
    <x v="6"/>
    <s v="XIV"/>
    <n v="17"/>
    <n v="257"/>
    <n v="4311"/>
    <s v="GABRIELLA MIDORI UENO MAZETI"/>
    <d v="2020-06-01T00:00:00"/>
    <n v="124080"/>
    <x v="0"/>
    <n v="79074"/>
    <n v="0.63728239845261125"/>
  </r>
  <r>
    <x v="6"/>
    <s v="XIV"/>
    <n v="18"/>
    <n v="257"/>
    <n v="7102"/>
    <s v="APARECIDO FRANCESCHINI"/>
    <d v="2019-04-08T00:00:00"/>
    <n v="99530.91"/>
    <x v="1"/>
    <n v="103096.94"/>
    <n v="1.0358283672881119"/>
  </r>
  <r>
    <x v="6"/>
    <s v="XIV"/>
    <n v="19"/>
    <n v="257"/>
    <n v="7243"/>
    <s v="WILSON LOPES DE SOUSA JUNIOR"/>
    <d v="2019-05-10T00:00:00"/>
    <n v="99531.16"/>
    <x v="0"/>
    <n v="105207.59"/>
    <n v="1.0570316873630328"/>
  </r>
  <r>
    <x v="6"/>
    <s v="XIV"/>
    <n v="20"/>
    <n v="257"/>
    <n v="6814"/>
    <s v="MARCOS JOSE DE MOURA"/>
    <d v="2018-12-21T00:00:00"/>
    <n v="94000"/>
    <x v="0"/>
    <n v="19786.86"/>
    <n v="0.21049851063829789"/>
  </r>
  <r>
    <x v="6"/>
    <s v="XIV"/>
    <n v="21"/>
    <n v="257"/>
    <n v="6808"/>
    <s v="MARCOS JOSE DE MOURA"/>
    <d v="2018-12-21T00:00:00"/>
    <n v="94000"/>
    <x v="0"/>
    <n v="19786.86"/>
    <n v="0.21049851063829789"/>
  </r>
  <r>
    <x v="6"/>
    <s v="XIV"/>
    <n v="22"/>
    <n v="257"/>
    <n v="6834"/>
    <s v="JOAO BATISTA DA SILVA JUNIOR"/>
    <d v="2019-01-14T00:00:00"/>
    <n v="96632"/>
    <x v="0"/>
    <n v="64233.68"/>
    <n v="0.66472472886828382"/>
  </r>
  <r>
    <x v="6"/>
    <s v="XIV"/>
    <n v="23"/>
    <n v="261.19"/>
    <n v="3230"/>
    <s v="PATRICIA DE PAULA PADILHA"/>
    <d v="2019-11-04T00:00:00"/>
    <n v="101153.4"/>
    <x v="0"/>
    <n v="84887.64"/>
    <n v="0.83919710064120434"/>
  </r>
  <r>
    <x v="6"/>
    <s v="XIV"/>
    <n v="24"/>
    <n v="254.95"/>
    <n v="6777"/>
    <s v="WASHINGTON DE OLIVEIRA DRUMOND"/>
    <d v="2018-12-05T00:00:00"/>
    <n v="91068.14"/>
    <x v="0"/>
    <n v="63054.25"/>
    <n v="0.69238539405768029"/>
  </r>
  <r>
    <x v="6"/>
    <s v="XIV"/>
    <n v="25"/>
    <n v="254.95"/>
    <n v="3135"/>
    <s v="EMERSON SOUZA DE ALMEIDA"/>
    <d v="2019-10-22T00:00:00"/>
    <n v="93800.35"/>
    <x v="0"/>
    <n v="93431.5"/>
    <n v="0.99606771190086174"/>
  </r>
  <r>
    <x v="6"/>
    <s v="XIV"/>
    <n v="26"/>
    <n v="532.03"/>
    <n v="3101"/>
    <s v="ANDERSON FRANCO GIL"/>
    <d v="2019-09-20T00:00:00"/>
    <n v="195802"/>
    <x v="0"/>
    <n v="173894.21"/>
    <n v="0.88811253204768081"/>
  </r>
  <r>
    <x v="6"/>
    <s v="XVII"/>
    <n v="2"/>
    <n v="265.01"/>
    <n v="3227"/>
    <s v="BRUNO FERREIRA DA SILVA"/>
    <d v="2019-11-05T00:00:00"/>
    <n v="89300"/>
    <x v="0"/>
    <n v="75571.570000000007"/>
    <n v="0.84626618141097432"/>
  </r>
  <r>
    <x v="6"/>
    <s v="XVII"/>
    <n v="11"/>
    <n v="265.01"/>
    <m/>
    <s v="GUILHERME ROCHA HIDALGO MORENO"/>
    <d v="2019-02-18T00:00:00"/>
    <n v="76916.350000000006"/>
    <x v="2"/>
    <n v="67189.100000000006"/>
    <n v="0.87353469060869371"/>
  </r>
  <r>
    <x v="6"/>
    <s v="XVII"/>
    <n v="15"/>
    <n v="264.81"/>
    <n v="7016"/>
    <s v="WILSON ALESSANDRO DOS SANTOS"/>
    <d v="2019-02-14T00:00:00"/>
    <n v="74676.42"/>
    <x v="0"/>
    <n v="67664.33"/>
    <n v="0.90610034599944678"/>
  </r>
  <r>
    <x v="6"/>
    <s v="XVII"/>
    <n v="16"/>
    <n v="264.81"/>
    <n v="3076"/>
    <s v="JUVENAL TENORIO DA ROCHA"/>
    <d v="2019-09-02T00:00:00"/>
    <n v="73131.649999999994"/>
    <x v="0"/>
    <n v="70478.55"/>
    <n v="0.96372158976311906"/>
  </r>
  <r>
    <x v="6"/>
    <s v="XVII"/>
    <n v="17"/>
    <n v="372.89"/>
    <m/>
    <s v="PRISCILA JESSILYN DA ROCHA"/>
    <d v="2019-02-15T00:00:00"/>
    <n v="105154.98"/>
    <x v="0"/>
    <n v="79945.210000000006"/>
    <n v="0.760260807429187"/>
  </r>
  <r>
    <x v="7"/>
    <s v="L"/>
    <n v="1"/>
    <n v="382.45"/>
    <n v="4973"/>
    <s v="SIDNEY RUFINO BELARDI"/>
    <d v="2021-01-06T00:00:00"/>
    <n v="183300"/>
    <x v="0"/>
    <n v="166421.07"/>
    <n v="0.90791636661211128"/>
  </r>
  <r>
    <x v="7"/>
    <s v="L"/>
    <n v="2"/>
    <n v="255.91"/>
    <m/>
    <s v="GUILHERME NEVES BORGES"/>
    <d v="2019-08-14T00:00:00"/>
    <n v="101520"/>
    <x v="0"/>
    <n v="101636.14"/>
    <n v="1.0011440110323089"/>
  </r>
  <r>
    <x v="7"/>
    <s v="L"/>
    <n v="3"/>
    <n v="252.96"/>
    <n v="4213"/>
    <s v="VANESSA FRAGA DE ALMEIDA"/>
    <d v="2020-06-10T00:00:00"/>
    <n v="101520"/>
    <x v="0"/>
    <n v="100213.66"/>
    <n v="0.98713219070133962"/>
  </r>
  <r>
    <x v="7"/>
    <s v="L"/>
    <n v="4"/>
    <n v="266.76"/>
    <n v="3110"/>
    <s v="ROBERTA ALINE SCATAMBURGO"/>
    <d v="2019-10-03T00:00:00"/>
    <n v="99640.8"/>
    <x v="0"/>
    <n v="94160.8"/>
    <n v="0.94500244879607553"/>
  </r>
  <r>
    <x v="7"/>
    <s v="L"/>
    <n v="5"/>
    <n v="266.76"/>
    <n v="3737"/>
    <s v="THIAGO RUFINO DE OLIVEIRA GOMES"/>
    <d v="2020-02-03T00:00:00"/>
    <n v="101519.4"/>
    <x v="0"/>
    <n v="84908.22"/>
    <n v="0.83637432845347792"/>
  </r>
  <r>
    <x v="7"/>
    <s v="L"/>
    <n v="6"/>
    <n v="266.76"/>
    <n v="3818"/>
    <s v="ALEXANDRE MARTINS MOREIRA"/>
    <d v="2020-03-17T00:00:00"/>
    <n v="101520"/>
    <x v="0"/>
    <n v="84232.14"/>
    <n v="0.82970981087470452"/>
  </r>
  <r>
    <x v="7"/>
    <s v="L"/>
    <n v="7"/>
    <n v="266.76"/>
    <n v="3229"/>
    <s v="DIEGO RODRIGUES"/>
    <d v="2019-11-04T00:00:00"/>
    <n v="101520"/>
    <x v="0"/>
    <n v="100827.08"/>
    <n v="0.99317454688731288"/>
  </r>
  <r>
    <x v="7"/>
    <s v="L"/>
    <n v="8"/>
    <n v="266.76"/>
    <n v="3102"/>
    <s v="LUCIVANA DOS SANTOS"/>
    <d v="2019-09-27T00:00:00"/>
    <n v="101520"/>
    <x v="0"/>
    <n v="100911.41"/>
    <n v="0.99400522064617813"/>
  </r>
  <r>
    <x v="7"/>
    <s v="L"/>
    <n v="9"/>
    <n v="266.76"/>
    <n v="4186"/>
    <s v="MARCELLE ZACARIAS SILVA TOLENTINO BEZERRA"/>
    <d v="2020-06-15T00:00:00"/>
    <n v="101520"/>
    <x v="0"/>
    <n v="87977.37"/>
    <n v="0.86660135933806137"/>
  </r>
  <r>
    <x v="7"/>
    <s v="L"/>
    <n v="11"/>
    <n v="266.76"/>
    <n v="4678"/>
    <s v="ALEXANDRE CASSIO BENITES DA SILVA"/>
    <d v="2020-08-14T00:00:00"/>
    <n v="108100"/>
    <x v="0"/>
    <n v="106915.02"/>
    <n v="0.98903811285846444"/>
  </r>
  <r>
    <x v="7"/>
    <s v="L"/>
    <n v="12"/>
    <n v="266.76"/>
    <n v="4395"/>
    <s v="THIAGO AUGUSTO RIGONI"/>
    <d v="2020-07-05T00:00:00"/>
    <n v="101520.1"/>
    <x v="0"/>
    <n v="85429.2"/>
    <n v="0.84150035313203975"/>
  </r>
  <r>
    <x v="7"/>
    <s v="L"/>
    <n v="15"/>
    <n v="266.76"/>
    <n v="4166"/>
    <s v="MARCIO MERINO DE  LIMA"/>
    <d v="2020-06-10T00:00:00"/>
    <n v="101520"/>
    <x v="0"/>
    <n v="101052.87"/>
    <n v="0.99539864066193851"/>
  </r>
  <r>
    <x v="7"/>
    <s v="L"/>
    <n v="16"/>
    <n v="361.11"/>
    <n v="4979"/>
    <s v="GLEYSON KELVIN NOGUEIRA QUEIROZ"/>
    <d v="2021-01-19T00:00:00"/>
    <n v="175109.63"/>
    <x v="0"/>
    <n v="169459.81"/>
    <n v="0.96773552659553896"/>
  </r>
  <r>
    <x v="7"/>
    <s v="LI"/>
    <n v="8"/>
    <n v="267.08"/>
    <n v="6793"/>
    <s v="PRISCILA GARCIA NEGRELI"/>
    <d v="2018-12-05T00:00:00"/>
    <n v="125527.55"/>
    <x v="2"/>
    <n v="146000.81"/>
    <n v="1.1630977422884459"/>
  </r>
  <r>
    <x v="7"/>
    <s v="LI"/>
    <n v="14"/>
    <n v="349"/>
    <n v="5004"/>
    <s v="ANDERSON BATISTA DA SILVA"/>
    <d v="2021-01-20T00:00:00"/>
    <n v="182074.2"/>
    <x v="0"/>
    <n v="175430.12"/>
    <n v="0.96350894305728096"/>
  </r>
  <r>
    <x v="7"/>
    <s v="XLIV"/>
    <n v="2"/>
    <n v="302.08"/>
    <n v="4808"/>
    <s v="GUILHERME SOUZA MIGUELETE"/>
    <d v="2020-10-07T00:00:00"/>
    <n v="147698.46"/>
    <x v="0"/>
    <n v="95234.2"/>
    <n v="0.6447880363816928"/>
  </r>
  <r>
    <x v="7"/>
    <s v="XLIV"/>
    <n v="3"/>
    <n v="302.08"/>
    <n v="3802"/>
    <s v="FABRICIO DELFINO DOS SANTOS"/>
    <d v="2020-03-06T00:00:00"/>
    <n v="171000"/>
    <x v="0"/>
    <n v="91276.800000000003"/>
    <n v="0.53378245614035091"/>
  </r>
  <r>
    <x v="7"/>
    <s v="XLIV"/>
    <n v="4"/>
    <n v="321.25"/>
    <n v="4266"/>
    <s v="NELSON LEITE DOS SANTOS FILHO"/>
    <d v="2020-06-19T00:00:00"/>
    <n v="172020"/>
    <x v="0"/>
    <n v="92046.27"/>
    <n v="0.53509051273107777"/>
  </r>
  <r>
    <x v="7"/>
    <s v="XLIV"/>
    <n v="5"/>
    <n v="302.08"/>
    <n v="3902"/>
    <s v="LEANDRO DA SILVA CREPALDI"/>
    <d v="2020-05-30T00:00:00"/>
    <n v="182360"/>
    <x v="0"/>
    <n v="188344.31"/>
    <n v="1.032815913577539"/>
  </r>
  <r>
    <x v="7"/>
    <s v="XLIX"/>
    <n v="1"/>
    <n v="333.9"/>
    <n v="5001"/>
    <s v="JULIANO CEZAR GOUVEIA"/>
    <d v="2021-01-15T00:00:00"/>
    <n v="169200"/>
    <x v="0"/>
    <n v="164208.35"/>
    <n v="0.97049852245862889"/>
  </r>
  <r>
    <x v="7"/>
    <s v="XLIX"/>
    <n v="3"/>
    <n v="250.41"/>
    <n v="4839"/>
    <s v="PAULO MENDONÇA FELIX PESSOA"/>
    <d v="2020-10-19T00:00:00"/>
    <n v="126532.68"/>
    <x v="0"/>
    <n v="125244.38"/>
    <n v="0.98981844057993562"/>
  </r>
  <r>
    <x v="7"/>
    <s v="XLIX"/>
    <n v="4"/>
    <n v="250.41"/>
    <n v="4520"/>
    <s v="AUGUSTO CESAR DA SILVA MOREIRA"/>
    <d v="2020-07-06T00:00:00"/>
    <n v="108100"/>
    <x v="0"/>
    <n v="106952.13"/>
    <n v="0.98938140610545799"/>
  </r>
  <r>
    <x v="7"/>
    <s v="XLIX"/>
    <n v="5"/>
    <n v="256.73"/>
    <n v="7118"/>
    <s v="INGRID RODRIGUES PAULINO"/>
    <d v="2019-04-09T00:00:00"/>
    <n v="120554.72"/>
    <x v="0"/>
    <n v="125937.31"/>
    <n v="1.0446485214349135"/>
  </r>
  <r>
    <x v="7"/>
    <s v="XLIX"/>
    <n v="6"/>
    <n v="256.73"/>
    <n v="4793"/>
    <s v="VALDEMIR RICCI"/>
    <d v="2020-09-24T00:00:00"/>
    <n v="108100"/>
    <x v="0"/>
    <n v="59534.76"/>
    <n v="0.55073783533765031"/>
  </r>
  <r>
    <x v="7"/>
    <s v="XLIX"/>
    <n v="7"/>
    <n v="256.73"/>
    <n v="6872"/>
    <s v="RYANDER ALVES PEREIRA CRIVILIM"/>
    <d v="2019-01-17T00:00:00"/>
    <n v="104635.72"/>
    <x v="0"/>
    <n v="4715.1000000000004"/>
    <n v="4.5062049556308305E-2"/>
  </r>
  <r>
    <x v="7"/>
    <s v="XLIX"/>
    <n v="9"/>
    <n v="256.73"/>
    <n v="3138"/>
    <s v="KARLA CAROLINA CARNIETTO TEODORO"/>
    <d v="2019-10-23T00:00:00"/>
    <n v="106220.55"/>
    <x v="0"/>
    <n v="57416.08"/>
    <n v="0.54053645928212568"/>
  </r>
  <r>
    <x v="7"/>
    <s v="XLIX"/>
    <n v="10"/>
    <n v="256.73"/>
    <n v="4521"/>
    <s v="FRANCISCO FERNANDES JUNIOR"/>
    <d v="2020-07-17T00:00:00"/>
    <n v="103400"/>
    <x v="0"/>
    <n v="37505.520000000004"/>
    <n v="0.36272263056092846"/>
  </r>
  <r>
    <x v="7"/>
    <s v="XLIX"/>
    <n v="11"/>
    <n v="256.73"/>
    <n v="4519"/>
    <s v="DOUGLAS DUARTE VIEIRA"/>
    <d v="2020-07-17T00:00:00"/>
    <n v="103400"/>
    <x v="0"/>
    <n v="50007.12"/>
    <n v="0.48362785299806577"/>
  </r>
  <r>
    <x v="7"/>
    <s v="XLIX"/>
    <n v="12"/>
    <n v="256.73"/>
    <n v="4581"/>
    <s v="CLEONILDO DA SILVA POGGIAN"/>
    <d v="2020-07-22T00:00:00"/>
    <n v="101520"/>
    <x v="0"/>
    <n v="63550.93"/>
    <n v="0.62599418833727349"/>
  </r>
  <r>
    <x v="7"/>
    <s v="XLIX"/>
    <n v="13"/>
    <n v="256.73"/>
    <n v="3763"/>
    <s v="MARCELO NAVARRO MODESTO"/>
    <d v="2020-02-04T00:00:00"/>
    <n v="108099.75"/>
    <x v="0"/>
    <n v="99395.72"/>
    <n v="0.91948149741326879"/>
  </r>
  <r>
    <x v="7"/>
    <s v="XLIX"/>
    <n v="14"/>
    <n v="256.73"/>
    <n v="4648"/>
    <s v="GUILHERME RODRIGUES SPOLADOR"/>
    <d v="2020-08-03T00:00:00"/>
    <n v="103399.8"/>
    <x v="0"/>
    <n v="18082.14"/>
    <n v="0.17487596687807905"/>
  </r>
  <r>
    <x v="7"/>
    <s v="XLIX"/>
    <n v="15"/>
    <n v="256.73"/>
    <n v="4670"/>
    <s v="VINICIUS NOGUEIRA DE PAULA"/>
    <d v="2020-08-21T00:00:00"/>
    <n v="108100.6"/>
    <x v="0"/>
    <n v="95918.61"/>
    <n v="0.88730876609380516"/>
  </r>
  <r>
    <x v="7"/>
    <s v="XLIX"/>
    <n v="16"/>
    <n v="256.73"/>
    <m/>
    <s v="WILLIAM EVANGELISTA TEODORO"/>
    <d v="2019-08-14T00:00:00"/>
    <n v="108100"/>
    <x v="1"/>
    <n v="110778.42"/>
    <n v="1.0247772432932469"/>
  </r>
  <r>
    <x v="7"/>
    <s v="XLIX"/>
    <n v="17"/>
    <n v="256.73"/>
    <n v="4952"/>
    <s v="BRUNO HENRIQUE FAGUNDES DE SOUZA"/>
    <d v="2020-12-18T00:00:00"/>
    <n v="134176.66"/>
    <x v="0"/>
    <n v="92377.33"/>
    <n v="0.68847540250293904"/>
  </r>
  <r>
    <x v="7"/>
    <s v="XLIX"/>
    <n v="26"/>
    <n v="263.97000000000003"/>
    <m/>
    <s v="MARCOS RIBEIRO MORGAN"/>
    <d v="2019-06-20T00:00:00"/>
    <n v="117500"/>
    <x v="2"/>
    <n v="21088.87"/>
    <n v="0.17947974468085107"/>
  </r>
  <r>
    <x v="7"/>
    <s v="XLIX"/>
    <n v="27"/>
    <n v="263.97000000000003"/>
    <n v="3786"/>
    <s v="MARCOS RIBEIRO MORGAN"/>
    <d v="2020-02-06T00:00:00"/>
    <n v="117500"/>
    <x v="2"/>
    <n v="84110.22"/>
    <n v="0.71583165957446815"/>
  </r>
  <r>
    <x v="7"/>
    <s v="XLV"/>
    <n v="2"/>
    <n v="263.04000000000002"/>
    <n v="4993"/>
    <s v="RENATO ZANIN"/>
    <d v="2021-01-26T00:00:00"/>
    <n v="159471.6"/>
    <x v="0"/>
    <n v="154766.51"/>
    <n v="0.97049574971342867"/>
  </r>
  <r>
    <x v="7"/>
    <s v="XLV"/>
    <n v="11"/>
    <n v="268.16000000000003"/>
    <n v="3819"/>
    <s v="ALEX CAETANO DA SILVA"/>
    <d v="2020-03-10T00:00:00"/>
    <n v="129815.67999999999"/>
    <x v="0"/>
    <n v="125789.72"/>
    <n v="0.96898710540976263"/>
  </r>
  <r>
    <x v="7"/>
    <s v="XLV"/>
    <n v="12"/>
    <n v="268.16000000000003"/>
    <n v="4885"/>
    <s v="ANGELO MOZZAQUATRO"/>
    <d v="2020-11-12T00:00:00"/>
    <n v="137604.69"/>
    <x v="0"/>
    <n v="133975.83000000002"/>
    <n v="0.97362836978884959"/>
  </r>
  <r>
    <x v="7"/>
    <s v="XLV"/>
    <n v="19"/>
    <n v="295.02999999999997"/>
    <n v="4867"/>
    <s v="MATHEUS ASTH DA SILVA"/>
    <d v="2020-11-03T00:00:00"/>
    <n v="148519.79999999999"/>
    <x v="0"/>
    <n v="131462.06"/>
    <n v="0.88514837752272768"/>
  </r>
  <r>
    <x v="7"/>
    <s v="XLVI"/>
    <n v="1"/>
    <n v="275.70999999999998"/>
    <n v="3149"/>
    <s v="ROBERTO LUIZ REYS LOPEZ"/>
    <d v="2019-10-23T00:00:00"/>
    <n v="194694.97"/>
    <x v="0"/>
    <n v="60198.520000000004"/>
    <n v="0.30919401769855692"/>
  </r>
  <r>
    <x v="7"/>
    <s v="XLVI"/>
    <n v="2"/>
    <n v="275.70999999999998"/>
    <n v="4849"/>
    <s v="RENATO ZUNTINI MUNIZ MEIBORG"/>
    <d v="2020-10-29T00:00:00"/>
    <n v="146640"/>
    <x v="0"/>
    <n v="112651.28"/>
    <n v="0.76821658483360611"/>
  </r>
  <r>
    <x v="7"/>
    <s v="XLVI"/>
    <n v="3"/>
    <n v="252.75"/>
    <n v="4912"/>
    <s v="PEDRO LUIS ALVES DE OLIVEIRA"/>
    <d v="2020-12-01T00:00:00"/>
    <n v="153043.28"/>
    <x v="0"/>
    <n v="149531.79"/>
    <n v="0.97705557539017729"/>
  </r>
  <r>
    <x v="7"/>
    <s v="XLVI"/>
    <n v="4"/>
    <n v="252.75"/>
    <m/>
    <s v="PAULO MASSAYOSHI TANNO"/>
    <d v="2019-02-18T00:00:00"/>
    <n v="136300"/>
    <x v="1"/>
    <n v="95410.47"/>
    <n v="0.70000344827586203"/>
  </r>
  <r>
    <x v="7"/>
    <s v="XLVI"/>
    <n v="5"/>
    <n v="252.75"/>
    <n v="4683"/>
    <s v="GIOVANNA NATALIE RIBEIRO DE CASTRO"/>
    <d v="2020-08-14T00:00:00"/>
    <n v="137240"/>
    <x v="0"/>
    <n v="137765.15"/>
    <n v="1.003826508306616"/>
  </r>
  <r>
    <x v="7"/>
    <s v="XLVI"/>
    <n v="6"/>
    <n v="252.75"/>
    <n v="4518"/>
    <s v="RAFAELA MAICHAK DE CARVALHO"/>
    <d v="2020-07-03T00:00:00"/>
    <n v="138604.53"/>
    <x v="0"/>
    <n v="104581.39"/>
    <n v="0.75453082233315172"/>
  </r>
  <r>
    <x v="7"/>
    <s v="XLVI"/>
    <n v="7"/>
    <n v="252.75"/>
    <n v="4878"/>
    <s v="JOAO BATISTA DE LIMA"/>
    <d v="2020-11-27T00:00:00"/>
    <n v="141000"/>
    <x v="0"/>
    <n v="100068.15000000001"/>
    <n v="0.70970319148936178"/>
  </r>
  <r>
    <x v="7"/>
    <s v="XLVI"/>
    <n v="8"/>
    <n v="252.75"/>
    <n v="4879"/>
    <s v="JOAO BATISTA DE LIMA"/>
    <d v="2020-11-27T00:00:00"/>
    <n v="141000"/>
    <x v="0"/>
    <n v="100068.15000000001"/>
    <n v="0.70970319148936178"/>
  </r>
  <r>
    <x v="7"/>
    <s v="XLVI"/>
    <n v="9"/>
    <n v="252.75"/>
    <n v="4880"/>
    <s v="JOAO BATISTA DE LIMA"/>
    <d v="2020-11-27T00:00:00"/>
    <n v="141000"/>
    <x v="0"/>
    <n v="100068.15000000001"/>
    <n v="0.70970319148936178"/>
  </r>
  <r>
    <x v="7"/>
    <s v="XLVI"/>
    <n v="10"/>
    <n v="252.75"/>
    <n v="4882"/>
    <s v="JOAO BATISTA DE LIMA"/>
    <d v="2020-11-27T00:00:00"/>
    <n v="141000"/>
    <x v="0"/>
    <n v="100068.15000000001"/>
    <n v="0.70970319148936178"/>
  </r>
  <r>
    <x v="7"/>
    <s v="XLVI"/>
    <n v="11"/>
    <n v="252.75"/>
    <n v="5003"/>
    <s v="ROBSON SAKAMOTO BATILANI"/>
    <d v="2021-01-19T00:00:00"/>
    <n v="159800"/>
    <x v="0"/>
    <n v="154841.66"/>
    <n v="0.96897158948685858"/>
  </r>
  <r>
    <x v="7"/>
    <s v="XLVI"/>
    <n v="12"/>
    <n v="252.75"/>
    <n v="4977"/>
    <s v="ALESSANDRO LUIS LEITE"/>
    <d v="2021-01-12T00:00:00"/>
    <n v="160694.46"/>
    <x v="0"/>
    <n v="154517.72"/>
    <n v="0.96156220942526582"/>
  </r>
  <r>
    <x v="7"/>
    <s v="XLVII"/>
    <n v="2"/>
    <n v="261.33999999999997"/>
    <n v="4829"/>
    <s v="ROMILDA PEREIRA PINHO"/>
    <d v="2020-10-09T00:00:00"/>
    <n v="143312.4"/>
    <x v="0"/>
    <n v="121587.82"/>
    <n v="0.84841102374951516"/>
  </r>
  <r>
    <x v="7"/>
    <s v="XLVII"/>
    <n v="3"/>
    <n v="261.33999999999997"/>
    <n v="4830"/>
    <s v="ROMILDA PEREIRA PINHO"/>
    <d v="2020-10-09T00:00:00"/>
    <n v="143312.4"/>
    <x v="0"/>
    <n v="121587.82"/>
    <n v="0.84841102374951516"/>
  </r>
  <r>
    <x v="7"/>
    <s v="XLVII"/>
    <n v="4"/>
    <n v="261.33999999999997"/>
    <n v="3738"/>
    <s v="NATANY CARDOZO RODRIGUES"/>
    <d v="2020-02-03T00:00:00"/>
    <n v="151818.43"/>
    <x v="0"/>
    <n v="153441.72"/>
    <n v="1.0106923118622686"/>
  </r>
  <r>
    <x v="7"/>
    <s v="XLVII"/>
    <n v="6"/>
    <n v="257.64"/>
    <n v="4783"/>
    <s v="LUIZ NOGUEIRA MONTEIRO NETTO"/>
    <d v="2020-09-25T00:00:00"/>
    <n v="143934.10999999999"/>
    <x v="0"/>
    <n v="68138.009999999995"/>
    <n v="0.47339723711078635"/>
  </r>
  <r>
    <x v="7"/>
    <s v="XLVII"/>
    <n v="7"/>
    <n v="257.64"/>
    <n v="4886"/>
    <s v="DAVID CANDIDO DO NASCIMENTO"/>
    <d v="2020-11-18T00:00:00"/>
    <n v="158648.32999999999"/>
    <x v="0"/>
    <n v="141047.53"/>
    <n v="0.88905776694907546"/>
  </r>
  <r>
    <x v="7"/>
    <s v="XLVII"/>
    <n v="8"/>
    <n v="257.64"/>
    <n v="4912"/>
    <s v="FLAVIO GONCALVES DA COSTA"/>
    <d v="2020-12-01T00:00:00"/>
    <n v="155100.79999999999"/>
    <x v="0"/>
    <n v="147970.66"/>
    <n v="0.95402899275825792"/>
  </r>
  <r>
    <x v="7"/>
    <s v="XLVII"/>
    <n v="9"/>
    <n v="257.64"/>
    <n v="2958"/>
    <s v="BRUNO CESAR BOZELLI"/>
    <d v="2019-09-09T00:00:00"/>
    <n v="141000.6"/>
    <x v="0"/>
    <n v="133288.5"/>
    <n v="0.9453044880660082"/>
  </r>
  <r>
    <x v="7"/>
    <s v="XLVII"/>
    <n v="10"/>
    <n v="311.27999999999997"/>
    <n v="4924"/>
    <s v="VANESSA VALERO MOREIRA"/>
    <d v="2020-12-11T00:00:00"/>
    <n v="191677.63"/>
    <x v="0"/>
    <n v="189533.29"/>
    <n v="0.98881277903947373"/>
  </r>
  <r>
    <x v="7"/>
    <s v="XLVII"/>
    <n v="19"/>
    <n v="253.57"/>
    <n v="4948"/>
    <s v="MARIANY SOUZA CARVALHO"/>
    <d v="2020-12-09T00:00:00"/>
    <n v="156141.54"/>
    <x v="0"/>
    <n v="153039.9"/>
    <n v="0.9801357153259791"/>
  </r>
  <r>
    <x v="7"/>
    <s v="XLVII"/>
    <n v="20"/>
    <n v="253.57"/>
    <n v="4913"/>
    <s v="DANIEL REBOLO"/>
    <d v="2020-12-01T00:00:00"/>
    <n v="152280"/>
    <x v="0"/>
    <n v="140741.85"/>
    <n v="0.92423069345941689"/>
  </r>
  <r>
    <x v="7"/>
    <s v="XLVII"/>
    <n v="22"/>
    <n v="253.57"/>
    <n v="4739"/>
    <s v="KAUANA TORRES DE SOUSA"/>
    <d v="2020-08-19T00:00:00"/>
    <n v="147303.56"/>
    <x v="0"/>
    <n v="120802.07"/>
    <n v="0.82008927686472755"/>
  </r>
  <r>
    <x v="7"/>
    <s v="XLVII"/>
    <n v="23"/>
    <n v="251.38"/>
    <n v="4736"/>
    <s v="MARCO ANTONIO DE OLIVEIRA"/>
    <d v="2020-08-21T00:00:00"/>
    <n v="145700"/>
    <x v="0"/>
    <n v="143876.74"/>
    <n v="0.9874862045298558"/>
  </r>
  <r>
    <x v="7"/>
    <s v="XLVII"/>
    <n v="24"/>
    <n v="254.49"/>
    <n v="4671"/>
    <s v="SIMEIRE ANTONIELI DOS SANTOS FALEIROS"/>
    <d v="2020-08-14T00:00:00"/>
    <n v="140530.9"/>
    <x v="0"/>
    <n v="140264.11000000002"/>
    <n v="0.99810155631252639"/>
  </r>
  <r>
    <x v="7"/>
    <s v="XLVII"/>
    <n v="25"/>
    <n v="254.49"/>
    <n v="4811"/>
    <s v="ARIEL LUCCHESI DELIBERADOR"/>
    <d v="2020-10-01T00:00:00"/>
    <n v="140999.6"/>
    <x v="0"/>
    <n v="133995.33000000002"/>
    <n v="0.95032418531683782"/>
  </r>
  <r>
    <x v="7"/>
    <s v="XLVIII"/>
    <n v="3"/>
    <n v="254.31"/>
    <n v="3228"/>
    <s v="LUCCAS PACHECO SILVEIRA"/>
    <d v="2019-11-08T00:00:00"/>
    <n v="122200"/>
    <x v="0"/>
    <n v="122097.2"/>
    <n v="0.99915875613747951"/>
  </r>
  <r>
    <x v="7"/>
    <s v="XLVIII"/>
    <n v="4"/>
    <n v="254.31"/>
    <n v="7045"/>
    <s v="BRUNO ADRIANO DA SILVA"/>
    <d v="2019-03-08T00:00:00"/>
    <n v="121102.67"/>
    <x v="0"/>
    <n v="21521.84"/>
    <n v="0.1777156523468888"/>
  </r>
  <r>
    <x v="7"/>
    <s v="XLVIII"/>
    <n v="6"/>
    <n v="256.60000000000002"/>
    <n v="3226"/>
    <s v="BRUNO FERREIRA DA SILVA"/>
    <d v="2019-11-05T00:00:00"/>
    <n v="122200"/>
    <x v="0"/>
    <n v="76971.040000000008"/>
    <n v="0.62987757774140762"/>
  </r>
  <r>
    <x v="7"/>
    <s v="XLVIII"/>
    <n v="7"/>
    <n v="256.60000000000002"/>
    <n v="3697"/>
    <s v="VAGNER RODRIGO CREPALDI"/>
    <d v="2020-01-14T00:00:00"/>
    <n v="135700"/>
    <x v="0"/>
    <n v="121224"/>
    <n v="0.89332350773765656"/>
  </r>
  <r>
    <x v="7"/>
    <s v="XLVIII"/>
    <n v="8"/>
    <n v="256.60000000000002"/>
    <n v="6873"/>
    <s v="RAPHAEL AUGUSTO FERREIRA"/>
    <d v="2019-01-22T00:00:00"/>
    <n v="127838.12"/>
    <x v="0"/>
    <n v="56127.12"/>
    <n v="0.439048384003144"/>
  </r>
  <r>
    <x v="7"/>
    <s v="XLVIII"/>
    <n v="9"/>
    <n v="256.60000000000002"/>
    <m/>
    <s v="DERIQUE APARECIDO BORTHOLAZZI"/>
    <d v="2019-08-01T00:00:00"/>
    <n v="122199.6"/>
    <x v="0"/>
    <n v="115832.24"/>
    <n v="0.94789377379304018"/>
  </r>
  <r>
    <x v="7"/>
    <s v="XLVIII"/>
    <n v="10"/>
    <n v="256.60000000000002"/>
    <n v="4947"/>
    <s v="DIEGO FRANCISCO PAES"/>
    <d v="2020-12-07T00:00:00"/>
    <n v="129532"/>
    <x v="0"/>
    <n v="95834.559999999998"/>
    <n v="0.73985239168699624"/>
  </r>
  <r>
    <x v="7"/>
    <s v="XLVIII"/>
    <n v="11"/>
    <n v="256.60000000000002"/>
    <n v="3700"/>
    <s v="EMERSON FERREIRA DA CUNHA"/>
    <d v="2020-01-09T00:00:00"/>
    <n v="122200.2"/>
    <x v="0"/>
    <n v="83568.63"/>
    <n v="0.68386655668321339"/>
  </r>
  <r>
    <x v="7"/>
    <s v="XLVIII"/>
    <n v="12"/>
    <n v="256.60000000000002"/>
    <n v="4951"/>
    <s v="JOAO HENRIQUE ALVES"/>
    <d v="2020-12-14T00:00:00"/>
    <n v="130567.98"/>
    <x v="0"/>
    <n v="83300.3"/>
    <n v="0.63798413669262555"/>
  </r>
  <r>
    <x v="7"/>
    <s v="XLVIII"/>
    <n v="13"/>
    <n v="256.60000000000002"/>
    <n v="6788"/>
    <s v="ANTONIO DONIZETI GARCIA"/>
    <d v="2018-12-05T00:00:00"/>
    <n v="122668.19"/>
    <x v="0"/>
    <n v="107561.89"/>
    <n v="0.87685234452387373"/>
  </r>
  <r>
    <x v="7"/>
    <s v="XLVIII"/>
    <n v="14"/>
    <n v="256.60000000000002"/>
    <n v="6789"/>
    <s v="AILTON HORACIO GARCIA"/>
    <d v="2018-12-05T00:00:00"/>
    <n v="122668.19"/>
    <x v="0"/>
    <n v="107561.89"/>
    <n v="0.87685234452387373"/>
  </r>
  <r>
    <x v="7"/>
    <s v="XLVIII"/>
    <n v="15"/>
    <n v="256.60000000000002"/>
    <n v="4938"/>
    <s v="ANDERSON NOVAES CORDEIRO"/>
    <d v="2020-12-11T00:00:00"/>
    <n v="129532"/>
    <x v="0"/>
    <n v="87044.55"/>
    <n v="0.67199263502454998"/>
  </r>
  <r>
    <x v="7"/>
    <s v="XLVIII"/>
    <n v="16"/>
    <n v="256.60000000000002"/>
    <n v="4868"/>
    <s v="CARLOS HENRIQUE ANDRADE BARBOSA"/>
    <d v="2020-11-12T00:00:00"/>
    <n v="129532.6"/>
    <x v="0"/>
    <n v="124026.19"/>
    <n v="0.95749016077805893"/>
  </r>
  <r>
    <x v="7"/>
    <s v="XLVIII"/>
    <n v="17"/>
    <n v="256.60000000000002"/>
    <n v="4950"/>
    <s v="RONALDO ALEXANDRE FERIATO"/>
    <d v="2020-12-09T00:00:00"/>
    <n v="129532"/>
    <x v="0"/>
    <n v="126978.51000000001"/>
    <n v="0.98028680171695037"/>
  </r>
  <r>
    <x v="7"/>
    <s v="XLVIII"/>
    <n v="18"/>
    <n v="256.60000000000002"/>
    <n v="4848"/>
    <s v="ADRIANO RODRIGO MOLEIRO"/>
    <s v="28/102020"/>
    <n v="129531.9"/>
    <x v="0"/>
    <n v="92659.94"/>
    <n v="0.7153445599114967"/>
  </r>
  <r>
    <x v="7"/>
    <s v="XLVIII"/>
    <n v="19"/>
    <n v="330.17"/>
    <n v="4974"/>
    <s v="MARCELO MIRANDA FERREIRA"/>
    <d v="2021-01-14T00:00:00"/>
    <n v="188570.43"/>
    <x v="0"/>
    <n v="172840.14"/>
    <n v="0.91658135371489591"/>
  </r>
  <r>
    <x v="7"/>
    <s v="XLVIII"/>
    <n v="21"/>
    <n v="250.07"/>
    <n v="4680"/>
    <s v="RODOLFO ALEXANDRE HILDEBRANDT"/>
    <d v="2020-08-07T00:00:00"/>
    <n v="126507.02"/>
    <x v="0"/>
    <n v="125090.98"/>
    <n v="0.98880662907086103"/>
  </r>
  <r>
    <x v="7"/>
    <s v="XLVIII"/>
    <n v="33"/>
    <n v="250.07"/>
    <n v="4862"/>
    <s v="RAUL RANGEL DE OLIVEIRA"/>
    <d v="2020-11-06T00:00:00"/>
    <n v="131599.9"/>
    <x v="0"/>
    <n v="39685.050000000003"/>
    <n v="0.3015583598467780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x v="0"/>
    <s v="XVIII - A"/>
    <n v="1"/>
    <s v="MOYSES DO LAGO"/>
    <x v="0"/>
    <n v="74"/>
    <s v="IV"/>
    <n v="154663.51"/>
    <n v="256109.85"/>
    <n v="0.60389520356206527"/>
  </r>
  <r>
    <x v="1"/>
    <s v="XXXII"/>
    <n v="23"/>
    <s v="EDIOGENES DE ARAUJO AVILA"/>
    <x v="0"/>
    <n v="69"/>
    <s v="IV"/>
    <n v="205561.74"/>
    <n v="346354.24"/>
    <n v="0.59350143945112377"/>
  </r>
  <r>
    <x v="0"/>
    <s v="XII"/>
    <n v="14"/>
    <s v="ANGELA FERREIRA DA SILVA"/>
    <x v="0"/>
    <n v="67"/>
    <s v="IV"/>
    <n v="122416.73"/>
    <n v="203597.82"/>
    <n v="0.60126739078051028"/>
  </r>
  <r>
    <x v="0"/>
    <s v="XVIII"/>
    <n v="23"/>
    <s v="MARCIA REGINA DE FREITAS SOUZA"/>
    <x v="0"/>
    <n v="67"/>
    <s v="IV"/>
    <n v="125679.2"/>
    <n v="231400.12"/>
    <n v="0.54312504245892357"/>
  </r>
  <r>
    <x v="0"/>
    <s v="VIII"/>
    <n v="19"/>
    <s v="CARLOS ALBERTO DA COSTA"/>
    <x v="0"/>
    <n v="61"/>
    <s v="IV"/>
    <n v="190988.51"/>
    <n v="190988.51"/>
    <n v="1"/>
  </r>
  <r>
    <x v="1"/>
    <s v="XXXII"/>
    <n v="4"/>
    <s v="MARCUS VINICIUS RICARDO"/>
    <x v="0"/>
    <n v="62"/>
    <s v="IV"/>
    <n v="139380.99"/>
    <n v="239042"/>
    <n v="0.58308159235615498"/>
  </r>
  <r>
    <x v="2"/>
    <s v="XXV - A"/>
    <n v="15"/>
    <s v="ANDRE LUIZ DOS SANTOS"/>
    <x v="0"/>
    <n v="59"/>
    <s v="IV"/>
    <n v="121085.71"/>
    <n v="218578.11000000002"/>
    <n v="0.55396997439496576"/>
  </r>
  <r>
    <x v="2"/>
    <s v="XXI"/>
    <n v="30"/>
    <s v="ANTONIO SERGIO BARROTTI RODELLA"/>
    <x v="0"/>
    <n v="59"/>
    <s v="IV"/>
    <n v="119194.62"/>
    <n v="216432.73"/>
    <n v="0.55072363593066531"/>
  </r>
  <r>
    <x v="1"/>
    <s v="XXX"/>
    <n v="28"/>
    <s v="JONATHAS SIMEY ALVES DOS SANTOS"/>
    <x v="0"/>
    <n v="59"/>
    <s v="IV"/>
    <n v="140491.23000000001"/>
    <n v="272833.43"/>
    <n v="0.51493407534406621"/>
  </r>
  <r>
    <x v="1"/>
    <s v="XXXIII"/>
    <n v="25"/>
    <s v="JOAO AMANDIO RODRIGUES DA COSTA JUNIOR"/>
    <x v="0"/>
    <n v="59"/>
    <s v="IV"/>
    <n v="130332.64"/>
    <n v="257337.97"/>
    <n v="0.50646486408515623"/>
  </r>
  <r>
    <x v="2"/>
    <s v="XXV - A"/>
    <n v="27"/>
    <s v="JONATHAS SIMEY ALVES DOS SANTOS"/>
    <x v="0"/>
    <n v="56"/>
    <s v="IV"/>
    <n v="146046.72"/>
    <n v="283063.41000000003"/>
    <n v="0.51595054267169316"/>
  </r>
  <r>
    <x v="2"/>
    <s v="XXV - A"/>
    <n v="28"/>
    <s v="JONATHAS SIMEY ALVES DOS SANTOS"/>
    <x v="0"/>
    <n v="55"/>
    <s v="IV"/>
    <n v="163330.28"/>
    <n v="316793.07"/>
    <n v="0.51557403070717422"/>
  </r>
  <r>
    <x v="3"/>
    <s v="XXXIX"/>
    <n v="31"/>
    <s v="JOSE ORLANDO TAVARES CELESTINO"/>
    <x v="0"/>
    <n v="53"/>
    <s v="IV"/>
    <n v="211058.98"/>
    <n v="231629.73"/>
    <n v="0.91119123611636554"/>
  </r>
  <r>
    <x v="3"/>
    <s v="XL"/>
    <n v="9"/>
    <s v="ANDRE BOBROFF CANAVEZI"/>
    <x v="0"/>
    <n v="52"/>
    <s v="IV"/>
    <n v="140489.24"/>
    <n v="276504.37"/>
    <n v="0.50809048696047732"/>
  </r>
  <r>
    <x v="3"/>
    <s v="XL"/>
    <n v="10"/>
    <s v="ANDRE BOBROFF CANAVEZI"/>
    <x v="0"/>
    <n v="52"/>
    <s v="IV"/>
    <n v="139822.24"/>
    <n v="274514.28000000003"/>
    <n v="0.50934414049425758"/>
  </r>
  <r>
    <x v="3"/>
    <s v="XL"/>
    <n v="11"/>
    <s v="ANDRE BOBROFF CANAVEZI"/>
    <x v="0"/>
    <n v="52"/>
    <s v="IV"/>
    <n v="140489.07"/>
    <n v="276504.2"/>
    <n v="0.50809018452522603"/>
  </r>
  <r>
    <x v="3"/>
    <s v="XXXV"/>
    <n v="2"/>
    <s v="SHEILA PINTO SILVA"/>
    <x v="0"/>
    <n v="52"/>
    <s v="IV"/>
    <n v="115104.91"/>
    <n v="250041.71"/>
    <n v="0.46034283640117485"/>
  </r>
  <r>
    <x v="2"/>
    <s v="XXI"/>
    <n v="1"/>
    <s v="GIELE ROSA ALVES"/>
    <x v="0"/>
    <n v="43"/>
    <s v="IV"/>
    <n v="159105.26"/>
    <n v="162062.05000000002"/>
    <n v="0.98175519808616507"/>
  </r>
  <r>
    <x v="2"/>
    <s v="XXV"/>
    <n v="26"/>
    <s v="MATEUS DOS SANTOS GONSALES"/>
    <x v="0"/>
    <n v="42"/>
    <s v="IV"/>
    <n v="82068.77"/>
    <n v="186020.2"/>
    <n v="0.44118203291900554"/>
  </r>
  <r>
    <x v="1"/>
    <s v="XXX"/>
    <n v="1"/>
    <s v="GABRIEL GARCIA BOGO"/>
    <x v="0"/>
    <n v="41"/>
    <s v="IV"/>
    <n v="94270.62"/>
    <n v="194837.33000000002"/>
    <n v="0.48384270098548354"/>
  </r>
  <r>
    <x v="4"/>
    <s v="XIII"/>
    <n v="13"/>
    <s v="RAFAELI FRARE DE SIQUEIRA"/>
    <x v="0"/>
    <n v="40"/>
    <s v="IV"/>
    <n v="79809.440000000002"/>
    <n v="183669.52"/>
    <n v="0.43452740552705754"/>
  </r>
  <r>
    <x v="4"/>
    <s v="XIII"/>
    <n v="14"/>
    <s v="RAFAELI FRARE DE SIQUEIRA"/>
    <x v="0"/>
    <n v="40"/>
    <s v="IV"/>
    <n v="79818.02"/>
    <n v="183678.1"/>
    <n v="0.43455381997091652"/>
  </r>
  <r>
    <x v="3"/>
    <s v="XXXVII"/>
    <n v="15"/>
    <s v="RAFAEL FRANCISCO FRARE DE SIQUEIRA"/>
    <x v="0"/>
    <n v="40"/>
    <s v="IV"/>
    <n v="85110.12"/>
    <n v="195988.96"/>
    <n v="0.43425976646847864"/>
  </r>
  <r>
    <x v="3"/>
    <s v="XXXVII"/>
    <n v="16"/>
    <s v="RAFAEL FRANCISCO FRARE DE SIQUEIRA"/>
    <x v="0"/>
    <n v="40"/>
    <s v="IV"/>
    <n v="84900.800000000003"/>
    <n v="196120.53"/>
    <n v="0.43290113482764914"/>
  </r>
  <r>
    <x v="3"/>
    <s v="XLII"/>
    <n v="11"/>
    <s v="DANIEL BRAGUETO MARTINS"/>
    <x v="0"/>
    <n v="40"/>
    <s v="IV"/>
    <n v="87931.88"/>
    <n v="206146.05000000002"/>
    <n v="0.42655136976915153"/>
  </r>
  <r>
    <x v="1"/>
    <s v="XXIX"/>
    <n v="41"/>
    <s v="AUREO SILVA CASTRO"/>
    <x v="0"/>
    <n v="40"/>
    <s v="IV"/>
    <n v="75289.149999999994"/>
    <n v="171399.45"/>
    <n v="0.43926132785140204"/>
  </r>
  <r>
    <x v="2"/>
    <s v="XXIV"/>
    <n v="10"/>
    <s v="GUSTAVO APARECIDO BRANDAO MEIRELES"/>
    <x v="0"/>
    <n v="39"/>
    <s v="IV"/>
    <n v="72614.55"/>
    <n v="167759.89000000001"/>
    <n v="0.43284810212977604"/>
  </r>
  <r>
    <x v="2"/>
    <s v="XXV"/>
    <n v="4"/>
    <s v="FAUSTO ALMEIDA DE OLIVEIRA"/>
    <x v="0"/>
    <n v="38"/>
    <s v="IV"/>
    <n v="78195.27"/>
    <n v="169014.99"/>
    <n v="0.46265286883725526"/>
  </r>
  <r>
    <x v="4"/>
    <s v="XVI"/>
    <n v="12"/>
    <s v="ALESSANDRA BERBET"/>
    <x v="0"/>
    <n v="38"/>
    <s v="IV"/>
    <n v="67657.759999999995"/>
    <n v="161421.75"/>
    <n v="0.41913657855896119"/>
  </r>
  <r>
    <x v="0"/>
    <s v="XII"/>
    <n v="15"/>
    <s v="CARLOS ANTONIO DA SILVA"/>
    <x v="0"/>
    <n v="37"/>
    <s v="IV"/>
    <n v="61376.09"/>
    <n v="145913.62"/>
    <n v="0.42063304302915655"/>
  </r>
  <r>
    <x v="0"/>
    <s v="XII"/>
    <n v="11"/>
    <s v="VALDENILSON PEREIRA MEIRELES"/>
    <x v="0"/>
    <n v="36"/>
    <s v="IV"/>
    <n v="63628.02"/>
    <n v="149413.45000000001"/>
    <n v="0.42585202336201988"/>
  </r>
  <r>
    <x v="3"/>
    <s v="XXXIX"/>
    <n v="5"/>
    <s v="GUILHERME GALAN CORDEIRO"/>
    <x v="0"/>
    <n v="34"/>
    <s v="IV"/>
    <n v="71308.84"/>
    <n v="187330.61000000002"/>
    <n v="0.3806577045790861"/>
  </r>
  <r>
    <x v="2"/>
    <s v="XXII"/>
    <n v="17"/>
    <s v="MARCO AURELIO BENEDITO DA SILVA"/>
    <x v="0"/>
    <n v="33"/>
    <s v="IV"/>
    <n v="65160.5"/>
    <n v="161794.73000000001"/>
    <n v="0.40273561444183004"/>
  </r>
  <r>
    <x v="2"/>
    <s v="XXII"/>
    <n v="18"/>
    <s v="MARCO AURELIO BENEDITO DA SILVA"/>
    <x v="0"/>
    <n v="33"/>
    <s v="IV"/>
    <n v="65160.38"/>
    <n v="161794.61000000002"/>
    <n v="0.4027351714621395"/>
  </r>
  <r>
    <x v="1"/>
    <s v="XXVII"/>
    <n v="7"/>
    <s v="CARLOS HENRIQUE NAVARRO MAZZEO"/>
    <x v="0"/>
    <n v="32"/>
    <s v="IV"/>
    <n v="63195.45"/>
    <n v="159685.04"/>
    <n v="0.39575059755127967"/>
  </r>
  <r>
    <x v="4"/>
    <s v="XIII"/>
    <n v="3"/>
    <s v="MARIA DAS GRACAS FONSECA MORAES"/>
    <x v="0"/>
    <n v="32"/>
    <s v="IV"/>
    <n v="74639.64"/>
    <n v="212512.56"/>
    <n v="0.35122460526568405"/>
  </r>
  <r>
    <x v="1"/>
    <s v="XXVII"/>
    <n v="8"/>
    <s v="GILDETE RODRIGUES DA CRUZ"/>
    <x v="0"/>
    <n v="31"/>
    <s v="IV"/>
    <n v="61067.94"/>
    <n v="156850.78"/>
    <n v="0.38933781521520011"/>
  </r>
  <r>
    <x v="1"/>
    <s v="XXXIV"/>
    <n v="8"/>
    <s v="MARCOS MASSARO THIBES"/>
    <x v="0"/>
    <n v="25"/>
    <s v="IV"/>
    <n v="57724.95"/>
    <n v="92232.45"/>
    <n v="0.62586378221547834"/>
  </r>
  <r>
    <x v="1"/>
    <s v="XXX"/>
    <n v="43"/>
    <s v="EVERSON PEREIRA DOS SANTOS"/>
    <x v="0"/>
    <n v="26"/>
    <s v="IV"/>
    <n v="78462.149999999994"/>
    <n v="161841.09"/>
    <n v="0.4848098217825893"/>
  </r>
  <r>
    <x v="3"/>
    <s v="XLII"/>
    <n v="4"/>
    <s v="LEONARDO NUNES BUONO"/>
    <x v="0"/>
    <n v="26"/>
    <s v="IV"/>
    <n v="46832.08"/>
    <n v="182095.82"/>
    <n v="0.25718371789094335"/>
  </r>
  <r>
    <x v="4"/>
    <s v="XVI"/>
    <n v="19"/>
    <s v="IZAURA MARIA CARELLI"/>
    <x v="0"/>
    <n v="23"/>
    <s v="IV"/>
    <n v="40357.54"/>
    <n v="110994.69"/>
    <n v="0.3635988352235589"/>
  </r>
  <r>
    <x v="0"/>
    <s v="XV"/>
    <n v="11"/>
    <s v="JOSE CARLOS PEREIRA FARIA"/>
    <x v="0"/>
    <n v="23"/>
    <s v="IV"/>
    <n v="33827.050000000003"/>
    <n v="96932.650000000009"/>
    <n v="0.34897477784833075"/>
  </r>
  <r>
    <x v="1"/>
    <s v="XXXIV"/>
    <n v="7"/>
    <s v="MARCOS MASSARO THIBES"/>
    <x v="0"/>
    <n v="20"/>
    <s v="IV"/>
    <n v="46347.27"/>
    <n v="81011.41"/>
    <n v="0.5721079289941996"/>
  </r>
  <r>
    <x v="5"/>
    <s v="VII"/>
    <n v="18"/>
    <s v="VALDELICE FLORENTINO"/>
    <x v="0"/>
    <n v="22"/>
    <s v="IV"/>
    <n v="34748.15"/>
    <n v="115793.32"/>
    <n v="0.30008769072343722"/>
  </r>
  <r>
    <x v="5"/>
    <s v="VII"/>
    <n v="19"/>
    <s v="VALDELICE FLORENTINO"/>
    <x v="0"/>
    <n v="22"/>
    <s v="IV"/>
    <n v="34748.15"/>
    <n v="115793.32"/>
    <n v="0.30008769072343722"/>
  </r>
  <r>
    <x v="1"/>
    <s v="XXXIV"/>
    <n v="1"/>
    <s v="LUCIANO BUENO"/>
    <x v="0"/>
    <n v="21"/>
    <s v="IV"/>
    <n v="38283.519999999997"/>
    <n v="135703.71"/>
    <n v="0.28211107861384188"/>
  </r>
  <r>
    <x v="2"/>
    <s v="XXV"/>
    <n v="2"/>
    <s v="PEDRO LUCAS BACILI"/>
    <x v="0"/>
    <n v="21"/>
    <s v="IV"/>
    <n v="36743.89"/>
    <n v="130822.29000000001"/>
    <n v="0.28086872657557055"/>
  </r>
  <r>
    <x v="3"/>
    <s v="XXXVII"/>
    <n v="11"/>
    <s v="RAQUEL EUCANAS GOULART VIEIRA"/>
    <x v="0"/>
    <n v="21"/>
    <s v="IV"/>
    <n v="45204.81"/>
    <n v="183502.38"/>
    <n v="0.24634454332417921"/>
  </r>
  <r>
    <x v="3"/>
    <s v="XXXVII"/>
    <n v="20"/>
    <s v="GILBERTO ZEQUIM MALDONADO"/>
    <x v="0"/>
    <n v="21"/>
    <s v="IV"/>
    <n v="53070.83"/>
    <n v="134534.07"/>
    <n v="0.39447873687312068"/>
  </r>
  <r>
    <x v="3"/>
    <s v="XXXVIII"/>
    <n v="14"/>
    <s v="CARLOS JUNIO RIBEIRO SILVA"/>
    <x v="0"/>
    <n v="20"/>
    <s v="IV"/>
    <n v="40402.85"/>
    <n v="167357.28"/>
    <n v="0.24141674625687032"/>
  </r>
  <r>
    <x v="0"/>
    <s v="XVIII"/>
    <n v="3"/>
    <s v="SILVANO MARCOS DE SOUZA"/>
    <x v="0"/>
    <n v="19"/>
    <s v="IV"/>
    <n v="26084.82"/>
    <n v="55377.39"/>
    <n v="0.47103736741655755"/>
  </r>
  <r>
    <x v="3"/>
    <s v="XXXV"/>
    <n v="20"/>
    <s v="GUILHERME ANDRADE SALVADOR"/>
    <x v="0"/>
    <n v="18"/>
    <s v="IV"/>
    <n v="32613.040000000001"/>
    <n v="166173.01"/>
    <n v="0.19625954900859049"/>
  </r>
  <r>
    <x v="3"/>
    <s v="XXXIX"/>
    <n v="21"/>
    <s v="DIEGO FREITAS DE SOUZA"/>
    <x v="0"/>
    <n v="17"/>
    <s v="IV"/>
    <n v="34249.79"/>
    <n v="172135.69"/>
    <n v="0.1989697197600335"/>
  </r>
  <r>
    <x v="3"/>
    <s v="XXXV"/>
    <n v="24"/>
    <s v="LIVIA BEATRIZ LIMA LUIZETTO"/>
    <x v="0"/>
    <n v="16"/>
    <s v="IV"/>
    <n v="25390.52"/>
    <n v="159876.65"/>
    <n v="0.15881318503984165"/>
  </r>
  <r>
    <x v="3"/>
    <s v="XLI"/>
    <n v="12"/>
    <s v="CINTHYA DE CARVALHO SOVENHI DIAS"/>
    <x v="0"/>
    <n v="13"/>
    <s v="IV"/>
    <n v="21101.439999999999"/>
    <n v="143451.59"/>
    <n v="0.14709798615686309"/>
  </r>
  <r>
    <x v="3"/>
    <s v="XLI"/>
    <n v="13"/>
    <s v="CINTHYA DE CARVALHO SOVENHI DIAS"/>
    <x v="0"/>
    <n v="13"/>
    <s v="IV"/>
    <n v="21101.439999999999"/>
    <n v="143451.59"/>
    <n v="0.14709798615686309"/>
  </r>
  <r>
    <x v="1"/>
    <s v="XXX"/>
    <n v="20"/>
    <s v="SELMA ROSA DA SILVA"/>
    <x v="0"/>
    <n v="11"/>
    <s v="IV"/>
    <n v="27585.13"/>
    <n v="136432.20000000001"/>
    <n v="0.20218929255703563"/>
  </r>
  <r>
    <x v="4"/>
    <s v="IX"/>
    <n v="27"/>
    <s v="ROBERTO LOPES DE LIMA"/>
    <x v="0"/>
    <n v="12"/>
    <s v="IV"/>
    <n v="21891.56"/>
    <n v="152980.74"/>
    <n v="0.14310010528122694"/>
  </r>
  <r>
    <x v="3"/>
    <s v="XL"/>
    <n v="7"/>
    <s v="SANDRA KAAFA SOUTELLO"/>
    <x v="0"/>
    <n v="12"/>
    <s v="IV"/>
    <n v="26841.99"/>
    <n v="184159.75"/>
    <n v="0.14575383600379563"/>
  </r>
  <r>
    <x v="4"/>
    <s v="IX"/>
    <n v="25"/>
    <s v="SANDRA KAAFA SOUTELLO"/>
    <x v="0"/>
    <n v="12"/>
    <s v="IV"/>
    <n v="21269.08"/>
    <n v="145195.34"/>
    <n v="0.14648596848907136"/>
  </r>
  <r>
    <x v="4"/>
    <s v="IX"/>
    <n v="26"/>
    <s v="SANDRA KAAFA SOUTELLO"/>
    <x v="0"/>
    <n v="12"/>
    <s v="IV"/>
    <n v="21848.47"/>
    <n v="149524.58000000002"/>
    <n v="0.14611958782963977"/>
  </r>
  <r>
    <x v="3"/>
    <s v="XL"/>
    <n v="28"/>
    <s v="VANIA BALDUINO FARIAS"/>
    <x v="0"/>
    <n v="11"/>
    <s v="IV"/>
    <n v="11464.98"/>
    <n v="67183.210000000006"/>
    <n v="0.17065245914864738"/>
  </r>
  <r>
    <x v="4"/>
    <s v="XVI"/>
    <n v="10"/>
    <s v="C. PIRES EMPREENDIMENTOS IMOBILIARIOS LTDA"/>
    <x v="0"/>
    <n v="11"/>
    <s v="IV"/>
    <n v="15375.09"/>
    <n v="125332.76000000001"/>
    <n v="0.12267415159452325"/>
  </r>
  <r>
    <x v="0"/>
    <s v="XV"/>
    <n v="21"/>
    <s v="EDMILSON TEIXEIRA DE VASCONCELOS"/>
    <x v="0"/>
    <n v="10"/>
    <s v="IV"/>
    <n v="14250.29"/>
    <n v="94937.48"/>
    <n v="0.15010183543949135"/>
  </r>
  <r>
    <x v="0"/>
    <s v="XV"/>
    <n v="22"/>
    <s v="EDMILSON TEIXEIRA DE VASCONCELOS"/>
    <x v="0"/>
    <n v="10"/>
    <s v="IV"/>
    <n v="14060.2"/>
    <n v="93695.31"/>
    <n v="0.15006300742267678"/>
  </r>
  <r>
    <x v="2"/>
    <s v="XXIII"/>
    <n v="12"/>
    <s v="MIRIAN APARECIDA GONCALVES DIAS"/>
    <x v="0"/>
    <n v="9"/>
    <s v="IV"/>
    <n v="20605.150000000001"/>
    <n v="62503.98"/>
    <n v="0.32966140716159198"/>
  </r>
  <r>
    <x v="2"/>
    <s v="XXIII"/>
    <n v="11"/>
    <s v="MARA SILVIA SPURIO"/>
    <x v="0"/>
    <n v="9"/>
    <s v="IV"/>
    <n v="19419.03"/>
    <n v="65472.55"/>
    <n v="0.29659803994192985"/>
  </r>
  <r>
    <x v="0"/>
    <s v="XII"/>
    <n v="6"/>
    <s v="ROBERTO NUNES"/>
    <x v="0"/>
    <n v="9"/>
    <s v="IV"/>
    <n v="13794.56"/>
    <n v="98065.74"/>
    <n v="0.14066645497194025"/>
  </r>
  <r>
    <x v="1"/>
    <s v="XXX"/>
    <n v="37"/>
    <s v="DIEGO ALEXANDRE FAGUNDES"/>
    <x v="0"/>
    <n v="7"/>
    <s v="IV"/>
    <n v="11742.5"/>
    <n v="152824.16"/>
    <n v="7.6836672944906093E-2"/>
  </r>
  <r>
    <x v="3"/>
    <s v="XXXIX"/>
    <n v="36"/>
    <s v="SILVANA SOARES DE SOUZA"/>
    <x v="0"/>
    <n v="7"/>
    <s v="IV"/>
    <n v="11518.62"/>
    <n v="160467.51999999999"/>
    <n v="7.1781629079828754E-2"/>
  </r>
  <r>
    <x v="0"/>
    <s v="XV"/>
    <n v="4"/>
    <s v="JOSE CARLOS OLIVEIRA"/>
    <x v="0"/>
    <n v="3"/>
    <s v="IV"/>
    <n v="5232.53"/>
    <n v="60029.15"/>
    <n v="8.7166484949395412E-2"/>
  </r>
  <r>
    <x v="3"/>
    <s v="XL"/>
    <n v="20"/>
    <s v="FLAVIO DA SILVA SENA"/>
    <x v="1"/>
    <n v="2"/>
    <s v="II"/>
    <n v="2659.06"/>
    <n v="127911.48"/>
    <n v="2.0788282646717872E-2"/>
  </r>
  <r>
    <x v="6"/>
    <s v="XLVI"/>
    <n v="4"/>
    <s v="PAULO MASSAYOSHI TANNO"/>
    <x v="0"/>
    <n v="2"/>
    <s v="IV"/>
    <n v="4150.13"/>
    <n v="95410.47"/>
    <n v="4.3497637104187831E-2"/>
  </r>
  <r>
    <x v="6"/>
    <s v="XLIX"/>
    <n v="16"/>
    <s v="WILLIAM EVANGELISTA TEODORO"/>
    <x v="0"/>
    <n v="3"/>
    <s v="IV"/>
    <n v="3908.34"/>
    <n v="110778.42"/>
    <n v="3.5280698172080807E-2"/>
  </r>
  <r>
    <x v="2"/>
    <s v="XXV - A"/>
    <n v="11"/>
    <s v="KEIGO FUKUDA"/>
    <x v="0"/>
    <n v="3"/>
    <s v="IV"/>
    <n v="3410.8"/>
    <n v="81964.040000000008"/>
    <n v="4.1613370936815705E-2"/>
  </r>
  <r>
    <x v="2"/>
    <s v="XXII"/>
    <n v="28"/>
    <s v="JOAQUIM MANOEL DA SILVA"/>
    <x v="0"/>
    <n v="2"/>
    <s v="IV"/>
    <n v="3159.65"/>
    <n v="102134.61"/>
    <n v="3.0936134186051133E-2"/>
  </r>
  <r>
    <x v="0"/>
    <s v="VIII"/>
    <n v="23"/>
    <s v="JULIANA DE SOUZA"/>
    <x v="0"/>
    <n v="3"/>
    <s v="IV"/>
    <n v="4559.18"/>
    <n v="84490.14"/>
    <n v="5.3961089424162396E-2"/>
  </r>
  <r>
    <x v="2"/>
    <s v="XXII"/>
    <n v="27"/>
    <s v="AGUINALDO AUGUSTINHO"/>
    <x v="0"/>
    <n v="2"/>
    <s v="IV"/>
    <n v="4826.7"/>
    <n v="25300.53"/>
    <n v="0.19077465966127982"/>
  </r>
  <r>
    <x v="3"/>
    <s v="XL"/>
    <n v="29"/>
    <s v="MIKAELA APARECIDA LIMA TEODORO"/>
    <x v="0"/>
    <n v="4"/>
    <s v="IV"/>
    <n v="7128.04"/>
    <n v="139794.81"/>
    <n v="5.0989303537091253E-2"/>
  </r>
  <r>
    <x v="3"/>
    <s v="XLII"/>
    <n v="7"/>
    <s v="RENAN VINICIUS GOUVEIA ANCIOTO"/>
    <x v="0"/>
    <n v="3"/>
    <s v="IV"/>
    <n v="4323.37"/>
    <n v="127184.57"/>
    <n v="3.3992881369178662E-2"/>
  </r>
  <r>
    <x v="7"/>
    <s v="XIV"/>
    <n v="18"/>
    <s v="APARECIDO FRANCESCHINI"/>
    <x v="0"/>
    <n v="3"/>
    <s v="IV"/>
    <n v="3802.07"/>
    <n v="103096.94"/>
    <n v="3.6878592128922548E-2"/>
  </r>
  <r>
    <x v="2"/>
    <s v="XXIII"/>
    <n v="32"/>
    <s v="SERGIO PEREIRA JUNIOR"/>
    <x v="0"/>
    <n v="5"/>
    <s v="IV"/>
    <n v="11267.5"/>
    <n v="181162.58000000002"/>
    <n v="6.2195515210701893E-2"/>
  </r>
  <r>
    <x v="3"/>
    <s v="XLII"/>
    <n v="6"/>
    <s v="FRANCIELLE SANCHES CARNELOSSI"/>
    <x v="1"/>
    <n v="1"/>
    <s v="I"/>
    <n v="1883.35"/>
    <n v="143395.98000000001"/>
    <n v="1.3133910727483433E-2"/>
  </r>
  <r>
    <x v="3"/>
    <s v="XXXVII"/>
    <n v="33"/>
    <s v="FERNANDO DE OLIVEIRA GARBETO"/>
    <x v="0"/>
    <n v="6"/>
    <s v="IV"/>
    <n v="13836.11"/>
    <n v="164056.62"/>
    <n v="8.4337407414586507E-2"/>
  </r>
  <r>
    <x v="2"/>
    <s v="XXII"/>
    <n v="26"/>
    <s v="AGUINALDO AUGUSTINHO"/>
    <x v="0"/>
    <n v="1"/>
    <s v="IV"/>
    <n v="3672.66"/>
    <n v="24147.09"/>
    <n v="0.15209534565034544"/>
  </r>
  <r>
    <x v="4"/>
    <s v="XIII"/>
    <n v="17"/>
    <s v="JOSE CARLOS BRUNO DE OLIVEIRA"/>
    <x v="0"/>
    <n v="2"/>
    <s v="IV"/>
    <n v="195765.42"/>
    <n v="195779.78"/>
    <n v="0.9999266522824779"/>
  </r>
  <r>
    <x v="2"/>
    <s v="XXV"/>
    <n v="25"/>
    <s v="DANIELLY NUNES GOMES CIQUINI"/>
    <x v="0"/>
    <n v="1"/>
    <s v="IV"/>
    <n v="353.61"/>
    <n v="8858.18"/>
    <n v="3.991903528715831E-2"/>
  </r>
  <r>
    <x v="0"/>
    <s v="XV"/>
    <n v="26"/>
    <s v="APARECIDA CASTORINA DA SILVA"/>
    <x v="1"/>
    <n v="3"/>
    <s v="II"/>
    <n v="5447.62"/>
    <n v="87114.47"/>
    <n v="6.2534042851893609E-2"/>
  </r>
  <r>
    <x v="3"/>
    <s v="XXXVI"/>
    <n v="10"/>
    <s v="LUCIANO CROCE"/>
    <x v="0"/>
    <n v="1"/>
    <s v="IV"/>
    <n v="2286.02"/>
    <n v="156978.08000000002"/>
    <n v="1.4562670151144668E-2"/>
  </r>
  <r>
    <x v="7"/>
    <s v="XIV"/>
    <n v="2"/>
    <s v="KAIO HENRIQUE ALBANO CAVALARI"/>
    <x v="1"/>
    <n v="1"/>
    <s v="I"/>
    <n v="1411.83"/>
    <n v="113136.05"/>
    <n v="1.247904624564849E-2"/>
  </r>
  <r>
    <x v="1"/>
    <s v="XXXIII"/>
    <n v="21"/>
    <s v="WILLIAN VASCONCELOS NUNES"/>
    <x v="1"/>
    <n v="1"/>
    <s v="I"/>
    <n v="1444.42"/>
    <n v="101440.12"/>
    <n v="1.4239139307011862E-2"/>
  </r>
  <r>
    <x v="3"/>
    <s v="XXXVIII"/>
    <n v="27"/>
    <s v="CELIA GUERRA BICUDO"/>
    <x v="1"/>
    <n v="1"/>
    <s v="I"/>
    <n v="1911.54"/>
    <n v="113527.7"/>
    <n v="1.6837652837148994E-2"/>
  </r>
  <r>
    <x v="1"/>
    <s v="XXVII"/>
    <n v="16"/>
    <s v="LUIZ FERNANDO PERISOTTO TEXEIRA"/>
    <x v="1"/>
    <n v="2"/>
    <s v="II"/>
    <n v="2996.42"/>
    <n v="71001.279999999999"/>
    <n v="4.2202337760671359E-2"/>
  </r>
  <r>
    <x v="1"/>
    <s v="XXVII"/>
    <n v="17"/>
    <s v="LUIZ FERNANDO PERISOTTO TEXEIRA"/>
    <x v="1"/>
    <n v="2"/>
    <s v="II"/>
    <n v="3041.27"/>
    <n v="75430.09"/>
    <n v="4.0319055697799117E-2"/>
  </r>
  <r>
    <x v="4"/>
    <s v="XIII"/>
    <n v="1"/>
    <s v="CLAUDIO MORYAMA"/>
    <x v="1"/>
    <n v="1"/>
    <s v="I"/>
    <n v="1642.71"/>
    <n v="113856.12"/>
    <n v="1.4427946429230155E-2"/>
  </r>
  <r>
    <x v="3"/>
    <s v="XLI"/>
    <n v="5"/>
    <s v="THAIS AMARILHA DE CASTRO"/>
    <x v="1"/>
    <n v="1"/>
    <s v="I"/>
    <n v="1521.97"/>
    <n v="118258.72"/>
    <n v="1.2869833192850387E-2"/>
  </r>
  <r>
    <x v="2"/>
    <s v="XXIV"/>
    <n v="13"/>
    <s v="LUCIANA MELANI"/>
    <x v="1"/>
    <n v="1"/>
    <s v="I"/>
    <n v="1370.1"/>
    <n v="93928.45"/>
    <n v="1.4586634826828293E-2"/>
  </r>
  <r>
    <x v="2"/>
    <s v="XXIII"/>
    <n v="23"/>
    <s v="MARCOS GUIRALDELLI JUNIOR"/>
    <x v="0"/>
    <n v="1"/>
    <s v="IV"/>
    <n v="4075.06"/>
    <n v="103919.19"/>
    <n v="3.9213739060129316E-2"/>
  </r>
  <r>
    <x v="0"/>
    <s v="XII"/>
    <n v="4"/>
    <s v="ROGERIO FRANCISCO MANOEL"/>
    <x v="0"/>
    <n v="1"/>
    <s v="IV"/>
    <n v="1196.32"/>
    <n v="85595.63"/>
    <n v="1.3976414450130221E-2"/>
  </r>
  <r>
    <x v="3"/>
    <s v="XXXVII"/>
    <n v="41"/>
    <s v="HELEN BERNARDO DA SILVA BENTO"/>
    <x v="0"/>
    <n v="1"/>
    <s v="IV"/>
    <n v="443.48"/>
    <n v="48666.94"/>
    <n v="9.1125515596419248E-3"/>
  </r>
  <r>
    <x v="3"/>
    <s v="XXXVII"/>
    <n v="25"/>
    <s v="TEREZINHA ROSA DE SOUZA"/>
    <x v="0"/>
    <n v="1"/>
    <s v="IV"/>
    <n v="399.01"/>
    <n v="86911.71"/>
    <n v="4.5909808931385654E-3"/>
  </r>
  <r>
    <x v="3"/>
    <s v="XL"/>
    <n v="26"/>
    <s v="EDUARDO DA SILVA"/>
    <x v="1"/>
    <n v="3"/>
    <s v="III"/>
    <n v="8525.4"/>
    <n v="111887.32"/>
    <n v="7.6196301779325834E-2"/>
  </r>
  <r>
    <x v="3"/>
    <s v="XXXV"/>
    <n v="25"/>
    <s v="LEANDRO MARIA CLARO"/>
    <x v="1"/>
    <n v="1"/>
    <s v="II"/>
    <n v="2580.65"/>
    <n v="136906.26999999999"/>
    <n v="1.8849757575018299E-2"/>
  </r>
  <r>
    <x v="2"/>
    <s v="XXV"/>
    <n v="17"/>
    <s v="RODOLFO VINNICIUS DA SILVA EVANGELISTA"/>
    <x v="1"/>
    <n v="1"/>
    <s v="I"/>
    <n v="1416.21"/>
    <n v="101688.40000000001"/>
    <n v="1.3926957253728054E-2"/>
  </r>
  <r>
    <x v="1"/>
    <s v="XXXIII"/>
    <n v="24"/>
    <s v="RENATO DE MORAIS SILVA"/>
    <x v="1"/>
    <n v="1"/>
    <s v="I"/>
    <n v="1345.76"/>
    <n v="80398.559999999998"/>
    <n v="1.6738608253680166E-2"/>
  </r>
  <r>
    <x v="1"/>
    <s v="XXVII"/>
    <n v="5"/>
    <s v="CLAUDIA THAIS BERA"/>
    <x v="1"/>
    <n v="1"/>
    <s v="I"/>
    <n v="1444.99"/>
    <n v="97991.03"/>
    <n v="1.4746145642106221E-2"/>
  </r>
  <r>
    <x v="2"/>
    <s v="XXIV"/>
    <n v="3"/>
    <s v="LARISSA BASSI PICONI"/>
    <x v="1"/>
    <n v="1"/>
    <s v="I"/>
    <n v="1585.14"/>
    <n v="108164.57"/>
    <n v="1.4654891153360107E-2"/>
  </r>
  <r>
    <x v="3"/>
    <s v="XLI"/>
    <n v="1"/>
    <s v="LEONARDO MEDEIROS GUILET PIRES"/>
    <x v="1"/>
    <n v="1"/>
    <s v="I"/>
    <n v="3917.19"/>
    <n v="41876.33"/>
    <n v="9.3541864819577075E-2"/>
  </r>
  <r>
    <x v="3"/>
    <s v="XXXVII"/>
    <n v="36"/>
    <s v="HERMES RINALDIN"/>
    <x v="1"/>
    <n v="1"/>
    <s v="I"/>
    <n v="1513.99"/>
    <n v="91457.74"/>
    <n v="1.6553984386668639E-2"/>
  </r>
  <r>
    <x v="2"/>
    <s v="XXIII"/>
    <n v="6"/>
    <s v="DENISON HENRIQUE LEANDRO"/>
    <x v="1"/>
    <n v="3"/>
    <s v="III"/>
    <n v="4386.41"/>
    <n v="100566.25"/>
    <n v="4.3617118068934653E-2"/>
  </r>
  <r>
    <x v="3"/>
    <s v="XXXVIII"/>
    <n v="1"/>
    <s v="PAULO FERNANDO DOS SANTOS"/>
    <x v="1"/>
    <n v="1"/>
    <s v="I"/>
    <n v="2660.64"/>
    <n v="197695.99"/>
    <n v="1.3458239593023611E-2"/>
  </r>
  <r>
    <x v="0"/>
    <s v="XVIII"/>
    <n v="20"/>
    <s v="TAINA APARECIDA SIMAO"/>
    <x v="1"/>
    <n v="2"/>
    <s v="II"/>
    <n v="2137"/>
    <n v="85426.78"/>
    <n v="2.5015574741316483E-2"/>
  </r>
  <r>
    <x v="0"/>
    <s v="XVIII"/>
    <n v="13"/>
    <s v="WALDIR PITELLA"/>
    <x v="1"/>
    <n v="2"/>
    <s v="II"/>
    <n v="4282.6499999999996"/>
    <n v="88812.99"/>
    <n v="4.8220986592164047E-2"/>
  </r>
  <r>
    <x v="3"/>
    <s v="XXXIX"/>
    <n v="13"/>
    <s v="EDUARDO GUIMARÃES REZENDE JUNIOR"/>
    <x v="1"/>
    <n v="3"/>
    <s v="III"/>
    <n v="2865.87"/>
    <n v="114091.8"/>
    <n v="2.5118983134633687E-2"/>
  </r>
  <r>
    <x v="6"/>
    <s v="LI"/>
    <n v="8"/>
    <s v="PRISCILA GARCIA NEGRELI"/>
    <x v="1"/>
    <n v="3"/>
    <s v="II"/>
    <n v="8771.89"/>
    <n v="146000.81"/>
    <n v="6.0081105029485792E-2"/>
  </r>
  <r>
    <x v="0"/>
    <s v="VIII"/>
    <n v="28"/>
    <s v="DANILO HENRIQUE DE OLIVEIRA"/>
    <x v="1"/>
    <n v="1"/>
    <s v="II"/>
    <n v="5646.75"/>
    <n v="151000.07"/>
    <n v="3.7395678028493626E-2"/>
  </r>
  <r>
    <x v="2"/>
    <s v="XXV"/>
    <n v="6"/>
    <s v="VALDETE PIRES CARDIA"/>
    <x v="1"/>
    <n v="2"/>
    <s v="II"/>
    <n v="3394.16"/>
    <n v="54566.770000000004"/>
    <n v="6.2201959177719326E-2"/>
  </r>
  <r>
    <x v="7"/>
    <s v="XVII"/>
    <n v="11"/>
    <s v="GUILHERME ROCHA HIDALGO MORENO"/>
    <x v="1"/>
    <n v="1"/>
    <s v="I"/>
    <n v="940.3"/>
    <n v="67189.100000000006"/>
    <n v="1.3994829518478441E-2"/>
  </r>
  <r>
    <x v="6"/>
    <s v="XLIX"/>
    <n v="26"/>
    <s v="MARCOS RIBEIRO MORGAN"/>
    <x v="1"/>
    <n v="1"/>
    <s v="I"/>
    <n v="3588.87"/>
    <n v="21088.87"/>
    <n v="0.17017839267822316"/>
  </r>
  <r>
    <x v="3"/>
    <s v="XLIII"/>
    <n v="9"/>
    <s v="LEWI PETHRUS COSTA"/>
    <x v="1"/>
    <n v="2"/>
    <s v="II"/>
    <n v="6193.1400000000012"/>
    <n v="134614.48000000001"/>
    <n v="4.6006492020769243E-2"/>
  </r>
  <r>
    <x v="7"/>
    <s v="X"/>
    <n v="2"/>
    <s v="PAULO SERGIO BARBOSA"/>
    <x v="1"/>
    <n v="1"/>
    <s v="I"/>
    <n v="1143.3600000000001"/>
    <n v="123052.23"/>
    <n v="9.2916641982026676E-3"/>
  </r>
  <r>
    <x v="3"/>
    <s v="XXXVIII"/>
    <n v="12"/>
    <s v="ROBERTSON RODRIGUES"/>
    <x v="1"/>
    <n v="1"/>
    <s v="I"/>
    <n v="989.92"/>
    <n v="150611.01999999999"/>
    <n v="6.5726930207364639E-3"/>
  </r>
  <r>
    <x v="7"/>
    <s v="XIV"/>
    <n v="14"/>
    <s v="GUSTAVO SHINJI YAMASHIRO SATO"/>
    <x v="1"/>
    <n v="1"/>
    <s v="I"/>
    <n v="1424.85"/>
    <n v="118009.26000000001"/>
    <n v="1.2074052493846667E-2"/>
  </r>
  <r>
    <x v="3"/>
    <s v="XLI"/>
    <n v="16"/>
    <s v="CALEBE GUEDES SILVA"/>
    <x v="1"/>
    <n v="1"/>
    <s v="I"/>
    <n v="35828.33"/>
    <n v="110376.41"/>
    <n v="0.324601334651127"/>
  </r>
  <r>
    <x v="1"/>
    <s v="XXVII"/>
    <n v="13"/>
    <s v="JULIANO CEZARIO BORTOLASSI"/>
    <x v="1"/>
    <n v="1"/>
    <s v="I"/>
    <n v="2128.16"/>
    <n v="40481.450000000004"/>
    <n v="5.2571239419536592E-2"/>
  </r>
  <r>
    <x v="0"/>
    <s v="XV"/>
    <n v="20"/>
    <s v="GABRIELA FERNANDA GRILO SILVA"/>
    <x v="1"/>
    <n v="1"/>
    <s v="I"/>
    <n v="3073.61"/>
    <n v="76696.02"/>
    <n v="4.007522163470803E-2"/>
  </r>
  <r>
    <x v="3"/>
    <s v="XXXVIII"/>
    <n v="3"/>
    <s v="DEBORA SALES RODRIGUES MACHADO"/>
    <x v="1"/>
    <n v="1"/>
    <s v="I"/>
    <n v="1848.79"/>
    <n v="91569.51"/>
    <n v="2.0190017397712406E-2"/>
  </r>
  <r>
    <x v="0"/>
    <s v="XVIII - A"/>
    <n v="3"/>
    <s v="DENISE APARECIDA BALZER"/>
    <x v="1"/>
    <n v="1"/>
    <s v="I"/>
    <n v="1625.21"/>
    <n v="122239.18000000001"/>
    <n v="1.3295328060937582E-2"/>
  </r>
  <r>
    <x v="3"/>
    <s v="XXXVIII"/>
    <n v="21"/>
    <s v="ZENILDO BEZERRA DA SILVA"/>
    <x v="1"/>
    <n v="1"/>
    <s v="I"/>
    <n v="5529.83"/>
    <n v="102878.67"/>
    <n v="5.3750986477566244E-2"/>
  </r>
  <r>
    <x v="0"/>
    <s v="XVIII - A"/>
    <n v="2"/>
    <s v="DALMO CORREIA"/>
    <x v="1"/>
    <n v="1"/>
    <s v="I"/>
    <n v="3231.34"/>
    <n v="22519.05"/>
    <n v="0.1434936198463079"/>
  </r>
  <r>
    <x v="3"/>
    <s v="XL"/>
    <n v="31"/>
    <s v="KAREN JEREMIAS FERMINO"/>
    <x v="1"/>
    <n v="1"/>
    <s v="I"/>
    <n v="2083.2600000000002"/>
    <n v="162315.53"/>
    <n v="1.2834631412040488E-2"/>
  </r>
  <r>
    <x v="3"/>
    <s v="XLI"/>
    <n v="4"/>
    <s v="POLEANE RODRIGUES"/>
    <x v="1"/>
    <n v="1"/>
    <s v="I"/>
    <n v="32850.14"/>
    <n v="44122.64"/>
    <n v="0.74451891364614631"/>
  </r>
  <r>
    <x v="6"/>
    <s v="XLIX"/>
    <n v="27"/>
    <s v="MARCOS RIBEIRO MORGAN"/>
    <x v="1"/>
    <n v="1"/>
    <s v="I"/>
    <n v="3610.22"/>
    <n v="84110.22"/>
    <n v="4.2922489086344079E-2"/>
  </r>
  <r>
    <x v="6"/>
    <s v="LI"/>
    <n v="8"/>
    <s v="LUCIVANA DOS SANTOS"/>
    <x v="1"/>
    <n v="1"/>
    <s v="I"/>
    <n v="1258.99"/>
    <n v="146000.81"/>
    <n v="8.6231713372001157E-3"/>
  </r>
  <r>
    <x v="3"/>
    <s v="XL"/>
    <n v="18"/>
    <s v="LEANDRO LINO DA SILVA"/>
    <x v="1"/>
    <n v="1"/>
    <s v="I"/>
    <n v="1476.89"/>
    <n v="124541.83"/>
    <n v="1.1858585986732329E-2"/>
  </r>
  <r>
    <x v="3"/>
    <s v="XXXIX"/>
    <n v="3"/>
    <s v="VALDEIR MAGALHAES"/>
    <x v="1"/>
    <n v="1"/>
    <s v="I"/>
    <n v="2063.37"/>
    <n v="52156.24"/>
    <n v="3.956132573973891E-2"/>
  </r>
  <r>
    <x v="3"/>
    <s v="XXXVI"/>
    <n v="11"/>
    <s v="FELIPE AKIO HOSHINO DE BARROS"/>
    <x v="1"/>
    <n v="1"/>
    <s v="I"/>
    <n v="684.11"/>
    <n v="161735.51"/>
    <n v="4.229807047320653E-3"/>
  </r>
  <r>
    <x v="3"/>
    <s v="XXXV"/>
    <n v="16"/>
    <s v="MARIA MAYUMI HOSHINO DE BARROS"/>
    <x v="1"/>
    <n v="1"/>
    <s v="I"/>
    <n v="635.64"/>
    <n v="158893.21"/>
    <n v="4.0004226738197309E-3"/>
  </r>
  <r>
    <x v="3"/>
    <s v="XXXIX"/>
    <n v="38"/>
    <s v="THIARA RAMOS DA SILVA"/>
    <x v="1"/>
    <n v="1"/>
    <s v="I"/>
    <n v="8160.25"/>
    <n v="190066.56"/>
    <n v="4.2933643877176499E-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x v="0"/>
    <s v="VII"/>
    <n v="25"/>
    <n v="252.75"/>
    <n v="4953"/>
    <s v="MARCO ANTONIO VOLSE FERNANDES"/>
    <d v="2020-12-22T00:00:00"/>
    <n v="159800.1"/>
  </r>
  <r>
    <x v="1"/>
    <s v="XXIII"/>
    <n v="33"/>
    <n v="338.47"/>
    <m/>
    <s v="ERMESON TIAGO MENDES LIMA"/>
    <d v="2020-10-01T00:00:00"/>
    <n v="213072.4"/>
  </r>
  <r>
    <x v="1"/>
    <s v="XXIV"/>
    <n v="9"/>
    <n v="256.14"/>
    <n v="5049"/>
    <s v="MARIANA LIE NAKAYAMA"/>
    <d v="2021-02-15T00:00:00"/>
    <n v="164500.1"/>
  </r>
  <r>
    <x v="1"/>
    <s v="XXV"/>
    <n v="23"/>
    <n v="260"/>
    <n v="5095"/>
    <s v="SERES DE FATIMA PACHER"/>
    <d v="2021-03-01T00:00:00"/>
    <n v="177627.1"/>
  </r>
  <r>
    <x v="2"/>
    <s v="XXIX"/>
    <n v="23"/>
    <n v="355.37"/>
    <n v="4926"/>
    <s v="FABIANA BARBOSA DOS SANTOS"/>
    <d v="2020-12-11T00:00:00"/>
    <n v="235000"/>
  </r>
  <r>
    <x v="2"/>
    <s v="XXXII"/>
    <n v="5"/>
    <n v="267.12"/>
    <n v="4845"/>
    <s v="WENDEL ROGERIO DANTAS TSUZAKI"/>
    <d v="2020-10-28T00:00:00"/>
    <n v="153877.6"/>
  </r>
  <r>
    <x v="2"/>
    <s v="XXXII"/>
    <n v="17"/>
    <n v="260.95999999999998"/>
    <n v="4820"/>
    <s v="MARCOS ROBERTO RODRIGUES"/>
    <d v="2020-10-09T00:00:00"/>
    <n v="160182.42000000001"/>
  </r>
  <r>
    <x v="3"/>
    <s v="IX"/>
    <n v="7"/>
    <n v="254"/>
    <n v="4866"/>
    <s v="MARCIO GEREMIAS"/>
    <d v="2020-11-18T00:00:00"/>
    <n v="149460"/>
  </r>
  <r>
    <x v="3"/>
    <s v="IX"/>
    <n v="23"/>
    <n v="254"/>
    <n v="5009"/>
    <s v="SIRLEI RIBEIRO"/>
    <d v="2021-02-04T00:00:00"/>
    <n v="156509.6"/>
  </r>
  <r>
    <x v="3"/>
    <s v="IX"/>
    <n v="24"/>
    <n v="254"/>
    <n v="5011"/>
    <s v="RAFAEL APARECIDO DE SOUZA"/>
    <d v="2021-02-04T00:00:00"/>
    <n v="156933"/>
  </r>
  <r>
    <x v="3"/>
    <s v="XIII"/>
    <n v="25"/>
    <n v="250.75"/>
    <n v="4949"/>
    <s v="ELENICE CHICO CLAUDIO"/>
    <d v="2020-12-03T00:00:00"/>
    <n v="145700.1"/>
  </r>
  <r>
    <x v="3"/>
    <s v="XVI"/>
    <n v="15"/>
    <n v="257.75"/>
    <n v="4975"/>
    <s v="MIKAELE DA COSTA MOURA"/>
    <d v="2021-01-15T00:00:00"/>
    <n v="159249.19"/>
  </r>
  <r>
    <x v="4"/>
    <s v="XL"/>
    <n v="8"/>
    <n v="277.37"/>
    <n v="4870"/>
    <s v="M &amp; R MADEIRAS LTDA - ME"/>
    <d v="2020-11-20T00:00:00"/>
    <n v="168260.04"/>
  </r>
  <r>
    <x v="4"/>
    <s v="XL"/>
    <n v="17"/>
    <n v="354.59"/>
    <n v="5120"/>
    <s v="MARIA APARECIDA ARANDA MILAN"/>
    <d v="2021-03-05T00:00:00"/>
    <n v="208680"/>
  </r>
  <r>
    <x v="4"/>
    <s v="XL"/>
    <n v="22"/>
    <n v="256.19"/>
    <n v="4978"/>
    <s v="IZALTINO CELESTE"/>
    <d v="2021-01-15T00:00:00"/>
    <n v="165440"/>
  </r>
  <r>
    <x v="4"/>
    <s v="XL"/>
    <n v="30"/>
    <n v="277.37"/>
    <n v="4844"/>
    <s v="SORAYA FERNANDES DA SILVA ARAUJO"/>
    <d v="2020-10-23T00:00:00"/>
    <n v="165360.18"/>
  </r>
  <r>
    <x v="4"/>
    <s v="XLI"/>
    <n v="17"/>
    <n v="255.46"/>
    <n v="4863"/>
    <s v="LUCIMARA LOPES DA SILVA"/>
    <d v="2020-11-03T00:00:00"/>
    <n v="129531.6"/>
  </r>
  <r>
    <x v="4"/>
    <s v="XLI-A"/>
    <n v="9"/>
    <n v="376.97"/>
    <n v="5110"/>
    <s v="WESLEY ROQUE SIQUEIRA"/>
    <d v="2021-03-15T00:00:00"/>
    <n v="220249.24"/>
  </r>
  <r>
    <x v="4"/>
    <s v="XXXIX"/>
    <n v="12"/>
    <n v="250.5"/>
    <n v="4914"/>
    <s v="JOSE CARLOS OLIVEIRA"/>
    <d v="2020-12-01T00:00:00"/>
    <n v="159799.6"/>
  </r>
  <r>
    <x v="4"/>
    <s v="XXXIX"/>
    <n v="13"/>
    <n v="250.5"/>
    <n v="4813"/>
    <s v="EDUARDO GUIMARAES REZENDE JUNIOR"/>
    <d v="2020-10-01T00:00:00"/>
    <n v="147580.4"/>
  </r>
  <r>
    <x v="4"/>
    <s v="XXXIX"/>
    <n v="23"/>
    <n v="351.9"/>
    <n v="5115"/>
    <s v="PAULO HENRIQUE GOMES PERUSSI"/>
    <d v="2021-03-16T00:00:00"/>
    <n v="214320"/>
  </r>
  <r>
    <x v="4"/>
    <s v="XXXIX"/>
    <n v="38"/>
    <n v="256.75"/>
    <n v="5005"/>
    <s v="THIARA RAMOS DA SILVA"/>
    <d v="2021-01-26T00:00:00"/>
    <n v="187698.4"/>
  </r>
  <r>
    <x v="4"/>
    <s v="XXXIX"/>
    <n v="39"/>
    <n v="256.75"/>
    <n v="4991"/>
    <s v="MARCOS VINICIUS MAGALHAES BELIATO"/>
    <d v="2021-01-22T00:00:00"/>
    <n v="177660"/>
  </r>
  <r>
    <x v="4"/>
    <s v="XXXV"/>
    <n v="16"/>
    <n v="251.75"/>
    <n v="4884"/>
    <s v="MARIA MAYUMI HOSHINO DE BARROS"/>
    <d v="2020-11-23T00:00:00"/>
    <n v="158860"/>
  </r>
  <r>
    <x v="4"/>
    <s v="XXXVI"/>
    <n v="1"/>
    <n v="353.3"/>
    <n v="4980"/>
    <s v="CRISTIANO BETIOL"/>
    <d v="2021-01-06T00:00:00"/>
    <n v="225600"/>
  </r>
  <r>
    <x v="4"/>
    <s v="XXXVI"/>
    <n v="11"/>
    <n v="257"/>
    <n v="4883"/>
    <s v="FELIPE AKIO HOSHINO DE BARROS"/>
    <d v="2020-11-23T00:00:00"/>
    <n v="161748.62"/>
  </r>
  <r>
    <x v="4"/>
    <s v="XXXVI"/>
    <n v="12"/>
    <n v="257"/>
    <n v="4836"/>
    <s v="DIRLEY SOARES DOS SANTOS"/>
    <d v="2020-10-13T00:00:00"/>
    <n v="147579.96"/>
  </r>
  <r>
    <x v="4"/>
    <s v="XXXVI"/>
    <n v="21"/>
    <n v="338.85"/>
    <n v="4909"/>
    <s v="GIVANIA MARIA BERTIN MAZIERI"/>
    <d v="2020-12-01T00:00:00"/>
    <n v="222483.99"/>
  </r>
  <r>
    <x v="4"/>
    <s v="XXXVII"/>
    <n v="12"/>
    <n v="255.5"/>
    <n v="4828"/>
    <s v="ELCIO LUIS BASSI"/>
    <d v="2020-10-02T00:00:00"/>
    <n v="152279.9"/>
  </r>
  <r>
    <x v="4"/>
    <s v="XXXVIII"/>
    <n v="6"/>
    <n v="253.75"/>
    <n v="4827"/>
    <s v="RAFAEL COMAR ALENCAR"/>
    <d v="2020-10-13T00:00:00"/>
    <n v="152280"/>
  </r>
  <r>
    <x v="4"/>
    <s v="XXXVIII"/>
    <n v="15"/>
    <n v="253.75"/>
    <n v="4807"/>
    <s v="FRANCISCO CARLOS CABRAL DE MELO"/>
    <d v="2020-10-09T00:00:00"/>
    <n v="137710"/>
  </r>
  <r>
    <x v="4"/>
    <s v="XXXVIII"/>
    <n v="17"/>
    <n v="253.75"/>
    <n v="4831"/>
    <s v="CARLOS EDUARDO BAZANI CABRAL DE MELO"/>
    <d v="2020-10-09T00:00:00"/>
    <n v="137710"/>
  </r>
  <r>
    <x v="4"/>
    <s v="XXXVIII"/>
    <n v="41"/>
    <n v="255.25"/>
    <n v="4925"/>
    <s v="EDER VASSOLER"/>
    <d v="2020-12-10T00:00:00"/>
    <n v="172959.2"/>
  </r>
  <r>
    <x v="5"/>
    <s v="X"/>
    <n v="23"/>
    <n v="252.5"/>
    <n v="5121"/>
    <s v="ROSEMARY MARIKO HIRAYAMA"/>
    <d v="2021-03-16T00:00:00"/>
    <n v="143726"/>
  </r>
  <r>
    <x v="5"/>
    <s v="X"/>
    <n v="24"/>
    <n v="252.5"/>
    <n v="5126"/>
    <s v="LUCAS DONIZETTI BUENO DE CAMARGO"/>
    <d v="2021-03-25T00:00:00"/>
    <n v="143312.4"/>
  </r>
  <r>
    <x v="5"/>
    <s v="X"/>
    <n v="25"/>
    <n v="252.5"/>
    <n v="5127"/>
    <s v="LUCAS DONIZETTI BUENO DE CAMARGO"/>
    <d v="2021-03-25T00:00:00"/>
    <n v="143312.4"/>
  </r>
  <r>
    <x v="5"/>
    <s v="X"/>
    <n v="26"/>
    <n v="252.5"/>
    <n v="5128"/>
    <s v="LUCAS DONIZETTI BUENO DE CAMARGO"/>
    <d v="2021-03-25T00:00:00"/>
    <n v="143312.4"/>
  </r>
  <r>
    <x v="5"/>
    <s v="XIV"/>
    <n v="6"/>
    <n v="257"/>
    <n v="5116"/>
    <s v="BRUNO SCUPINARI"/>
    <d v="2021-03-01T00:00:00"/>
    <n v="131599.9"/>
  </r>
  <r>
    <x v="5"/>
    <s v="XIV"/>
    <n v="7"/>
    <n v="257"/>
    <n v="5118"/>
    <s v="BRUNO SCUPINARI"/>
    <d v="2021-03-01T00:00:00"/>
    <n v="131599.9"/>
  </r>
  <r>
    <x v="5"/>
    <s v="XIV"/>
    <n v="9"/>
    <n v="257"/>
    <n v="5108"/>
    <s v="VIVIANE HELENA DA SILVA ALMEIDA"/>
    <d v="2021-03-03T00:00:00"/>
    <n v="143312.4"/>
  </r>
  <r>
    <x v="5"/>
    <s v="XIV"/>
    <n v="13"/>
    <n v="257"/>
    <n v="4812"/>
    <s v="THAIS ALMEIDA PRADO MONTEIRO"/>
    <d v="2020-10-07T00:00:00"/>
    <n v="112800"/>
  </r>
  <r>
    <x v="5"/>
    <s v="XVII"/>
    <n v="4"/>
    <n v="265.01"/>
    <n v="5093"/>
    <s v="IZABELA DE OLIVEIRA AMERICO"/>
    <d v="2021-03-01T00:00:00"/>
    <n v="117453"/>
  </r>
  <r>
    <x v="5"/>
    <s v="XVII"/>
    <n v="14"/>
    <n v="264.81"/>
    <n v="5050"/>
    <s v="JEFFERSON GONCALVES BUSONI"/>
    <d v="2021-02-22T00:00:00"/>
    <n v="103635"/>
  </r>
  <r>
    <x v="6"/>
    <s v="L"/>
    <n v="1"/>
    <n v="382.45"/>
    <n v="4973"/>
    <s v="SIDNEY RUFINO BELARDI"/>
    <d v="2021-01-06T00:00:00"/>
    <n v="183300"/>
  </r>
  <r>
    <x v="6"/>
    <s v="LI"/>
    <n v="1"/>
    <n v="396.16"/>
    <n v="5073"/>
    <s v="VICTORIA FERNANDA LIMA MENDES"/>
    <d v="2021-03-01T00:00:00"/>
    <n v="218660.73"/>
  </r>
  <r>
    <x v="6"/>
    <s v="LI"/>
    <n v="14"/>
    <n v="349"/>
    <n v="5004"/>
    <s v="ANDERSON BATISTA DA SILVA"/>
    <d v="2021-01-20T00:00:00"/>
    <n v="182074.2"/>
  </r>
  <r>
    <x v="6"/>
    <s v="XLIV"/>
    <n v="2"/>
    <n v="254.25"/>
    <m/>
    <s v="GUILHERME SOUZA MIGUELETE"/>
    <d v="2020-10-07T00:00:00"/>
    <n v="147698.46"/>
  </r>
  <r>
    <x v="6"/>
    <s v="XLIX"/>
    <n v="1"/>
    <n v="333.9"/>
    <n v="5001"/>
    <s v="JULIANO CEZAR GOUVEIA"/>
    <d v="2021-01-15T00:00:00"/>
    <n v="169200"/>
  </r>
  <r>
    <x v="6"/>
    <s v="XLIX"/>
    <n v="3"/>
    <n v="269.45999999999998"/>
    <m/>
    <s v="PAULO MENDONÇA FELIX PESSOA"/>
    <d v="2020-10-19T00:00:00"/>
    <n v="126532.68"/>
  </r>
  <r>
    <x v="6"/>
    <s v="XLIX"/>
    <n v="8"/>
    <n v="256.73"/>
    <n v="5096"/>
    <s v="MICHELLI GUERMANI"/>
    <d v="2021-03-03T00:00:00"/>
    <n v="134177.16"/>
  </r>
  <r>
    <x v="6"/>
    <s v="XLIX"/>
    <n v="17"/>
    <n v="256.73"/>
    <n v="4952"/>
    <s v="BRUNO HENRIQUE FAGUNDES DE SOUZA"/>
    <d v="2020-12-18T00:00:00"/>
    <n v="134176.66"/>
  </r>
  <r>
    <x v="6"/>
    <s v="XLIX"/>
    <n v="34"/>
    <n v="274.63"/>
    <m/>
    <s v="VIEIRA &amp; NUNES CONSTRUCOES"/>
    <d v="2020-10-09T00:00:00"/>
    <n v="119662"/>
  </r>
  <r>
    <x v="6"/>
    <s v="XLV"/>
    <n v="1"/>
    <n v="274.93"/>
    <n v="5088"/>
    <s v="HEVELIN MIKA MIYA"/>
    <d v="2021-03-03T00:00:00"/>
    <n v="171834.46"/>
  </r>
  <r>
    <x v="6"/>
    <s v="XLV"/>
    <n v="2"/>
    <n v="263.04000000000002"/>
    <n v="4993"/>
    <s v="RENATO ZANIN"/>
    <d v="2021-01-26T00:00:00"/>
    <n v="159471.6"/>
  </r>
  <r>
    <x v="6"/>
    <s v="XLV"/>
    <n v="3"/>
    <n v="268.16000000000003"/>
    <n v="5020"/>
    <s v="SILAS ODA"/>
    <d v="2021-02-09T00:00:00"/>
    <n v="164500.1"/>
  </r>
  <r>
    <x v="6"/>
    <s v="XLV"/>
    <n v="5"/>
    <n v="268.16000000000003"/>
    <n v="5122"/>
    <s v="LUIZ FERNANDO PORTELLO"/>
    <d v="2021-03-03T00:00:00"/>
    <n v="154160"/>
  </r>
  <r>
    <x v="6"/>
    <s v="XLV"/>
    <n v="7"/>
    <n v="268.16000000000003"/>
    <n v="5094"/>
    <s v="JOSE MARCELO TEIXEIRA COSTA"/>
    <d v="2021-03-04T00:00:00"/>
    <n v="155100"/>
  </r>
  <r>
    <x v="6"/>
    <s v="XLV"/>
    <n v="8"/>
    <n v="268.16000000000003"/>
    <n v="5117"/>
    <s v="ROBERTO HIROYUKI HIRAYAMA"/>
    <d v="2021-03-11T00:00:00"/>
    <n v="143726.1"/>
  </r>
  <r>
    <x v="6"/>
    <s v="XLV"/>
    <n v="12"/>
    <n v="268.16000000000003"/>
    <n v="4885"/>
    <s v="ANGELO MOZZAQUATRO"/>
    <d v="2020-11-12T00:00:00"/>
    <n v="137604.69"/>
  </r>
  <r>
    <x v="6"/>
    <s v="XLV"/>
    <n v="13"/>
    <n v="268.16000000000003"/>
    <n v="5047"/>
    <s v="EDUARDO AKIRA HIROTA"/>
    <d v="2021-02-08T00:00:00"/>
    <n v="138179.9"/>
  </r>
  <r>
    <x v="6"/>
    <s v="XLV"/>
    <n v="19"/>
    <n v="295.02999999999997"/>
    <n v="4867"/>
    <s v="MATHEUS ASTH DA SILVA"/>
    <d v="2020-11-03T00:00:00"/>
    <n v="148519.79999999999"/>
  </r>
  <r>
    <x v="6"/>
    <s v="XLVI"/>
    <n v="2"/>
    <n v="252.75"/>
    <m/>
    <s v="RENATO ZUNTINI MUNIZ MEIBORG"/>
    <d v="2020-10-29T00:00:00"/>
    <n v="146640"/>
  </r>
  <r>
    <x v="6"/>
    <s v="XLVI"/>
    <n v="3"/>
    <n v="252.75"/>
    <n v="4912"/>
    <s v="PEDRO LUIS ALVES DE OLIVEIRA"/>
    <d v="2020-12-01T00:00:00"/>
    <n v="153043.28"/>
  </r>
  <r>
    <x v="6"/>
    <s v="XLVI"/>
    <n v="7"/>
    <n v="252.75"/>
    <n v="4878"/>
    <s v="JOAO BATISTA DE LIMA"/>
    <d v="2020-11-27T00:00:00"/>
    <n v="141000"/>
  </r>
  <r>
    <x v="6"/>
    <s v="XLVI"/>
    <n v="8"/>
    <n v="252.75"/>
    <n v="4879"/>
    <s v="JOAO BATISTA DE LIMA"/>
    <d v="2020-11-27T00:00:00"/>
    <n v="141000"/>
  </r>
  <r>
    <x v="6"/>
    <s v="XLVI"/>
    <n v="9"/>
    <n v="252.75"/>
    <n v="4880"/>
    <s v="JOAO BATISTA DE LIMA"/>
    <d v="2020-11-27T00:00:00"/>
    <n v="141000"/>
  </r>
  <r>
    <x v="6"/>
    <s v="XLVI"/>
    <n v="10"/>
    <n v="252.75"/>
    <n v="4882"/>
    <s v="JOAO BATISTA DE LIMA"/>
    <d v="2020-11-27T00:00:00"/>
    <n v="141000"/>
  </r>
  <r>
    <x v="6"/>
    <s v="XLVI"/>
    <n v="11"/>
    <n v="252.75"/>
    <n v="5003"/>
    <s v="ROBSON SAKAMOTO BATILANI"/>
    <d v="2021-01-19T00:00:00"/>
    <n v="159800"/>
  </r>
  <r>
    <x v="6"/>
    <s v="XLVI"/>
    <n v="12"/>
    <n v="252.75"/>
    <n v="4977"/>
    <s v="ALESSANDRO LUIS LEITE"/>
    <d v="2021-01-12T00:00:00"/>
    <n v="160694.46"/>
  </r>
  <r>
    <x v="6"/>
    <s v="XLVI"/>
    <n v="13"/>
    <n v="252.75"/>
    <n v="5008"/>
    <s v="ELIZEU ABEL TRINDADE"/>
    <d v="2021-02-01T00:00:00"/>
    <n v="155874.56"/>
  </r>
  <r>
    <x v="6"/>
    <s v="XLVI"/>
    <n v="14"/>
    <n v="252.75"/>
    <n v="5044"/>
    <s v="RODRIGO CLIVATI SCERBO"/>
    <d v="2021-02-11T00:00:00"/>
    <n v="160694.75"/>
  </r>
  <r>
    <x v="6"/>
    <s v="XLVI"/>
    <n v="18"/>
    <n v="252.75"/>
    <n v="5021"/>
    <s v="WILSON TAKASHI KOBAYASHI"/>
    <d v="2021-02-03T00:00:00"/>
    <n v="144625.85999999999"/>
  </r>
  <r>
    <x v="6"/>
    <s v="XLVI"/>
    <n v="21"/>
    <n v="252.75"/>
    <n v="5046"/>
    <s v="RENAN CAMPANA MARTINS"/>
    <d v="2021-02-18T00:00:00"/>
    <n v="156039.79999999999"/>
  </r>
  <r>
    <x v="6"/>
    <s v="XLVI"/>
    <n v="22"/>
    <n v="252.75"/>
    <n v="5119"/>
    <s v="LUCAS DONIZETTI BUENO DE CAMARGO"/>
    <d v="2021-03-18T00:00:00"/>
    <n v="199751.74"/>
  </r>
  <r>
    <x v="6"/>
    <s v="XLVII"/>
    <n v="1"/>
    <n v="351.33"/>
    <n v="5109"/>
    <s v="LAURA PEREIRA DE OLIVEIRA"/>
    <d v="2021-03-01T00:00:00"/>
    <n v="227157.61"/>
  </r>
  <r>
    <x v="6"/>
    <s v="XLVII"/>
    <n v="2"/>
    <n v="254.34"/>
    <n v="4829"/>
    <s v="ROMILDA PEREIRA PINHO"/>
    <d v="2020-10-09T00:00:00"/>
    <n v="143312.4"/>
  </r>
  <r>
    <x v="6"/>
    <s v="XLVII"/>
    <n v="3"/>
    <n v="254.34"/>
    <n v="4830"/>
    <s v="ROMILDA PEREIRA PINHO"/>
    <d v="2020-10-09T00:00:00"/>
    <n v="143312.4"/>
  </r>
  <r>
    <x v="6"/>
    <s v="XLVII"/>
    <n v="7"/>
    <n v="257.64"/>
    <n v="4886"/>
    <s v="DAVID CANDIDO DO NASCIMENTO"/>
    <d v="2020-11-18T00:00:00"/>
    <n v="158648.32999999999"/>
  </r>
  <r>
    <x v="6"/>
    <s v="XLVII"/>
    <n v="8"/>
    <n v="257.64"/>
    <n v="4912"/>
    <s v="FLAVIO GONCALVES DA COSTA"/>
    <d v="2020-12-01T00:00:00"/>
    <n v="155100.79999999999"/>
  </r>
  <r>
    <x v="6"/>
    <s v="XLVII"/>
    <n v="10"/>
    <n v="311.27999999999997"/>
    <n v="4924"/>
    <s v="VANESSA VALERO MOREIRA"/>
    <d v="2020-12-11T00:00:00"/>
    <n v="191677.63"/>
  </r>
  <r>
    <x v="6"/>
    <s v="XLVII"/>
    <n v="19"/>
    <n v="253.57"/>
    <n v="4948"/>
    <s v="MARIANY SOUZA CARVALHO"/>
    <d v="2020-12-09T00:00:00"/>
    <n v="156141.54"/>
  </r>
  <r>
    <x v="6"/>
    <s v="XLVII"/>
    <n v="20"/>
    <n v="253.57"/>
    <n v="4913"/>
    <s v="DANIEL REBOLO"/>
    <d v="2020-12-01T00:00:00"/>
    <n v="152280"/>
  </r>
  <r>
    <x v="6"/>
    <s v="XLVII"/>
    <n v="25"/>
    <n v="254.49"/>
    <n v="4811"/>
    <s v="ARIEL LUCCHESI DELIBERADOR"/>
    <d v="2020-10-01T00:00:00"/>
    <n v="140999.6"/>
  </r>
  <r>
    <x v="6"/>
    <s v="XLVIII"/>
    <n v="10"/>
    <n v="256.60000000000002"/>
    <n v="4947"/>
    <s v="DIEGO FRANCISCO PAES"/>
    <d v="2020-12-07T00:00:00"/>
    <n v="129532"/>
  </r>
  <r>
    <x v="6"/>
    <s v="XLVIII"/>
    <n v="12"/>
    <n v="256.60000000000002"/>
    <n v="4951"/>
    <s v="JOAO HENRIQUE ALVES"/>
    <d v="2020-12-14T00:00:00"/>
    <n v="130567.98"/>
  </r>
  <r>
    <x v="6"/>
    <s v="XLVIII"/>
    <n v="15"/>
    <n v="256.60000000000002"/>
    <n v="4938"/>
    <s v="ANDERSON NOVAES CORDEIRO"/>
    <d v="2020-12-11T00:00:00"/>
    <n v="129532"/>
  </r>
  <r>
    <x v="6"/>
    <s v="XLVIII"/>
    <n v="16"/>
    <n v="256.60000000000002"/>
    <n v="4868"/>
    <s v="CARLOS HENRIQUE ANDRADE BARBOSA"/>
    <d v="2020-11-12T00:00:00"/>
    <n v="129532.6"/>
  </r>
  <r>
    <x v="6"/>
    <s v="XLVIII"/>
    <n v="17"/>
    <n v="256.60000000000002"/>
    <n v="4950"/>
    <s v="RONALDO ALEXANDRE FERIATO"/>
    <d v="2020-12-09T00:00:00"/>
    <n v="129532"/>
  </r>
  <r>
    <x v="6"/>
    <s v="XLVIII"/>
    <n v="18"/>
    <n v="256.60000000000002"/>
    <n v="4848"/>
    <s v="ADRIANO RODRIGO MOLEIRO"/>
    <d v="2020-10-28T00:00:00"/>
    <n v="129531.9"/>
  </r>
  <r>
    <x v="6"/>
    <s v="XLVIII"/>
    <n v="19"/>
    <n v="330.17"/>
    <n v="4974"/>
    <s v="MARCELO MIRANDA FERREIRA"/>
    <d v="2021-01-14T00:00:00"/>
    <n v="188570.43"/>
  </r>
  <r>
    <x v="6"/>
    <s v="XLVIII"/>
    <n v="22"/>
    <n v="250.07"/>
    <n v="4823"/>
    <s v="VIVIANE NAGILA CAMARGO ABDO"/>
    <d v="2020-10-08T00:00:00"/>
    <n v="117500"/>
  </r>
  <r>
    <x v="6"/>
    <s v="XLVIII"/>
    <n v="23"/>
    <n v="250.07"/>
    <n v="4840"/>
    <s v="JORGE LUIZ DE OLIVEIRA LOVATO"/>
    <d v="2020-10-02T00:00:00"/>
    <n v="117500"/>
  </r>
  <r>
    <x v="6"/>
    <s v="XLVIII"/>
    <n v="24"/>
    <n v="250.07"/>
    <n v="4832"/>
    <s v="EDUARDO FERNANDES DA SILVA NETO"/>
    <d v="2020-10-02T00:00:00"/>
    <n v="117500"/>
  </r>
  <r>
    <x v="6"/>
    <s v="XLVIII"/>
    <n v="25"/>
    <n v="250.07"/>
    <n v="4833"/>
    <s v="EDUARDO FERNANDES DA SILVA NETO"/>
    <d v="2020-10-06T00:00:00"/>
    <n v="117500"/>
  </r>
  <r>
    <x v="6"/>
    <s v="XLVIII"/>
    <n v="26"/>
    <n v="250.07"/>
    <n v="4835"/>
    <s v="JGS COMERCIO E EXPORTAÇÃO DE OBRAS ARTISTICAS LTDA"/>
    <d v="2020-10-08T00:00:00"/>
    <n v="117500"/>
  </r>
  <r>
    <x v="6"/>
    <s v="XLVIII"/>
    <n v="27"/>
    <n v="250.07"/>
    <n v="4824"/>
    <s v="JGS COMERCIO E EXPORTAÇÃO DE OBRAS ARTISTICAS LTDA"/>
    <d v="2020-10-08T00:00:00"/>
    <n v="117500"/>
  </r>
  <r>
    <x v="6"/>
    <s v="XLVIII"/>
    <n v="28"/>
    <n v="250.07"/>
    <n v="4826"/>
    <s v="EDUARDO ALVES NUNES AVERSA"/>
    <d v="2020-10-09T00:00:00"/>
    <n v="117500"/>
  </r>
  <r>
    <x v="6"/>
    <s v="XLVIII"/>
    <n v="29"/>
    <n v="250.07"/>
    <n v="4822"/>
    <s v="MARIA ANGELA ALVES NUNES AVERSA"/>
    <d v="2020-10-09T00:00:00"/>
    <n v="117500"/>
  </r>
  <r>
    <x v="6"/>
    <s v="XLVIII"/>
    <n v="30"/>
    <n v="250.07"/>
    <n v="4821"/>
    <s v="DOLORES CRISTINA MANPRIM"/>
    <d v="2020-10-09T00:00:00"/>
    <n v="117500"/>
  </r>
  <r>
    <x v="6"/>
    <s v="XLVIII"/>
    <n v="31"/>
    <n v="250.07"/>
    <n v="5014"/>
    <s v="RAFAEL STELLATO LIU"/>
    <d v="2021-02-03T00:00:00"/>
    <n v="148211.69"/>
  </r>
  <r>
    <x v="6"/>
    <s v="XLVIII"/>
    <n v="32"/>
    <n v="250.07"/>
    <n v="5125"/>
    <s v="GISELE MIYUKI KAWABATA"/>
    <d v="2021-03-25T00:00:00"/>
    <n v="150000"/>
  </r>
  <r>
    <x v="6"/>
    <s v="XLVIII"/>
    <n v="33"/>
    <n v="250.07"/>
    <n v="4862"/>
    <s v="RAUL RANGEL DE OLIVEIRA"/>
    <d v="2020-11-06T00:00:00"/>
    <n v="131599.9"/>
  </r>
  <r>
    <x v="6"/>
    <s v="XLVIII"/>
    <n v="36"/>
    <n v="254.95"/>
    <n v="5124"/>
    <s v="RENATA PACHECO ABREU"/>
    <d v="2021-03-01T00:00:00"/>
    <n v="151104.9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7">
  <r>
    <x v="0"/>
    <m/>
    <m/>
    <m/>
    <m/>
    <m/>
    <m/>
    <m/>
    <m/>
    <m/>
    <s v="Média:"/>
    <n v="0.89987418621175508"/>
    <n v="89233968.699999973"/>
    <n v="0.60756806754147452"/>
    <n v="0.67564175996621867"/>
    <e v="#DIV/0!"/>
    <e v="#DIV/0!"/>
  </r>
  <r>
    <x v="1"/>
    <s v="VII"/>
    <n v="9"/>
    <n v="252.5"/>
    <n v="2367"/>
    <s v="ROMARIO LOMBARDE"/>
    <s v="VII9ROMARIO LOMBARDE"/>
    <d v="2013-06-21T00:00:00"/>
    <n v="79749.600000000006"/>
    <s v="ATIVO"/>
    <n v="48209.07"/>
    <n v="0.60450547714345892"/>
    <n v="176968.99"/>
    <n v="0.27241535367297964"/>
    <n v="0.31886751010461728"/>
    <n v="0.29389093927928833"/>
    <n v="0.29389093927928833"/>
  </r>
  <r>
    <x v="1"/>
    <s v="VII"/>
    <n v="18"/>
    <n v="252.5"/>
    <n v="2398"/>
    <s v="VALDELICE FLORENTINO"/>
    <s v="VII18VALDELICE FLORENTINO"/>
    <d v="2013-06-17T00:00:00"/>
    <n v="79749.600000000006"/>
    <s v="INADIMPLENTE"/>
    <n v="119260.23"/>
    <n v="1.4954335821120104"/>
    <n v="161113.85"/>
    <n v="0.74022332654827616"/>
    <n v="0.78881863090501392"/>
    <n v="0.72703126223683545"/>
    <n v="0.72703126223683545"/>
  </r>
  <r>
    <x v="1"/>
    <s v="VII"/>
    <n v="19"/>
    <n v="252.5"/>
    <n v="2399"/>
    <s v="VALDELICE FLORENTINO"/>
    <s v="VII19VALDELICE FLORENTINO"/>
    <d v="2013-06-17T00:00:00"/>
    <n v="79749.600000000006"/>
    <s v="INADIMPLENTE"/>
    <n v="119260.23"/>
    <n v="1.4954335821120104"/>
    <n v="161088.44"/>
    <n v="0.7403400889598285"/>
    <n v="0.78881863090501392"/>
    <n v="0.72703126223683545"/>
    <n v="0.72703126223683545"/>
  </r>
  <r>
    <x v="1"/>
    <s v="VII"/>
    <n v="25"/>
    <n v="252.75"/>
    <n v="4953"/>
    <s v="MARCO ANTONIO VOLSE FERNANDES"/>
    <s v="VII25MARCO ANTONIO VOLSE FERNANDES"/>
    <d v="2020-12-22T00:00:00"/>
    <n v="159800.1"/>
    <s v="ATIVO"/>
    <n v="113719.89"/>
    <n v="0.71163841574567221"/>
    <n v="162997.06"/>
    <n v="0.6976806207424846"/>
    <n v="0.75142937071686466"/>
    <n v="0.69257066513163734"/>
    <n v="0.69257066513163734"/>
  </r>
  <r>
    <x v="1"/>
    <s v="XI"/>
    <n v="1"/>
    <n v="400.62"/>
    <n v="2633"/>
    <s v="THIAGO DE MENEZES CALDAS"/>
    <s v="XI1THIAGO DE MENEZES CALDAS"/>
    <d v="2013-06-08T00:00:00"/>
    <n v="120506.5"/>
    <s v="ATIVO"/>
    <n v="112050.31"/>
    <n v="0.92982793459273982"/>
    <n v="282245.19"/>
    <n v="0.3969963491671904"/>
    <n v="0.46711448547816692"/>
    <n v="0.4305258784223564"/>
    <n v="0.4305258784223564"/>
  </r>
  <r>
    <x v="1"/>
    <s v="XI"/>
    <n v="2"/>
    <n v="267.14"/>
    <n v="2634"/>
    <s v="THIAGO DE MENEZES CALDAS"/>
    <s v="XI2THIAGO DE MENEZES CALDAS"/>
    <d v="2013-06-08T00:00:00"/>
    <n v="87889.06"/>
    <s v="ATIVO"/>
    <n v="82439.839999999997"/>
    <n v="0.93799888177208857"/>
    <n v="206595.05000000002"/>
    <n v="0.3990407320988571"/>
    <n v="0.51539608824303862"/>
    <n v="0.47502563188366759"/>
    <n v="0.47502563188366759"/>
  </r>
  <r>
    <x v="1"/>
    <s v="XI"/>
    <n v="3"/>
    <n v="262.63"/>
    <n v="2638"/>
    <s v="THIAGO DE MENEZES CALDAS"/>
    <s v="XI3THIAGO DE MENEZES CALDAS"/>
    <d v="2013-06-08T00:00:00"/>
    <n v="86405.27"/>
    <s v="ATIVO"/>
    <n v="78259.759999999995"/>
    <n v="0.90572901398259609"/>
    <n v="202797.93"/>
    <n v="0.3859001913875551"/>
    <n v="0.49766497581846592"/>
    <n v="0.45868337963220845"/>
    <n v="0.45868337963220845"/>
  </r>
  <r>
    <x v="1"/>
    <s v="XI"/>
    <n v="4"/>
    <n v="262.63"/>
    <n v="2639"/>
    <s v="THIAGO DE MENEZES CALDAS"/>
    <s v="XI4THIAGO DE MENEZES CALDAS"/>
    <d v="2013-06-08T00:00:00"/>
    <n v="86405.27"/>
    <s v="ATIVO"/>
    <n v="79642.740000000005"/>
    <n v="0.92173475066972188"/>
    <n v="204422.49"/>
    <n v="0.38959871783187855"/>
    <n v="0.50645954288917283"/>
    <n v="0.4667890771243009"/>
    <n v="0.4667890771243009"/>
  </r>
  <r>
    <x v="1"/>
    <s v="XI"/>
    <n v="5"/>
    <n v="262.08999999999997"/>
    <n v="2658"/>
    <s v="MARCOS ALIPIO VASCONCELOS VIANA"/>
    <s v="XI5MARCOS ALIPIO VASCONCELOS VIANA"/>
    <d v="2013-06-22T00:00:00"/>
    <n v="86227.69"/>
    <s v="ATIVO"/>
    <n v="77386.36"/>
    <n v="0.89746530377886735"/>
    <n v="159678.22"/>
    <n v="0.48463942045446146"/>
    <n v="0.49312482672794244"/>
    <n v="0.45449885584599969"/>
    <n v="0.45449885584599969"/>
  </r>
  <r>
    <x v="1"/>
    <s v="XI"/>
    <n v="8"/>
    <n v="252.75"/>
    <n v="2454"/>
    <s v="MARIO CESAR VOLPE PAULO"/>
    <s v="XI8MARIO CESAR VOLPE PAULO"/>
    <d v="2013-06-21T00:00:00"/>
    <n v="83154.75"/>
    <s v="ATIVO"/>
    <n v="84089.33"/>
    <n v="1.0112390452740223"/>
    <n v="161309.64000000001"/>
    <n v="0.52129141197017115"/>
    <n v="0.5556388801106189"/>
    <n v="0.51211624640662023"/>
    <n v="0.51211624640662023"/>
  </r>
  <r>
    <x v="1"/>
    <s v="XI"/>
    <n v="9"/>
    <n v="252.75"/>
    <n v="2455"/>
    <s v="MARIO CESAR VOLPE PAULO"/>
    <s v="XI9MARIO CESAR VOLPE PAULO"/>
    <d v="2013-06-21T00:00:00"/>
    <n v="83154.75"/>
    <s v="ATIVO"/>
    <n v="41486.51"/>
    <n v="0.49890727829739134"/>
    <n v="139541.29"/>
    <n v="0.29730633850382204"/>
    <n v="0.27413130721933443"/>
    <n v="0.25265887809678961"/>
    <n v="0.25265887809678961"/>
  </r>
  <r>
    <x v="1"/>
    <s v="XI"/>
    <n v="10"/>
    <n v="252.75"/>
    <n v="2630"/>
    <s v="LUIZ HIROAKI SATO"/>
    <s v="XI10LUIZ HIROAKI SATO"/>
    <d v="2013-06-06T00:00:00"/>
    <n v="83154.75"/>
    <s v="ATIVO"/>
    <n v="83257.710000000006"/>
    <n v="1.0012381734056084"/>
    <n v="163003.98000000001"/>
    <n v="0.51077102534551611"/>
    <n v="0.55014376669399889"/>
    <n v="0.50705155968790494"/>
    <n v="0.50705155968790494"/>
  </r>
  <r>
    <x v="1"/>
    <s v="XI"/>
    <n v="11"/>
    <n v="252.75"/>
    <n v="2348"/>
    <s v="EUGENIA CAMPREGHER DA SILVA"/>
    <s v="XI11EUGENIA CAMPREGHER DA SILVA"/>
    <d v="2013-06-15T00:00:00"/>
    <n v="83154.75"/>
    <s v="ATIVO"/>
    <n v="14726.74"/>
    <n v="0.17710040617042322"/>
    <n v="116463.53"/>
    <n v="0.12644937003025755"/>
    <n v="9.7310197634827816E-2"/>
    <n v="8.9687987888668275E-2"/>
    <n v="8.9687987888668275E-2"/>
  </r>
  <r>
    <x v="1"/>
    <s v="XI"/>
    <n v="13"/>
    <n v="252.75"/>
    <n v="3801"/>
    <s v="ROBERTO CARLOS DE OLIVEIRA"/>
    <s v="XI13ROBERTO CARLOS DE OLIVEIRA"/>
    <d v="2020-03-02T00:00:00"/>
    <n v="144759"/>
    <s v="ATIVO"/>
    <n v="36375.79"/>
    <n v="0.25128517052480331"/>
    <n v="141044.12"/>
    <n v="0.25790362618448753"/>
    <n v="0.24036109240897807"/>
    <n v="0.22153385019092758"/>
    <n v="0.22153385019092758"/>
  </r>
  <r>
    <x v="1"/>
    <s v="XI"/>
    <n v="14"/>
    <n v="252.75"/>
    <n v="2299"/>
    <s v="ANDERSON CARNEIRO"/>
    <s v="XI14ANDERSON CARNEIRO"/>
    <d v="2013-06-20T00:00:00"/>
    <n v="83154.75"/>
    <s v="ATIVO"/>
    <n v="43847.63"/>
    <n v="0.5273015672586352"/>
    <n v="152746.86000000002"/>
    <n v="0.28706076183824658"/>
    <n v="0.28973293078568679"/>
    <n v="0.26703844220695194"/>
    <n v="0.26703844220695194"/>
  </r>
  <r>
    <x v="1"/>
    <s v="XI"/>
    <n v="17"/>
    <n v="252.75"/>
    <n v="7018"/>
    <s v="DOUGLAS ANTONIO DE LIMA"/>
    <s v="XI17DOUGLAS ANTONIO DE LIMA"/>
    <d v="2019-03-01T00:00:00"/>
    <n v="154912"/>
    <s v="ATIVO"/>
    <n v="153223.24"/>
    <n v="0.98909858500309844"/>
    <n v="204333.98"/>
    <n v="0.74986666436977334"/>
    <n v="1.0124565088165238"/>
    <n v="0.93315181047417906"/>
    <n v="0.93315181047417906"/>
  </r>
  <r>
    <x v="1"/>
    <s v="XI"/>
    <n v="19"/>
    <n v="252.75"/>
    <n v="2614"/>
    <s v="ANGELA MARIA CARDOSO DE ALMEIDA"/>
    <s v="XI19ANGELA MARIA CARDOSO DE ALMEIDA"/>
    <d v="2013-06-20T00:00:00"/>
    <n v="83154.75"/>
    <s v="ATIVO"/>
    <n v="86975.69"/>
    <n v="1.0459497503149249"/>
    <n v="159324.35"/>
    <n v="0.54590330982050139"/>
    <n v="0.57471114335728868"/>
    <n v="0.52969459848741585"/>
    <n v="0.52969459848741585"/>
  </r>
  <r>
    <x v="1"/>
    <s v="XI"/>
    <n v="20"/>
    <n v="252.75"/>
    <n v="2497"/>
    <s v="PAULA BERTONCINE SASSO"/>
    <s v="XI20PAULA BERTONCINE SASSO"/>
    <d v="2013-06-10T00:00:00"/>
    <n v="83154.75"/>
    <s v="ATIVO"/>
    <n v="95484.790000000008"/>
    <n v="1.1482782402688962"/>
    <n v="205045.22"/>
    <n v="0.4656767419401438"/>
    <n v="0.63093690701540406"/>
    <n v="0.58151625472250035"/>
    <n v="0.58151625472250035"/>
  </r>
  <r>
    <x v="1"/>
    <s v="XI"/>
    <n v="22"/>
    <n v="252.75"/>
    <n v="2413"/>
    <s v="BIANCA SILVA DE LIMA"/>
    <s v="XI22BIANCA SILVA DE LIMA"/>
    <d v="2013-06-10T00:00:00"/>
    <n v="83154.75"/>
    <s v="ATIVO"/>
    <n v="72306.59"/>
    <n v="0.86954250959806867"/>
    <n v="155047.83000000002"/>
    <n v="0.46635022237976492"/>
    <n v="0.47778181479407283"/>
    <n v="0.44035764657968446"/>
    <n v="0.44035764657968446"/>
  </r>
  <r>
    <x v="1"/>
    <s v="XI"/>
    <n v="25"/>
    <n v="252.75"/>
    <n v="3124"/>
    <s v="MARIO REGIS MARTINS DOS SANTOS"/>
    <s v="XI25MARIO REGIS MARTINS DOS SANTOS"/>
    <d v="2019-10-14T00:00:00"/>
    <n v="150400"/>
    <s v="ATIVO"/>
    <n v="149694.30000000002"/>
    <n v="0.99530784574468101"/>
    <n v="186027.38"/>
    <n v="0.80468961074439693"/>
    <n v="0.98913825583986736"/>
    <n v="0.91166005276134965"/>
    <n v="0.91166005276134965"/>
  </r>
  <r>
    <x v="1"/>
    <s v="XI"/>
    <n v="26"/>
    <n v="252.75"/>
    <n v="6006"/>
    <s v="CARLOS ROBERTO DA SILVA JUNIOR"/>
    <s v="XI26CARLOS ROBERTO DA SILVA JUNIOR"/>
    <d v="2017-11-28T00:00:00"/>
    <n v="128780"/>
    <s v="ATIVO"/>
    <n v="128293.04000000001"/>
    <n v="0.99621866749495269"/>
    <n v="195666.35"/>
    <n v="0.6556724751087758"/>
    <n v="0.847724688394911"/>
    <n v="0.78132326758810411"/>
    <n v="0.78132326758810411"/>
  </r>
  <r>
    <x v="1"/>
    <s v="XI"/>
    <n v="27"/>
    <n v="252.75"/>
    <n v="6007"/>
    <s v="CARLOS ROBERTO DA SILVA JUNIOR"/>
    <s v="XI27CARLOS ROBERTO DA SILVA JUNIOR"/>
    <d v="2017-11-28T00:00:00"/>
    <n v="128779.81"/>
    <s v="ATIVO"/>
    <n v="77870.52"/>
    <n v="0.6046795689479586"/>
    <n v="172445"/>
    <n v="0.45156728232189974"/>
    <n v="0.5145467150996631"/>
    <n v="0.47424278928291674"/>
    <n v="0.47424278928291674"/>
  </r>
  <r>
    <x v="1"/>
    <s v="XI"/>
    <s v="12 - A"/>
    <n v="252.75"/>
    <n v="2401"/>
    <s v="MARLENE SALLES DE OLIVEIRA TSAY"/>
    <s v="XI12 - AMARLENE SALLES DE OLIVEIRA TSAY"/>
    <d v="2013-06-15T00:00:00"/>
    <n v="83154.75"/>
    <s v="ATIVO"/>
    <n v="84188.51"/>
    <n v="1.0124317612643896"/>
    <n v="162795.28"/>
    <n v="0.51714343315113309"/>
    <n v="0.55629423393647726"/>
    <n v="0.51272026702753137"/>
    <n v="0.51272026702753137"/>
  </r>
  <r>
    <x v="1"/>
    <s v="XI - A"/>
    <n v="1"/>
    <n v="343.7"/>
    <n v="2496"/>
    <s v="THIAGO DE MENEZES CALDAS"/>
    <s v="XI - A1THIAGO DE MENEZES CALDAS"/>
    <d v="2013-06-08T00:00:00"/>
    <n v="108554.21"/>
    <s v="ATIVO"/>
    <n v="101033.7"/>
    <n v="0.93072115765938501"/>
    <n v="254780.04"/>
    <n v="0.39655264988576028"/>
    <n v="0.49094136419530282"/>
    <n v="0.45248642173382553"/>
    <n v="0.45248642173382553"/>
  </r>
  <r>
    <x v="1"/>
    <s v="XI - A"/>
    <n v="2"/>
    <n v="338.02"/>
    <n v="2495"/>
    <s v="THIAGO DE MENEZES CALDAS"/>
    <s v="XI - A2THIAGO DE MENEZES CALDAS"/>
    <d v="2013-06-08T00:00:00"/>
    <n v="106760.24"/>
    <s v="ATIVO"/>
    <n v="99364.84"/>
    <n v="0.93072889307854678"/>
    <n v="253350.6"/>
    <n v="0.39220289985498352"/>
    <n v="0.4909454501824555"/>
    <n v="0.45249018766972088"/>
    <n v="0.45249018766972088"/>
  </r>
  <r>
    <x v="2"/>
    <s v="XIX"/>
    <n v="6"/>
    <n v="252.75"/>
    <n v="2579"/>
    <s v="GMO EMPREENDIMENTOS E ASSESSORIA EMPRESARIAL LTDA"/>
    <s v="XIX6GMO EMPREENDIMENTOS E ASSESSORIA EMPRESARIAL LTDA"/>
    <d v="2013-06-19T00:00:00"/>
    <n v="90282.3"/>
    <s v="ATIVO"/>
    <n v="91401.97"/>
    <n v="1.0124018772228887"/>
    <n v="177044.80000000002"/>
    <n v="0.51626464036221331"/>
    <n v="0.60395876921250757"/>
    <n v="0.57197692617213625"/>
    <n v="0.57197692617213625"/>
  </r>
  <r>
    <x v="2"/>
    <s v="XIX"/>
    <n v="7"/>
    <n v="252.75"/>
    <n v="2690"/>
    <s v="GMO EMPREENDIMENTOS E ASSESSORIA EMPRESARIAL LTDA"/>
    <s v="XIX7GMO EMPREENDIMENTOS E ASSESSORIA EMPRESARIAL LTDA"/>
    <d v="2013-06-22T00:00:00"/>
    <n v="93846.07"/>
    <s v="ATIVO"/>
    <n v="96809.37"/>
    <n v="1.0315761757524848"/>
    <n v="185667.61000000002"/>
    <n v="0.5214122700238345"/>
    <n v="0.6396893628598842"/>
    <n v="0.60581545318181895"/>
    <n v="0.60581545318181895"/>
  </r>
  <r>
    <x v="2"/>
    <s v="XIX"/>
    <n v="9"/>
    <n v="252.75"/>
    <n v="2530"/>
    <s v="MARCELO FELIX RAMPAZZO"/>
    <s v="XIX9MARCELO FELIX RAMPAZZO"/>
    <d v="2013-06-16T00:00:00"/>
    <n v="93846.07"/>
    <s v="ATIVO"/>
    <n v="95157.98"/>
    <n v="1.013979381342234"/>
    <n v="181087.27"/>
    <n v="0.52548133284023779"/>
    <n v="0.62877743752731374"/>
    <n v="0.5954813545173"/>
    <n v="0.5954813545173"/>
  </r>
  <r>
    <x v="2"/>
    <s v="XIX"/>
    <n v="10"/>
    <n v="252.75"/>
    <n v="2340"/>
    <s v="MARCELO RIBEIRO DA CRUZ"/>
    <s v="XIX10MARCELO RIBEIRO DA CRUZ"/>
    <d v="2013-06-14T00:00:00"/>
    <n v="93846.07"/>
    <s v="ATIVO"/>
    <n v="19968.16"/>
    <n v="0.21277566551268473"/>
    <n v="73704.240000000005"/>
    <n v="0.27092281258174561"/>
    <n v="0.13194404165510246"/>
    <n v="0.12495711829967565"/>
    <n v="0.12495711829967565"/>
  </r>
  <r>
    <x v="2"/>
    <s v="XIX"/>
    <n v="15"/>
    <n v="252.75"/>
    <n v="2711"/>
    <s v="ROSICLER RODINI MASIRONI"/>
    <s v="XIX15ROSICLER RODINI MASIRONI"/>
    <d v="2013-07-29T00:00:00"/>
    <n v="90282.3"/>
    <s v="ATIVO"/>
    <n v="88492.22"/>
    <n v="0.98017241474796279"/>
    <n v="173433.61000000002"/>
    <n v="0.51023685662773199"/>
    <n v="0.58473195135818679"/>
    <n v="0.55376823919384277"/>
    <n v="0.55376823919384277"/>
  </r>
  <r>
    <x v="2"/>
    <s v="XIX"/>
    <n v="17"/>
    <n v="252.75"/>
    <n v="2343"/>
    <s v="ANTONIO ROBERTO DE MORAES"/>
    <s v="XIX17ANTONIO ROBERTO DE MORAES"/>
    <d v="2013-06-14T00:00:00"/>
    <n v="90282.3"/>
    <s v="ATIVO"/>
    <n v="91608.59"/>
    <n v="1.0146904764278268"/>
    <n v="177822.37"/>
    <n v="0.51516909824112678"/>
    <n v="0.605324056644438"/>
    <n v="0.57326991660205462"/>
    <n v="0.57326991660205462"/>
  </r>
  <r>
    <x v="2"/>
    <s v="XIX"/>
    <n v="18"/>
    <n v="252.75"/>
    <n v="2344"/>
    <s v="ELAINE LOMBARDI"/>
    <s v="XIX18ELAINE LOMBARDI"/>
    <d v="2013-06-19T00:00:00"/>
    <n v="90282.3"/>
    <s v="ATIVO"/>
    <n v="91711.66"/>
    <n v="1.0158321177019194"/>
    <n v="179869.09"/>
    <n v="0.50988004664948272"/>
    <n v="0.60600511450722516"/>
    <n v="0.57391490994060701"/>
    <n v="0.57391490994060701"/>
  </r>
  <r>
    <x v="2"/>
    <s v="XXI"/>
    <n v="1"/>
    <n v="310.73"/>
    <n v="2791"/>
    <s v="GIELE ROSA ALVES"/>
    <s v="XXI1GIELE ROSA ALVES"/>
    <d v="2013-08-20T00:00:00"/>
    <n v="123085.12"/>
    <s v="INADIMPLENTE"/>
    <n v="166290.83000000002"/>
    <n v="1.3510230156171601"/>
    <n v="218805.79"/>
    <n v="0.75999282285902947"/>
    <n v="0.89377461442132089"/>
    <n v="0.84644595410703838"/>
    <n v="0.84644595410703838"/>
  </r>
  <r>
    <x v="2"/>
    <s v="XXI"/>
    <n v="4"/>
    <n v="256.74"/>
    <n v="4732"/>
    <s v="ELCIO LUIZ DOS SANTOS"/>
    <s v="XXI4ELCIO LUIZ DOS SANTOS"/>
    <d v="2020-08-03T00:00:00"/>
    <n v="149460"/>
    <s v="ATIVO"/>
    <n v="136100"/>
    <n v="0.91061153485882507"/>
    <n v="149460"/>
    <n v="0.91061153485882507"/>
    <n v="0.88533470280895865"/>
    <n v="0.83845296692432414"/>
    <n v="0.83845296692432414"/>
  </r>
  <r>
    <x v="2"/>
    <s v="XXI"/>
    <n v="10"/>
    <n v="256.74"/>
    <n v="2298"/>
    <s v="NILSON DE SOUZA FARIA"/>
    <s v="XXI10NILSON DE SOUZA FARIA"/>
    <d v="2013-06-22T00:00:00"/>
    <n v="98947.6"/>
    <s v="ATIVO"/>
    <n v="100654.6"/>
    <n v="1.0172515553687003"/>
    <n v="241973.09"/>
    <n v="0.41597435483425038"/>
    <n v="0.65476128124433963"/>
    <n v="0.62008925793226366"/>
    <n v="0.62008925793226366"/>
  </r>
  <r>
    <x v="2"/>
    <s v="XXI"/>
    <n v="17"/>
    <n v="256.74"/>
    <n v="2500"/>
    <s v="NILTON CESAR BONINI"/>
    <s v="XXI17NILTON CESAR BONINI"/>
    <d v="2013-06-22T00:00:00"/>
    <n v="96534.24"/>
    <s v="ATIVO"/>
    <n v="4188.08"/>
    <n v="4.338439915205216E-2"/>
    <n v="115469.6"/>
    <n v="3.6269979284590921E-2"/>
    <n v="2.7243589729170785E-2"/>
    <n v="2.580094123230289E-2"/>
    <n v="2.580094123230289E-2"/>
  </r>
  <r>
    <x v="2"/>
    <s v="XXI"/>
    <n v="21"/>
    <n v="372.98"/>
    <n v="2802"/>
    <s v="FABIO HENRIQUE VILLAS BOAS"/>
    <s v="XXI21FABIO HENRIQUE VILLAS BOAS"/>
    <d v="2013-09-10T00:00:00"/>
    <n v="126216.42"/>
    <s v="ATIVO"/>
    <n v="65656.72"/>
    <n v="0.520191588384459"/>
    <n v="179755.38"/>
    <n v="0.36525593837580828"/>
    <n v="0.29399269391073857"/>
    <n v="0.27842469710206769"/>
    <n v="0.27842469710206769"/>
  </r>
  <r>
    <x v="2"/>
    <s v="XXI"/>
    <n v="30"/>
    <n v="261.70999999999998"/>
    <n v="2365"/>
    <s v="ANTONIO SERGIO BARROTTI RODELLA"/>
    <s v="XXI30ANTONIO SERGIO BARROTTI RODELLA"/>
    <d v="2013-06-14T00:00:00"/>
    <n v="95942.89"/>
    <s v="INADIMPLENTE"/>
    <n v="222434.02000000002"/>
    <n v="2.3184002483143882"/>
    <n v="256953.86000000002"/>
    <n v="0.86565743748702595"/>
    <n v="1.4194620724120375"/>
    <n v="1.3442963234970342"/>
    <n v="1.3442963234970342"/>
  </r>
  <r>
    <x v="2"/>
    <s v="XXII"/>
    <n v="10"/>
    <n v="258.7"/>
    <n v="2410"/>
    <s v="ANGELA DO ROCIO DE OLIVEIRA LIMA"/>
    <s v="XXII10ANGELA DO ROCIO DE OLIVEIRA LIMA"/>
    <d v="2013-06-14T00:00:00"/>
    <n v="94839.42"/>
    <s v="ATIVO"/>
    <n v="88806.05"/>
    <n v="0.93638330980935991"/>
    <n v="184530.88"/>
    <n v="0.48125305639901572"/>
    <n v="0.57330934943858658"/>
    <n v="0.542950506149947"/>
    <n v="0.542950506149947"/>
  </r>
  <r>
    <x v="2"/>
    <s v="XXII"/>
    <n v="13"/>
    <n v="258.7"/>
    <n v="2292"/>
    <s v="MEIRE ADRIANA ARAUJO MARCONDES"/>
    <s v="XXII13MEIRE ADRIANA ARAUJO MARCONDES"/>
    <d v="2013-06-22T00:00:00"/>
    <n v="94839.42"/>
    <s v="ATIVO"/>
    <n v="5865.47"/>
    <n v="6.1846329300622047E-2"/>
    <n v="120752.84"/>
    <n v="4.8574178462386479E-2"/>
    <n v="3.7865987619667203E-2"/>
    <n v="3.5860844000012715E-2"/>
    <n v="3.5860844000012715E-2"/>
  </r>
  <r>
    <x v="2"/>
    <s v="XXII"/>
    <n v="14"/>
    <n v="258.7"/>
    <n v="2293"/>
    <s v="WELLINGTON TEIXEIRA MARCONDES"/>
    <s v="XXII14WELLINGTON TEIXEIRA MARCONDES"/>
    <d v="2013-06-21T00:00:00"/>
    <n v="94839.42"/>
    <s v="ATIVO"/>
    <n v="5847.1900000000005"/>
    <n v="6.1653582444936933E-2"/>
    <n v="120728.51000000001"/>
    <n v="4.8432553338064059E-2"/>
    <n v="3.7747976573035386E-2"/>
    <n v="3.5749082073292401E-2"/>
    <n v="3.5749082073292401E-2"/>
  </r>
  <r>
    <x v="2"/>
    <s v="XXII"/>
    <n v="16"/>
    <n v="258.7"/>
    <n v="2612"/>
    <s v="ALEX SANDRO DA SILVA OLIVEIRA"/>
    <s v="XXII16ALEX SANDRO DA SILVA OLIVEIRA"/>
    <d v="2013-06-07T00:00:00"/>
    <n v="94839.12"/>
    <s v="ATIVO"/>
    <n v="96154.12"/>
    <n v="1.0138655862686199"/>
    <n v="189104.39"/>
    <n v="0.50847111481653062"/>
    <n v="0.62074662686877513"/>
    <n v="0.58787580488494573"/>
    <n v="0.58787580488494573"/>
  </r>
  <r>
    <x v="2"/>
    <s v="XXII"/>
    <n v="17"/>
    <n v="258.7"/>
    <n v="2276"/>
    <s v="MARCO AURELIO BENEDITO DA SILVA"/>
    <s v="XXII17MARCO AURELIO BENEDITO DA SILVA"/>
    <d v="2013-06-08T00:00:00"/>
    <n v="94839.42"/>
    <s v="INADIMPLENTE"/>
    <n v="166513.09"/>
    <n v="1.7557371185947783"/>
    <n v="199622.76"/>
    <n v="0.83413880260948192"/>
    <n v="1.0749663035447339"/>
    <n v="1.0180428754132367"/>
    <n v="1.0180428754132367"/>
  </r>
  <r>
    <x v="2"/>
    <s v="XXII"/>
    <n v="18"/>
    <n v="258.7"/>
    <n v="2278"/>
    <s v="MARCO AURELIO BENEDITO DA SILVA"/>
    <s v="XXII18MARCO AURELIO BENEDITO DA SILVA"/>
    <d v="2013-06-08T00:00:00"/>
    <n v="94839.42"/>
    <s v="INADIMPLENTE"/>
    <n v="166512.95999999999"/>
    <n v="1.7557357478567457"/>
    <n v="199623.23"/>
    <n v="0.83413618745674034"/>
    <n v="1.0749654642976845"/>
    <n v="1.018042080607412"/>
    <n v="1.018042080607412"/>
  </r>
  <r>
    <x v="2"/>
    <s v="XXII"/>
    <n v="21"/>
    <n v="266.81"/>
    <n v="2483"/>
    <s v="CLAUDIO GUIRARDELLI"/>
    <s v="XXII21CLAUDIO GUIRARDELLI"/>
    <d v="2013-06-20T00:00:00"/>
    <n v="97812.55"/>
    <s v="ATIVO"/>
    <n v="42937.39"/>
    <n v="0.43897628678528466"/>
    <n v="149371.78"/>
    <n v="0.28745315882290484"/>
    <n v="0.26876730613553412"/>
    <n v="0.25453508659111423"/>
    <n v="0.25453508659111423"/>
  </r>
  <r>
    <x v="2"/>
    <s v="XXII"/>
    <n v="26"/>
    <n v="266.81"/>
    <n v="2618"/>
    <s v="AGUINALDO AUGUSTINHO"/>
    <s v="XXII26AGUINALDO AUGUSTINHO"/>
    <d v="2013-06-20T00:00:00"/>
    <n v="97812.55"/>
    <s v="INADIMPLENTE"/>
    <n v="18586.62"/>
    <n v="0.19002285494039362"/>
    <n v="133140.54"/>
    <n v="0.13960150679875563"/>
    <n v="0.11634325671785921"/>
    <n v="0.1101824524298318"/>
    <n v="0.1101824524298318"/>
  </r>
  <r>
    <x v="2"/>
    <s v="XXII"/>
    <n v="27"/>
    <n v="266.81"/>
    <n v="2617"/>
    <s v="AGUINALDO AUGUSTINHO"/>
    <s v="XXII27AGUINALDO AUGUSTINHO"/>
    <d v="2013-06-20T00:00:00"/>
    <n v="97812.55"/>
    <s v="INADIMPLENTE"/>
    <n v="19822.22"/>
    <n v="0.20265518075134531"/>
    <n v="134504.75"/>
    <n v="0.14737189578806698"/>
    <n v="0.12407751544809564"/>
    <n v="0.11750715365158704"/>
    <n v="0.11750715365158704"/>
  </r>
  <r>
    <x v="2"/>
    <s v="XXII"/>
    <n v="28"/>
    <n v="266.81"/>
    <n v="2463"/>
    <s v="JOAQUIM MANOEL DA SILVA"/>
    <s v="XXII28JOAQUIM MANOEL DA SILVA"/>
    <d v="2013-06-19T00:00:00"/>
    <n v="97812.6"/>
    <s v="ATIVO"/>
    <n v="99049.430000000008"/>
    <n v="1.0126448944205553"/>
    <n v="188684.84"/>
    <n v="0.5249464132889532"/>
    <n v="0.62000155285079406"/>
    <n v="0.58717018528258258"/>
    <n v="0.58717018528258258"/>
  </r>
  <r>
    <x v="2"/>
    <s v="XXII"/>
    <n v="31"/>
    <n v="266.81"/>
    <n v="4731"/>
    <s v="ELCIO LUIZ DOS SANTOS"/>
    <s v="XXII31ELCIO LUIZ DOS SANTOS"/>
    <d v="2020-08-03T00:00:00"/>
    <n v="155100"/>
    <s v="ATIVO"/>
    <n v="141500"/>
    <n v="0.91231463571889104"/>
    <n v="155100"/>
    <n v="0.91231463571889104"/>
    <n v="0.88572160110752129"/>
    <n v="0.83881937753185887"/>
    <n v="0.83881937753185887"/>
  </r>
  <r>
    <x v="2"/>
    <s v="XXII"/>
    <n v="36"/>
    <n v="266.81"/>
    <n v="2696"/>
    <s v="WESLEY DOS SANTOS ANTUNES"/>
    <s v="XXII36WESLEY DOS SANTOS ANTUNES"/>
    <d v="2013-07-20T00:00:00"/>
    <n v="97812.6"/>
    <s v="ATIVO"/>
    <n v="18974.57"/>
    <n v="0.19398901573007976"/>
    <n v="149222.89000000001"/>
    <n v="0.1271558941124917"/>
    <n v="0.11877163618888156"/>
    <n v="0.11248224025678222"/>
    <n v="0.11248224025678222"/>
  </r>
  <r>
    <x v="2"/>
    <s v="XXIII"/>
    <n v="6"/>
    <n v="263.74"/>
    <n v="2435"/>
    <s v="DENISON HENRIQUE LEANDRO"/>
    <s v="XXIII6DENISON HENRIQUE LEANDRO"/>
    <d v="2013-06-17T00:00:00"/>
    <n v="96687.08"/>
    <s v="INADIMPLENTE"/>
    <n v="103654.21"/>
    <n v="1.0720585418444739"/>
    <n v="188298.54"/>
    <n v="0.55047803344624979"/>
    <n v="0.65637773902958274"/>
    <n v="0.62162011831946506"/>
    <n v="0.62162011831946506"/>
  </r>
  <r>
    <x v="2"/>
    <s v="XXIII"/>
    <n v="9"/>
    <n v="263.74"/>
    <n v="2507"/>
    <s v="ROGERIO SANCHES FRANCO"/>
    <s v="XXIII9ROGERIO SANCHES FRANCO"/>
    <d v="2013-06-21T00:00:00"/>
    <n v="96687.08"/>
    <s v="ATIVO"/>
    <n v="97883.32"/>
    <n v="1.012372283866676"/>
    <n v="189194.48"/>
    <n v="0.51736879426926197"/>
    <n v="0.61983427658470536"/>
    <n v="0.58701176691136869"/>
    <n v="0.58701176691136869"/>
  </r>
  <r>
    <x v="2"/>
    <s v="XXIII"/>
    <n v="10"/>
    <n v="263.74"/>
    <n v="2508"/>
    <s v="ROGERIO SANCHES FRANCO"/>
    <s v="XXIII10ROGERIO SANCHES FRANCO"/>
    <d v="2013-06-21T00:00:00"/>
    <n v="96687.08"/>
    <s v="ATIVO"/>
    <n v="97883.32"/>
    <n v="1.012372283866676"/>
    <n v="189227.15"/>
    <n v="0.51727947073134062"/>
    <n v="0.61983427658470536"/>
    <n v="0.58701176691136869"/>
    <n v="0.58701176691136869"/>
  </r>
  <r>
    <x v="2"/>
    <s v="XXIII"/>
    <n v="11"/>
    <n v="263.74"/>
    <n v="2537"/>
    <s v="MARA SILVIA SPURIO"/>
    <s v="XXIII11MARA SILVIA SPURIO"/>
    <d v="2013-06-21T00:00:00"/>
    <n v="96687.16"/>
    <s v="INADIMPLENTE"/>
    <n v="67519.87"/>
    <n v="0.69833336711927407"/>
    <n v="156032.26"/>
    <n v="0.43273019310237504"/>
    <n v="0.42756140450225172"/>
    <n v="0.40492045212939148"/>
    <n v="0.40492045212939148"/>
  </r>
  <r>
    <x v="2"/>
    <s v="XXIII"/>
    <n v="12"/>
    <n v="263.74"/>
    <n v="2538"/>
    <s v="MIRIAN APARECIDA GONCALVES DIAS"/>
    <s v="XXIII12MIRIAN APARECIDA GONCALVES DIAS"/>
    <d v="2013-06-28T00:00:00"/>
    <n v="96687.08"/>
    <s v="INADIMPLENTE"/>
    <n v="64454.71"/>
    <n v="0.66663208776188088"/>
    <n v="158642.31"/>
    <n v="0.40628953272301693"/>
    <n v="0.40815164979413215"/>
    <n v="0.38653851547801876"/>
    <n v="0.38653851547801876"/>
  </r>
  <r>
    <x v="2"/>
    <s v="XXIII"/>
    <n v="18"/>
    <n v="327.11"/>
    <n v="2464"/>
    <s v="DARCI FIN"/>
    <s v="XXIII18DARCI FIN"/>
    <d v="2013-06-21T00:00:00"/>
    <n v="116843.69"/>
    <s v="ATIVO"/>
    <n v="118780.02"/>
    <n v="1.0165719689270341"/>
    <n v="228521.35"/>
    <n v="0.51977646727537707"/>
    <n v="0.60644646999674123"/>
    <n v="0.57433289403010346"/>
    <n v="0.57433289403010346"/>
  </r>
  <r>
    <x v="2"/>
    <s v="XXIII"/>
    <n v="19"/>
    <n v="268.58"/>
    <n v="4672"/>
    <s v="EVERTON JULIANO D'ADA"/>
    <s v="XXIII19EVERTON JULIANO D'ADA"/>
    <d v="2020-08-11T00:00:00"/>
    <n v="155100.6"/>
    <s v="ATIVO"/>
    <n v="149347.09"/>
    <n v="0.96290465671957426"/>
    <n v="172655.69"/>
    <n v="0.86499952593511398"/>
    <n v="0.92867979066645379"/>
    <n v="0.87950277260844001"/>
    <n v="0.87950277260844001"/>
  </r>
  <r>
    <x v="2"/>
    <s v="XXIII"/>
    <n v="20"/>
    <n v="268.58"/>
    <n v="4668"/>
    <s v="MARISTELA ROMAGNOLE DE ARAUJO JURKEVICZ"/>
    <s v="XXIII20MARISTELA ROMAGNOLE DE ARAUJO JURKEVICZ"/>
    <d v="2020-08-07T00:00:00"/>
    <n v="164860.60999999999"/>
    <s v="ATIVO"/>
    <n v="167499.15"/>
    <n v="1.0160046720681186"/>
    <n v="184665.38"/>
    <n v="0.90704142812258581"/>
    <n v="1.0415541110229127"/>
    <n v="0.98639998164381359"/>
    <n v="0.98639998164381359"/>
  </r>
  <r>
    <x v="2"/>
    <s v="XXIII"/>
    <n v="21"/>
    <n v="268.58"/>
    <n v="3780"/>
    <s v="CARLOS KUNIO NAKANO"/>
    <s v="XXIII21CARLOS KUNIO NAKANO"/>
    <d v="2014-06-05T00:00:00"/>
    <n v="108570.31"/>
    <s v="ATIVO"/>
    <n v="112200.08"/>
    <n v="1.0334324365473397"/>
    <n v="192688.42"/>
    <n v="0.58228761230176673"/>
    <n v="0.69768983652215366"/>
    <n v="0.66074458797214441"/>
    <n v="0.66074458797214441"/>
  </r>
  <r>
    <x v="2"/>
    <s v="XXIII"/>
    <n v="23"/>
    <n v="268.58"/>
    <n v="2611"/>
    <s v="MARCOS GUIRALDELLI JUNIOR"/>
    <s v="XXIII23MARCOS GUIRALDELLI JUNIOR"/>
    <d v="2013-06-13T00:00:00"/>
    <n v="98461.43"/>
    <s v="INADIMPLENTE"/>
    <n v="104107.92"/>
    <n v="1.0573472272340552"/>
    <n v="239443.08000000002"/>
    <n v="0.43479193468443522"/>
    <n v="0.64737064078262196"/>
    <n v="0.61308997912512164"/>
    <n v="0.61308997912512164"/>
  </r>
  <r>
    <x v="2"/>
    <s v="XXIII"/>
    <n v="26"/>
    <n v="268.58"/>
    <n v="2763"/>
    <s v="ROBERTO MARTINS"/>
    <s v="XXIII26ROBERTO MARTINS"/>
    <d v="2013-08-15T00:00:00"/>
    <n v="103258.27"/>
    <s v="ATIVO"/>
    <n v="89192.74"/>
    <n v="0.86378301708909133"/>
    <n v="185791.65"/>
    <n v="0.48006861449370847"/>
    <n v="0.55462409821421654"/>
    <n v="0.52525470785231709"/>
    <n v="0.52525470785231709"/>
  </r>
  <r>
    <x v="2"/>
    <s v="XXIII"/>
    <n v="27"/>
    <n v="268.58"/>
    <n v="2362"/>
    <s v="MARINA APARECIDA BERNINI"/>
    <s v="XXIII27MARINA APARECIDA BERNINI"/>
    <d v="2013-06-20T00:00:00"/>
    <n v="98461.43"/>
    <s v="ATIVO"/>
    <n v="87825.61"/>
    <n v="0.89197983413403614"/>
    <n v="178642.89"/>
    <n v="0.49162667487074352"/>
    <n v="0.54612292151091535"/>
    <n v="0.51720369979105407"/>
    <n v="0.51720369979105407"/>
  </r>
  <r>
    <x v="2"/>
    <s v="XXIII"/>
    <n v="29"/>
    <n v="268.58"/>
    <n v="2356"/>
    <s v="VINICIUS MENDONCA DE OLIVEIRA"/>
    <s v="XXIII29VINICIUS MENDONCA DE OLIVEIRA"/>
    <d v="2013-06-19T00:00:00"/>
    <n v="98461.62"/>
    <s v="ATIVO"/>
    <n v="85935.56"/>
    <n v="0.87278230847715077"/>
    <n v="196537.32"/>
    <n v="0.43724805039572123"/>
    <n v="0.53437008964556643"/>
    <n v="0.50607322369427454"/>
    <n v="0.50607322369427454"/>
  </r>
  <r>
    <x v="2"/>
    <s v="XXIII"/>
    <n v="30"/>
    <n v="268.58"/>
    <n v="6481"/>
    <s v="EDUARDO FAGANELLO HELBEL"/>
    <s v="XXIII30EDUARDO FAGANELLO HELBEL"/>
    <d v="2018-06-21T00:00:00"/>
    <n v="162897.51"/>
    <s v="ATIVO"/>
    <n v="155185.29"/>
    <n v="0.95265599824085712"/>
    <n v="231523.01"/>
    <n v="0.6702802023867952"/>
    <n v="0.96498326570482851"/>
    <n v="0.91388384482780893"/>
    <n v="0.91388384482780893"/>
  </r>
  <r>
    <x v="2"/>
    <s v="XXIII"/>
    <n v="31"/>
    <n v="268.58"/>
    <n v="2674"/>
    <s v="VALDIR DAMA"/>
    <s v="XXIII31VALDIR DAMA"/>
    <d v="2018-11-15T00:00:00"/>
    <n v="162896.34"/>
    <s v="ATIVO"/>
    <n v="155587.25"/>
    <n v="0.95513042220592559"/>
    <n v="220290.69"/>
    <n v="0.70628155007367766"/>
    <n v="0.96748275952594198"/>
    <n v="0.91625098123788351"/>
    <n v="0.91625098123788351"/>
  </r>
  <r>
    <x v="2"/>
    <s v="XXIII"/>
    <n v="32"/>
    <n v="268.58"/>
    <n v="6565"/>
    <s v="SERGIO PEREIRA JUNIOR"/>
    <s v="XXIII32SERGIO PEREIRA JUNIOR"/>
    <d v="2018-07-18T00:00:00"/>
    <n v="162897.51"/>
    <s v="INADIMPLENTE"/>
    <n v="186653.39"/>
    <n v="1.1458332911288822"/>
    <n v="233144.49"/>
    <n v="0.80059104120367597"/>
    <n v="1.1606602522512086"/>
    <n v="1.0991990136651775"/>
    <n v="1.0991990136651775"/>
  </r>
  <r>
    <x v="2"/>
    <s v="XXIII"/>
    <n v="33"/>
    <n v="266.81"/>
    <n v="4834"/>
    <s v="ERMESON TIAGO MENDES LIMA"/>
    <s v="XXIII33ERMESON TIAGO MENDES LIMA"/>
    <d v="2020-10-01T00:00:00"/>
    <n v="213072.4"/>
    <s v="ATIVO"/>
    <n v="137624.99"/>
    <n v="0.64590716582720242"/>
    <n v="226019.9"/>
    <n v="0.6089065166385792"/>
    <n v="0.86146591162690178"/>
    <n v="0.81584811621645437"/>
    <n v="0.81584811621645437"/>
  </r>
  <r>
    <x v="2"/>
    <s v="XXIV"/>
    <n v="1"/>
    <n v="330.15"/>
    <n v="2713"/>
    <s v="JOSEMARIS APARECIDA MARTINELLI"/>
    <s v="XXIV1JOSEMARIS APARECIDA MARTINELLI"/>
    <d v="2013-07-24T00:00:00"/>
    <n v="117929.58"/>
    <s v="ATIVO"/>
    <n v="119305.13"/>
    <n v="1.011664164325863"/>
    <n v="225778.66"/>
    <n v="0.52841632597163968"/>
    <n v="0.60351867898416656"/>
    <n v="0.57156014034357217"/>
    <n v="0.57156014034357217"/>
  </r>
  <r>
    <x v="2"/>
    <s v="XXIV"/>
    <n v="3"/>
    <n v="256.14"/>
    <n v="2663"/>
    <s v="LARISSA BASSI PICONI"/>
    <s v="XXIV3LARISSA BASSI PICONI"/>
    <d v="2013-07-07T00:00:00"/>
    <n v="98716.36"/>
    <s v="ATRASO"/>
    <n v="108236.21"/>
    <n v="1.0964363961556121"/>
    <n v="203002.96"/>
    <n v="0.5331755261105553"/>
    <n v="0.70572917370232435"/>
    <n v="0.66835821261538142"/>
    <n v="0.66835821261538142"/>
  </r>
  <r>
    <x v="2"/>
    <s v="XXIV"/>
    <n v="5"/>
    <n v="256.14"/>
    <n v="2449"/>
    <s v="ERICA DE CAMARGO CORREA FERRAZ MARANGONI"/>
    <s v="XXIV5ERICA DE CAMARGO CORREA FERRAZ MARANGONI"/>
    <d v="2013-06-20T00:00:00"/>
    <n v="98716.36"/>
    <s v="ATIVO"/>
    <n v="7792.45"/>
    <n v="7.8937776879131283E-2"/>
    <n v="189214.86000000002"/>
    <n v="4.1183076212935911E-2"/>
    <n v="5.0808867934461835E-2"/>
    <n v="4.8118351094284695E-2"/>
    <n v="4.8118351094284695E-2"/>
  </r>
  <r>
    <x v="2"/>
    <s v="XXIV"/>
    <n v="6"/>
    <n v="256.14"/>
    <n v="3773"/>
    <s v="RODRIGO ALBUQUERQUE LINDOLFO"/>
    <s v="XXIV6RODRIGO ALBUQUERQUE LINDOLFO"/>
    <d v="2020-02-05T00:00:00"/>
    <n v="156980"/>
    <s v="ATIVO"/>
    <n v="155083.96"/>
    <n v="0.98792177347432786"/>
    <n v="185733.41"/>
    <n v="0.83498149309809144"/>
    <n v="1.0111890923128619"/>
    <n v="0.95764290260085128"/>
    <n v="0.95764290260085128"/>
  </r>
  <r>
    <x v="2"/>
    <s v="XXIV"/>
    <n v="9"/>
    <n v="256.14"/>
    <n v="5049"/>
    <s v="MARIANA LIE NAKAYAMA"/>
    <s v="XXIV9MARIANA LIE NAKAYAMA"/>
    <d v="2021-02-15T00:00:00"/>
    <n v="164500.1"/>
    <s v="ATIVO"/>
    <n v="92285.83"/>
    <n v="0.56100774406824072"/>
    <n v="164975.36000000002"/>
    <n v="0.55939159641779224"/>
    <n v="0.60172841002408695"/>
    <n v="0.56986467272391506"/>
    <n v="0.56986467272391506"/>
  </r>
  <r>
    <x v="2"/>
    <s v="XXIV"/>
    <n v="10"/>
    <n v="256.14"/>
    <n v="2557"/>
    <s v="GUSTAVO APARECIDO BRANDAO MEIRELES"/>
    <s v="XXIV10GUSTAVO APARECIDO BRANDAO MEIRELES"/>
    <d v="2013-07-01T00:00:00"/>
    <n v="93900.92"/>
    <s v="INADIMPLENTE"/>
    <n v="172605.52"/>
    <n v="1.8381664418197392"/>
    <n v="206355.14"/>
    <n v="0.83644885220692822"/>
    <n v="1.1254343717879627"/>
    <n v="1.0658384734161372"/>
    <n v="1.0658384734161372"/>
  </r>
  <r>
    <x v="2"/>
    <s v="XXIV"/>
    <n v="11"/>
    <n v="256.14"/>
    <n v="3573"/>
    <s v="C. C. FIGUEIRA DOS SANTOS FOGOES - ME."/>
    <s v="XXIV11C. C. FIGUEIRA DOS SANTOS FOGOES - ME."/>
    <d v="2014-02-24T00:00:00"/>
    <n v="96068.01"/>
    <s v="ATIVO"/>
    <n v="99281.57"/>
    <n v="1.0334508854716571"/>
    <n v="186683.98"/>
    <n v="0.53181622761631719"/>
    <n v="0.64734251467202597"/>
    <n v="0.61306334239575522"/>
    <n v="0.61306334239575522"/>
  </r>
  <r>
    <x v="2"/>
    <s v="XXIV"/>
    <n v="13"/>
    <n v="256.14"/>
    <n v="2528"/>
    <s v="LUCIANA MELANI"/>
    <s v="XXIV13LUCIANA MELANI"/>
    <d v="2013-06-27T00:00:00"/>
    <n v="91493.21"/>
    <s v="ATIVO"/>
    <n v="94012.03"/>
    <n v="1.0275301303779809"/>
    <n v="223400.59"/>
    <n v="0.42082265763040283"/>
    <n v="0.61298369787687623"/>
    <n v="0.58052395159756243"/>
    <n v="0.58052395159756243"/>
  </r>
  <r>
    <x v="2"/>
    <s v="XXV"/>
    <n v="2"/>
    <n v="255.53"/>
    <n v="2623"/>
    <s v="PEDRO LUCAS BACILI"/>
    <s v="XXV2PEDRO LUCAS BACILI"/>
    <d v="2013-07-05T00:00:00"/>
    <n v="92476.31"/>
    <s v="INADIMPLENTE"/>
    <n v="134730.51999999999"/>
    <n v="1.4569192910054476"/>
    <n v="186931.57"/>
    <n v="0.72074781161897894"/>
    <n v="0.88057629562624007"/>
    <n v="0.83394653494156545"/>
    <n v="0.83394653494156545"/>
  </r>
  <r>
    <x v="2"/>
    <s v="XXV"/>
    <n v="6"/>
    <n v="261.2"/>
    <n v="2373"/>
    <s v="VALDETE PIRES CARDIA"/>
    <s v="XXV6VALDETE PIRES CARDIA"/>
    <d v="2013-06-21T00:00:00"/>
    <n v="94528.28"/>
    <s v="ATIVO"/>
    <n v="49387.87"/>
    <n v="0.52246660999226902"/>
    <n v="161857.51999999999"/>
    <n v="0.30513176032846673"/>
    <n v="0.31578392841021441"/>
    <n v="0.29906200541163674"/>
    <n v="0.29906200541163674"/>
  </r>
  <r>
    <x v="2"/>
    <s v="XXV"/>
    <n v="7"/>
    <n v="260.61"/>
    <n v="4751"/>
    <s v="MARIA LUCIA GIMENES"/>
    <s v="XXV7MARIA LUCIA GIMENES"/>
    <d v="2015-05-01T00:00:00"/>
    <n v="140730.35999999999"/>
    <s v="ATIVO"/>
    <n v="8888.130000000001"/>
    <n v="6.3157160970809728E-2"/>
    <n v="155104.35"/>
    <n v="5.7304195530299445E-2"/>
    <n v="5.6958982328876494E-2"/>
    <n v="5.3942794262004601E-2"/>
    <n v="5.3942794262004601E-2"/>
  </r>
  <r>
    <x v="2"/>
    <s v="XXV"/>
    <n v="9"/>
    <n v="260"/>
    <n v="2671"/>
    <s v="DEBORA SKAU DE AQUINO"/>
    <s v="XXV9DEBORA SKAU DE AQUINO"/>
    <d v="2013-06-11T00:00:00"/>
    <n v="94094"/>
    <s v="ATIVO"/>
    <n v="95567.63"/>
    <n v="1.0156612536399772"/>
    <n v="184283.54"/>
    <n v="0.51859015731953051"/>
    <n v="0.6138755941039391"/>
    <n v="0.58136861863184552"/>
    <n v="0.58136861863184552"/>
  </r>
  <r>
    <x v="2"/>
    <s v="XXV"/>
    <n v="11"/>
    <n v="260"/>
    <n v="2372"/>
    <s v="DEJAIR DA SILVA"/>
    <s v="XXV11DEJAIR DA SILVA"/>
    <d v="2013-06-26T00:00:00"/>
    <n v="94094"/>
    <s v="ATIVO"/>
    <n v="49038.98"/>
    <n v="0.52117010648925544"/>
    <n v="158996.72"/>
    <n v="0.3084276203936786"/>
    <n v="0.31500030901416293"/>
    <n v="0.29831988155105132"/>
    <n v="0.29831988155105132"/>
  </r>
  <r>
    <x v="2"/>
    <s v="XXV"/>
    <n v="17"/>
    <n v="260"/>
    <n v="3617"/>
    <s v="RODOLFO VINNICIUS DA SILVA EVANGELISTA"/>
    <s v="XXV17RODOLFO VINNICIUS DA SILVA EVANGELISTA"/>
    <d v="2014-03-27T00:00:00"/>
    <n v="95879.86"/>
    <s v="ATRASO"/>
    <n v="101985.79000000001"/>
    <n v="1.0636831342890989"/>
    <n v="174789.01"/>
    <n v="0.58347941898635391"/>
    <n v="0.65510243820433312"/>
    <n v="0.62041234937371037"/>
    <n v="0.62041234937371037"/>
  </r>
  <r>
    <x v="2"/>
    <s v="XXV"/>
    <n v="18"/>
    <n v="260"/>
    <n v="3590"/>
    <s v="EDINARA FERREIRA"/>
    <s v="XXV18EDINARA FERREIRA"/>
    <d v="2014-03-11T00:00:00"/>
    <n v="103870.9"/>
    <s v="ATIVO"/>
    <n v="105762.96"/>
    <n v="1.0182154963517214"/>
    <n v="189220.34"/>
    <n v="0.55894075658039721"/>
    <n v="0.67936496807748759"/>
    <n v="0.64339008885765125"/>
    <n v="0.64339008885765125"/>
  </r>
  <r>
    <x v="2"/>
    <s v="XXV"/>
    <n v="20"/>
    <n v="260"/>
    <n v="3589"/>
    <s v="JOSE MARIA DE ANDRADE"/>
    <s v="XXV20JOSE MARIA DE ANDRADE"/>
    <d v="2014-03-05T00:00:00"/>
    <n v="103869.79"/>
    <s v="ATIVO"/>
    <n v="96393.430000000008"/>
    <n v="0.9280218049925778"/>
    <n v="181754.07"/>
    <n v="0.53035087467367303"/>
    <n v="0.6191800938138412"/>
    <n v="0.5863922255295595"/>
    <n v="0.5863922255295595"/>
  </r>
  <r>
    <x v="2"/>
    <s v="XXV"/>
    <n v="23"/>
    <n v="260"/>
    <n v="5095"/>
    <s v="SERES DE FATIMA PACHER"/>
    <s v="XXV23SERES DE FATIMA PACHER"/>
    <d v="2021-03-01T00:00:00"/>
    <n v="177627.1"/>
    <s v="ATIVO"/>
    <n v="171328.01"/>
    <n v="0.9645375621174922"/>
    <n v="178886.61000000002"/>
    <n v="0.95774641824784978"/>
    <n v="1.1005199556104468"/>
    <n v="1.042243367410524"/>
    <n v="1.042243367410524"/>
  </r>
  <r>
    <x v="2"/>
    <s v="XXV"/>
    <n v="25"/>
    <n v="260"/>
    <n v="3832"/>
    <s v="DANIELLY NUNES GOMES CIQUINI"/>
    <s v="XXV25DANIELLY NUNES GOMES CIQUINI"/>
    <d v="2014-07-11T00:00:00"/>
    <n v="104825.61"/>
    <s v="ATIVO"/>
    <n v="5794.3"/>
    <n v="5.5275614422849534E-2"/>
    <n v="142610.01999999999"/>
    <n v="4.0630384877584344E-2"/>
    <n v="3.7219499478185807E-2"/>
    <n v="3.5248589788597899E-2"/>
    <n v="3.5248589788597899E-2"/>
  </r>
  <r>
    <x v="2"/>
    <s v="XXV"/>
    <n v="26"/>
    <n v="253.97"/>
    <n v="3789"/>
    <s v="MATEUS DOS SANTOS GONSALES"/>
    <s v="XXV26MATEUS DOS SANTOS GONSALES"/>
    <d v="2014-06-16T00:00:00"/>
    <n v="103192.39"/>
    <s v="INADIMPLENTE"/>
    <n v="191370.97"/>
    <n v="1.8545066162340071"/>
    <n v="251391.37"/>
    <n v="0.76124717407761455"/>
    <n v="1.258451661963355"/>
    <n v="1.1918120077709264"/>
    <n v="1.1918120077709264"/>
  </r>
  <r>
    <x v="2"/>
    <s v="XXV - A"/>
    <n v="4"/>
    <n v="250.71"/>
    <n v="2812"/>
    <s v="WILSON ALVES DE ANDRADE"/>
    <s v="XXV - A4WILSON ALVES DE ANDRADE"/>
    <d v="2013-10-04T00:00:00"/>
    <n v="96387.96"/>
    <s v="ATIVO"/>
    <n v="66441"/>
    <n v="0.68930808370672014"/>
    <n v="156039.47"/>
    <n v="0.42579611427800929"/>
    <n v="0.44259591671572179"/>
    <n v="0.41915883150348465"/>
    <n v="0.41915883150348465"/>
  </r>
  <r>
    <x v="2"/>
    <s v="XXV - A"/>
    <n v="6"/>
    <n v="250.71"/>
    <n v="2631"/>
    <s v="LUIZ HIROAKI SATO"/>
    <s v="XXV - A6LUIZ HIROAKI SATO"/>
    <d v="2013-06-06T00:00:00"/>
    <n v="90731.95"/>
    <s v="ATIVO"/>
    <n v="10808.68"/>
    <n v="0.11912760609686004"/>
    <n v="118851.99"/>
    <n v="9.0942356118732207E-2"/>
    <n v="7.2001890896989634E-2"/>
    <n v="6.8189125372813242E-2"/>
    <n v="6.8189125372813242E-2"/>
  </r>
  <r>
    <x v="2"/>
    <s v="XXV - A"/>
    <n v="8"/>
    <n v="250.71"/>
    <n v="2407"/>
    <s v="HELIO YASSUO NISHIMURA"/>
    <s v="XXV - A8HELIO YASSUO NISHIMURA"/>
    <d v="2013-06-06T00:00:00"/>
    <n v="90731.95"/>
    <s v="ATIVO"/>
    <n v="12193.050000000001"/>
    <n v="0.13438540668419449"/>
    <n v="118851.68000000001"/>
    <n v="0.10259047242748273"/>
    <n v="8.122385488343993E-2"/>
    <n v="7.6922752373738565E-2"/>
    <n v="7.6922752373738565E-2"/>
  </r>
  <r>
    <x v="2"/>
    <s v="XXV - A"/>
    <n v="9"/>
    <n v="250.71"/>
    <n v="2408"/>
    <s v="HELIO YASSUO NISHIMURA"/>
    <s v="XXV - A9HELIO YASSUO NISHIMURA"/>
    <d v="2013-06-06T00:00:00"/>
    <n v="90731.95"/>
    <s v="ATIVO"/>
    <n v="12193.050000000001"/>
    <n v="0.13438540668419449"/>
    <n v="118850.68000000001"/>
    <n v="0.10259133561541255"/>
    <n v="8.122385488343993E-2"/>
    <n v="7.6922752373738565E-2"/>
    <n v="7.6922752373738565E-2"/>
  </r>
  <r>
    <x v="2"/>
    <s v="XXV - A"/>
    <n v="11"/>
    <n v="250.71"/>
    <n v="2429"/>
    <s v="KEIGO FUKUDA"/>
    <s v="XXV - A11KEIGO FUKUDA"/>
    <d v="2013-06-27T00:00:00"/>
    <n v="90731.95"/>
    <s v="INADIMPLENTE"/>
    <n v="76891.02"/>
    <n v="0.84745252361488987"/>
    <n v="159964.81"/>
    <n v="0.48067459336837898"/>
    <n v="0.51220859836707611"/>
    <n v="0.48508526506691757"/>
    <n v="0.48508526506691757"/>
  </r>
  <r>
    <x v="2"/>
    <s v="XXV - A"/>
    <n v="14"/>
    <n v="257.62"/>
    <n v="2561"/>
    <s v="MARLENE MOREIRA DA SILVA"/>
    <s v="XXV - A14MARLENE MOREIRA DA SILVA"/>
    <d v="2013-06-20T00:00:00"/>
    <n v="93232.68"/>
    <s v="ATIVO"/>
    <n v="16482.420000000002"/>
    <n v="0.17678801038434167"/>
    <n v="128768.18000000001"/>
    <n v="0.12800072191747994"/>
    <n v="0.10685240462237314"/>
    <n v="0.10119417593637398"/>
    <n v="0.10119417593637398"/>
  </r>
  <r>
    <x v="2"/>
    <s v="XXV - A"/>
    <n v="16"/>
    <n v="257.62"/>
    <n v="2444"/>
    <s v="EVERALDO FIORINI DE OLIVEIRA"/>
    <s v="XXV - A16EVERALDO FIORINI DE OLIVEIRA"/>
    <d v="2013-06-20T00:00:00"/>
    <n v="93232.68"/>
    <s v="ATIVO"/>
    <n v="94388.37"/>
    <n v="1.012395760799754"/>
    <n v="183071.87"/>
    <n v="0.51558095735844067"/>
    <n v="0.6119019114235813"/>
    <n v="0.57949944972446776"/>
    <n v="0.57949944972446776"/>
  </r>
  <r>
    <x v="2"/>
    <s v="XXV - A"/>
    <n v="18"/>
    <n v="257.62"/>
    <n v="4738"/>
    <s v="ALEXANDRE GREIN"/>
    <s v="XXV - A18ALEXANDRE GREIN"/>
    <d v="2020-08-03T00:00:00"/>
    <n v="158132.89000000001"/>
    <s v="ATIVO"/>
    <n v="160690.75"/>
    <n v="1.0161753826164814"/>
    <n v="177156.38"/>
    <n v="0.90705595813145423"/>
    <n v="1.0417276733679037"/>
    <n v="0.98656435322288127"/>
    <n v="0.98656435322288127"/>
  </r>
  <r>
    <x v="2"/>
    <s v="XXV - A"/>
    <n v="20"/>
    <n v="257.62"/>
    <n v="3567"/>
    <s v="MARCELO JOSE SIMOES DE OLIVEIRA"/>
    <s v="XXV - A20MARCELO JOSE SIMOES DE OLIVEIRA"/>
    <d v="2014-02-17T00:00:00"/>
    <n v="94899.03"/>
    <s v="ATIVO"/>
    <n v="98021.95"/>
    <n v="1.0329078179197406"/>
    <n v="174887.6"/>
    <n v="0.56048542034998472"/>
    <n v="0.63545772181961313"/>
    <n v="0.6018078931325892"/>
    <n v="0.6018078931325892"/>
  </r>
  <r>
    <x v="2"/>
    <s v="XXV - A"/>
    <n v="21"/>
    <n v="257.62"/>
    <n v="3568"/>
    <s v="MARCELO JOSE SIMOES DE OLIVEIRA"/>
    <s v="XXV - A21MARCELO JOSE SIMOES DE OLIVEIRA"/>
    <d v="2014-02-17T00:00:00"/>
    <n v="94899.01"/>
    <s v="ATIVO"/>
    <n v="98021.95"/>
    <n v="1.0329080356054294"/>
    <n v="174887.6"/>
    <n v="0.56048542034998472"/>
    <n v="0.63545772181961313"/>
    <n v="0.6018078931325892"/>
    <n v="0.6018078931325892"/>
  </r>
  <r>
    <x v="2"/>
    <s v="XXV - A"/>
    <n v="23"/>
    <n v="257.62"/>
    <n v="3911"/>
    <s v="SILVIA HELENA FIORINI ALVES"/>
    <s v="XXV - A23SILVIA HELENA FIORINI ALVES"/>
    <d v="2014-09-11T00:00:00"/>
    <n v="113754.98"/>
    <s v="ATIVO"/>
    <n v="115520.2"/>
    <n v="1.0155177382124281"/>
    <n v="201905.51"/>
    <n v="0.57214981403925025"/>
    <n v="0.74889555978172306"/>
    <n v="0.7092387794392514"/>
    <n v="0.7092387794392514"/>
  </r>
  <r>
    <x v="3"/>
    <s v="VIII"/>
    <n v="1"/>
    <n v="359.22"/>
    <n v="2580"/>
    <s v="GMO EMPREENDIMENTOS E ASSESSORIA EMPRESARIAL LTDA"/>
    <s v="VIII1GMO EMPREENDIMENTOS E ASSESSORIA EMPRESARIAL LTDA"/>
    <d v="2013-06-19T00:00:00"/>
    <n v="113456.04"/>
    <s v="ATIVO"/>
    <n v="114855.86"/>
    <n v="1.0123379945219313"/>
    <n v="222996.43"/>
    <n v="0.51505694508203559"/>
    <n v="0.53399298144669971"/>
    <n v="0.51446377838168789"/>
    <n v="0.51446377838168789"/>
  </r>
  <r>
    <x v="3"/>
    <s v="VIII"/>
    <n v="3"/>
    <n v="251.25"/>
    <n v="2419"/>
    <s v="JOAO CARVALHO DE SOUZA"/>
    <s v="VIII3JOAO CARVALHO DE SOUZA"/>
    <d v="2013-06-20T00:00:00"/>
    <n v="79354.8"/>
    <s v="ATIVO"/>
    <n v="80728.75"/>
    <n v="1.0173140125109004"/>
    <n v="155991.56"/>
    <n v="0.51751998633772234"/>
    <n v="0.53661777838103131"/>
    <n v="0.51699258118479297"/>
    <n v="0.51699258118479297"/>
  </r>
  <r>
    <x v="3"/>
    <s v="VIII"/>
    <n v="12"/>
    <n v="251.25"/>
    <n v="4782"/>
    <s v="GUILHERME STELLBRINK"/>
    <s v="VIII12GUILHERME STELLBRINK"/>
    <d v="2020-09-11T00:00:00"/>
    <n v="141000"/>
    <s v="ATIVO"/>
    <n v="87824.400000000009"/>
    <n v="0.62286808510638303"/>
    <n v="144965.97"/>
    <n v="0.60582769873508935"/>
    <n v="0.58378377487136923"/>
    <n v="0.56243362181386114"/>
    <n v="0.56243362181386114"/>
  </r>
  <r>
    <x v="3"/>
    <s v="VIII"/>
    <n v="14"/>
    <n v="251.25"/>
    <n v="3902"/>
    <s v="ELIO JOSE DE SOUZA"/>
    <s v="VIII14ELIO JOSE DE SOUZA"/>
    <d v="2020-05-04T00:00:00"/>
    <n v="145700"/>
    <s v="ATIVO"/>
    <n v="138617.25"/>
    <n v="0.95138812628689085"/>
    <n v="166685.44"/>
    <n v="0.83160982746903389"/>
    <n v="0.92141251710559136"/>
    <n v="0.8877145982594522"/>
    <n v="0.8877145982594522"/>
  </r>
  <r>
    <x v="3"/>
    <s v="VIII"/>
    <n v="19"/>
    <n v="251.25"/>
    <n v="2586"/>
    <s v="CARLOS ALBERTO DA COSTA"/>
    <s v="VIII19CARLOS ALBERTO DA COSTA"/>
    <d v="2013-06-21T00:00:00"/>
    <n v="79354.8"/>
    <s v="INADIMPLENTE"/>
    <n v="195355.97"/>
    <n v="2.4618040748637764"/>
    <n v="223527.64"/>
    <n v="0.87396784576618802"/>
    <n v="1.29856447194923"/>
    <n v="1.2510733435134198"/>
    <n v="1.2510733435134198"/>
  </r>
  <r>
    <x v="3"/>
    <s v="VIII"/>
    <n v="21"/>
    <n v="251.25"/>
    <n v="2710"/>
    <s v="RGS CONSULTORIA EMPRESARIAL E ADMINISTRADORA DE BENS LTDA"/>
    <s v="VIII21RGS CONSULTORIA EMPRESARIAL E ADMINISTRADORA DE BENS LTDA"/>
    <d v="2013-07-22T00:00:00"/>
    <n v="77767.7"/>
    <s v="ATIVO"/>
    <n v="106891.97"/>
    <n v="1.3745034249437749"/>
    <n v="165564.76"/>
    <n v="0.64562029987540825"/>
    <n v="0.71052916672402144"/>
    <n v="0.68454367840735131"/>
    <n v="0.68454367840735131"/>
  </r>
  <r>
    <x v="3"/>
    <s v="VIII"/>
    <n v="22"/>
    <n v="251.25"/>
    <n v="2647"/>
    <s v="JAIME DOS SANTOS MENDES GOMES"/>
    <s v="VIII22JAIME DOS SANTOS MENDES GOMES"/>
    <d v="2013-07-07T00:00:00"/>
    <n v="79354.8"/>
    <s v="ATIVO"/>
    <n v="25166.880000000001"/>
    <n v="0.3171437644603729"/>
    <n v="115570.82"/>
    <n v="0.21776154223012348"/>
    <n v="0.16728854632806789"/>
    <n v="0.1611704659315045"/>
    <n v="0.1611704659315045"/>
  </r>
  <r>
    <x v="3"/>
    <s v="VIII"/>
    <n v="23"/>
    <n v="251.25"/>
    <n v="2470"/>
    <s v="JULIANA DE SOUZA"/>
    <s v="VIII23JULIANA DE SOUZA"/>
    <d v="2013-06-24T00:00:00"/>
    <n v="79354.8"/>
    <s v="INADIMPLENTE"/>
    <n v="84211.72"/>
    <n v="1.06120511928705"/>
    <n v="157035.66"/>
    <n v="0.5362585797391497"/>
    <n v="0.55976967437307601"/>
    <n v="0.53929776552728803"/>
    <n v="0.53929776552728803"/>
  </r>
  <r>
    <x v="3"/>
    <s v="VIII"/>
    <n v="26"/>
    <n v="251.25"/>
    <n v="4552"/>
    <s v="LUCIANE APARECIDA DE PAULA"/>
    <s v="VIII26LUCIANE APARECIDA DE PAULA"/>
    <d v="2020-07-22T00:00:00"/>
    <n v="145700"/>
    <s v="ATIVO"/>
    <n v="137887.20000000001"/>
    <n v="0.94637748798901866"/>
    <n v="164504.47"/>
    <n v="0.83819728424400874"/>
    <n v="0.9165597501655971"/>
    <n v="0.88303930681874543"/>
    <n v="0.88303930681874543"/>
  </r>
  <r>
    <x v="3"/>
    <s v="VIII"/>
    <n v="27"/>
    <n v="251.25"/>
    <n v="2712"/>
    <s v="OSVALDO TOSHIYUKI HIGASHI"/>
    <s v="VIII27OSVALDO TOSHIYUKI HIGASHI"/>
    <d v="2013-07-29T00:00:00"/>
    <n v="79354.8"/>
    <s v="ATIVO"/>
    <n v="80284.36"/>
    <n v="1.0117139731938081"/>
    <n v="155536.69"/>
    <n v="0.51617634398674683"/>
    <n v="0.53366384221163998"/>
    <n v="0.5141466764339736"/>
    <n v="0.5141466764339736"/>
  </r>
  <r>
    <x v="3"/>
    <s v="VIII"/>
    <n v="28"/>
    <n v="251.25"/>
    <n v="3444"/>
    <s v="DANILO HENRIQUE DE OLIVEIRA"/>
    <s v="VIII28DANILO HENRIQUE DE OLIVEIRA"/>
    <d v="2019-12-04T00:00:00"/>
    <n v="145700"/>
    <s v="INADIMPLENTE"/>
    <n v="151802.38"/>
    <n v="1.0418831846259438"/>
    <n v="177689.4"/>
    <n v="0.85431308789381932"/>
    <n v="1.0090563263837617"/>
    <n v="0.97215309621658708"/>
    <n v="0.97215309621658708"/>
  </r>
  <r>
    <x v="3"/>
    <s v="VIII"/>
    <n v="32"/>
    <n v="251.25"/>
    <n v="2610"/>
    <s v="JOAQUIM MOREIRA DIAS"/>
    <s v="VIII32JOAQUIM MOREIRA DIAS"/>
    <d v="2013-06-29T00:00:00"/>
    <n v="79354.8"/>
    <s v="ATIVO"/>
    <n v="80343.63"/>
    <n v="1.0124608719321326"/>
    <n v="155580.30000000002"/>
    <n v="0.51641261779286962"/>
    <n v="0.53405782001663071"/>
    <n v="0.51452624567401295"/>
    <n v="0.51452624567401295"/>
  </r>
  <r>
    <x v="3"/>
    <s v="VIII"/>
    <n v="34"/>
    <n v="368.4"/>
    <n v="3550"/>
    <s v="JOSE TADEI FERRAZ DE GOUVEIA"/>
    <s v="VIII34JOSE TADEI FERRAZ DE GOUVEIA"/>
    <d v="2014-02-07T00:00:00"/>
    <n v="138518.39999999999"/>
    <s v="ATIVO"/>
    <n v="39568.03"/>
    <n v="0.28565179788389122"/>
    <n v="225729.33000000002"/>
    <n v="0.17528971534182108"/>
    <n v="0.17937739231270736"/>
    <n v="0.17281719837484599"/>
    <n v="0.17281719837484599"/>
  </r>
  <r>
    <x v="3"/>
    <s v="XII"/>
    <n v="4"/>
    <n v="252.75"/>
    <n v="2476"/>
    <s v="ROGERIO FRANCISCO MANOEL"/>
    <s v="XII4ROGERIO FRANCISCO MANOEL"/>
    <d v="2013-06-14T00:00:00"/>
    <n v="83154.75"/>
    <s v="ATIVO"/>
    <n v="84462.48"/>
    <n v="1.0157264618076538"/>
    <n v="163865.37"/>
    <n v="0.5154382527559056"/>
    <n v="0.55810455141651794"/>
    <n v="0.53769353948412901"/>
    <n v="0.53769353948412901"/>
  </r>
  <r>
    <x v="3"/>
    <s v="XII"/>
    <n v="6"/>
    <n v="252.75"/>
    <n v="2332"/>
    <s v="ROBERTO NUNES"/>
    <s v="XII6ROBERTO NUNES"/>
    <d v="2013-06-16T00:00:00"/>
    <n v="83154.75"/>
    <s v="INADIMPLENTE"/>
    <n v="101059.75"/>
    <n v="1.2153214338327034"/>
    <n v="165747.72"/>
    <n v="0.6097203026382505"/>
    <n v="0.66777469048997207"/>
    <n v="0.64335281981870773"/>
    <n v="0.64335281981870773"/>
  </r>
  <r>
    <x v="3"/>
    <s v="XII"/>
    <n v="11"/>
    <n v="252.75"/>
    <n v="2656"/>
    <s v="VALDENILSON  PEREIRA MEIRELES"/>
    <s v="XII11VALDENILSON  PEREIRA MEIRELES"/>
    <d v="2013-06-17T00:00:00"/>
    <n v="83154.75"/>
    <s v="INADIMPLENTE"/>
    <n v="153750.87"/>
    <n v="1.8489727886861544"/>
    <n v="182252.04"/>
    <n v="0.84361672988680947"/>
    <n v="1.0159429409514067"/>
    <n v="0.97878785336476248"/>
    <n v="0.97878785336476248"/>
  </r>
  <r>
    <x v="3"/>
    <s v="XII"/>
    <n v="14"/>
    <n v="252.75"/>
    <n v="2498"/>
    <s v="ANGELA FERREIRA DA SILVA"/>
    <s v="XII14ANGELA FERREIRA DA SILVA"/>
    <d v="2013-06-21T00:00:00"/>
    <n v="83154.75"/>
    <s v="INADIMPLENTE"/>
    <n v="209140.76"/>
    <n v="2.5150789341558961"/>
    <n v="243578.97"/>
    <n v="0.85861583206464831"/>
    <n v="1.3819439121691626"/>
    <n v="1.3314034290113286"/>
    <n v="1.3314034290113286"/>
  </r>
  <r>
    <x v="3"/>
    <s v="XII"/>
    <n v="15"/>
    <n v="252.75"/>
    <n v="2389"/>
    <s v="CARLOS ANTONIO DA SILVA"/>
    <s v="XII15CARLOS ANTONIO DA SILVA"/>
    <d v="2013-06-15T00:00:00"/>
    <n v="83154.75"/>
    <s v="INADIMPLENTE"/>
    <n v="150156.15"/>
    <n v="1.8057435083383691"/>
    <n v="178673.09"/>
    <n v="0.84039599919607366"/>
    <n v="0.99219003204951339"/>
    <n v="0.95590363636977971"/>
    <n v="0.95590363636977971"/>
  </r>
  <r>
    <x v="3"/>
    <s v="XII"/>
    <n v="18"/>
    <n v="252.75"/>
    <n v="2575"/>
    <s v="GILSON TOSHIHIKO MORIYAMA"/>
    <s v="XII18GILSON TOSHIHIKO MORIYAMA"/>
    <d v="2013-06-22T00:00:00"/>
    <n v="83154.75"/>
    <s v="ATIVO"/>
    <n v="83957.13"/>
    <n v="1.0096492383177149"/>
    <n v="161040.62"/>
    <n v="0.52134132369833153"/>
    <n v="0.55476533931833738"/>
    <n v="0.53447644912426384"/>
    <n v="0.53447644912426384"/>
  </r>
  <r>
    <x v="3"/>
    <s v="XII"/>
    <n v="22"/>
    <n v="252.75"/>
    <n v="2806"/>
    <s v="CLAUDINEI DOS SANTOS SISNER"/>
    <s v="XII22CLAUDINEI DOS SANTOS SISNER"/>
    <d v="2013-09-18T00:00:00"/>
    <n v="87429.4"/>
    <s v="ATIVO"/>
    <n v="89754.94"/>
    <n v="1.02659906164288"/>
    <n v="209137.45"/>
    <n v="0.42916722949428709"/>
    <n v="0.59307565354600633"/>
    <n v="0.57138567769719328"/>
    <n v="0.57138567769719328"/>
  </r>
  <r>
    <x v="3"/>
    <s v="XII"/>
    <n v="23"/>
    <n v="252.75"/>
    <n v="2513"/>
    <s v="MARLI PEREIRA NEVES LEME"/>
    <s v="XII23MARLI PEREIRA NEVES LEME"/>
    <d v="2013-06-20T00:00:00"/>
    <n v="83154.75"/>
    <s v="ATIVO"/>
    <n v="22301.87"/>
    <n v="0.26819718657082126"/>
    <n v="128529.56"/>
    <n v="0.17351549324528925"/>
    <n v="0.1473645475730703"/>
    <n v="0.14197512809729138"/>
    <n v="0.14197512809729138"/>
  </r>
  <r>
    <x v="3"/>
    <s v="XII"/>
    <n v="30"/>
    <n v="252.75"/>
    <n v="3760"/>
    <s v="VAGNER RODRIGO CREPALDI"/>
    <s v="XII30VAGNER RODRIGO CREPALDI"/>
    <d v="2020-02-03T00:00:00"/>
    <n v="122200.2"/>
    <s v="ATIVO"/>
    <n v="135217.99"/>
    <n v="1.1065283853872578"/>
    <n v="161980.39000000001"/>
    <n v="0.83478000022101428"/>
    <n v="0.89348282991919259"/>
    <n v="0.86080635620727164"/>
    <n v="0.86080635620727164"/>
  </r>
  <r>
    <x v="3"/>
    <s v="XII"/>
    <n v="31"/>
    <n v="290.68"/>
    <n v="2694"/>
    <s v="HELBERT NILSON FAGGION"/>
    <s v="XII31HELBERT NILSON FAGGION"/>
    <d v="2013-07-17T00:00:00"/>
    <n v="95633.72"/>
    <s v="ATIVO"/>
    <n v="13950.75"/>
    <n v="0.1458768936312422"/>
    <n v="134705.51"/>
    <n v="0.10356480592367751"/>
    <n v="8.0154019161033582E-2"/>
    <n v="7.7222624608933241E-2"/>
    <n v="7.7222624608933241E-2"/>
  </r>
  <r>
    <x v="3"/>
    <s v="XV"/>
    <n v="2"/>
    <n v="253"/>
    <n v="2409"/>
    <s v="EDUARDO FERREIRA DE MELLO"/>
    <s v="XV2EDUARDO FERREIRA DE MELLO"/>
    <d v="2013-06-19T00:00:00"/>
    <n v="73724.2"/>
    <s v="ATIVO"/>
    <n v="18653.61"/>
    <n v="0.25301881878677557"/>
    <n v="104222.87"/>
    <n v="0.17897808801465553"/>
    <n v="0.12313606495243362"/>
    <n v="0.11863273007606953"/>
    <n v="0.11863273007606953"/>
  </r>
  <r>
    <x v="3"/>
    <s v="XV"/>
    <n v="4"/>
    <n v="253"/>
    <n v="2549"/>
    <s v="JOSE CARLOS OLIVEIRA"/>
    <s v="XV4JOSE CARLOS OLIVEIRA"/>
    <d v="2013-06-20T00:00:00"/>
    <n v="73724.2"/>
    <s v="ATRASO"/>
    <n v="57982.35"/>
    <n v="0.78647648940239434"/>
    <n v="129035.95"/>
    <n v="0.44935035546295432"/>
    <n v="0.3827526369262968"/>
    <n v="0.36875459906828706"/>
    <n v="0.36875459906828706"/>
  </r>
  <r>
    <x v="3"/>
    <s v="XV"/>
    <n v="6"/>
    <n v="253"/>
    <n v="5971"/>
    <s v="LUIZ ROBERTO CARVALHO SALGADO"/>
    <s v="XV6LUIZ ROBERTO CARVALHO SALGADO"/>
    <d v="2017-10-31T00:00:00"/>
    <n v="127767.53"/>
    <s v="ATIVO"/>
    <n v="28161.72"/>
    <n v="0.22041374674770656"/>
    <n v="168304.57"/>
    <n v="0.16732593773300392"/>
    <n v="0.18590092658162408"/>
    <n v="0.17910215380496586"/>
    <n v="0.17910215380496586"/>
  </r>
  <r>
    <x v="3"/>
    <s v="XV"/>
    <n v="8"/>
    <n v="253"/>
    <n v="3766"/>
    <s v="ELTON JOHANATA GALDINI MATUO"/>
    <s v="XV8ELTON JOHANATA GALDINI MATUO"/>
    <d v="2020-02-03T00:00:00"/>
    <n v="122200.2"/>
    <s v="ATIVO"/>
    <n v="110139.91"/>
    <n v="0.90130711733696023"/>
    <n v="142752.38"/>
    <n v="0.77154517493858943"/>
    <n v="0.72705471550092415"/>
    <n v="0.7004648544508324"/>
    <n v="0.7004648544508324"/>
  </r>
  <r>
    <x v="3"/>
    <s v="XV"/>
    <n v="10"/>
    <n v="253"/>
    <n v="2764"/>
    <s v="EMPORIUM DA PIZZA DELIVERY LTDA ME"/>
    <s v="XV10EMPORIUM DA PIZZA DELIVERY LTDA ME"/>
    <d v="2013-08-06T00:00:00"/>
    <n v="73724.2"/>
    <s v="ATIVO"/>
    <n v="74291.8"/>
    <n v="1.0076989645191132"/>
    <n v="143086.14000000001"/>
    <n v="0.51921031624726188"/>
    <n v="0.49041445115627524"/>
    <n v="0.47247900305974783"/>
    <n v="0.47247900305974783"/>
  </r>
  <r>
    <x v="3"/>
    <s v="XV"/>
    <n v="11"/>
    <n v="253"/>
    <n v="2815"/>
    <s v="JOSE CARLOS PEREIRA FARIA"/>
    <s v="XV11JOSE CARLOS PEREIRA FARIA"/>
    <d v="2013-10-09T00:00:00"/>
    <n v="77529.320000000007"/>
    <s v="INADIMPLENTE"/>
    <n v="99837.39"/>
    <n v="1.2877372070334163"/>
    <n v="137826.72"/>
    <n v="0.72436890321412273"/>
    <n v="0.6590458007710811"/>
    <n v="0.63494316324664679"/>
    <n v="0.63494316324664679"/>
  </r>
  <r>
    <x v="3"/>
    <s v="XV"/>
    <n v="12"/>
    <n v="253"/>
    <n v="2452"/>
    <s v="JOSE LEONARDO SULINO"/>
    <s v="XV12JOSE LEONARDO SULINO"/>
    <d v="2013-06-28T00:00:00"/>
    <n v="73724.2"/>
    <s v="ATIVO"/>
    <n v="70978.39"/>
    <n v="0.96275564875576813"/>
    <n v="140786.06"/>
    <n v="0.50415779800926319"/>
    <n v="0.46854199488780801"/>
    <n v="0.45140646674311263"/>
    <n v="0.45140646674311263"/>
  </r>
  <r>
    <x v="3"/>
    <s v="XV"/>
    <n v="15"/>
    <n v="253"/>
    <n v="2541"/>
    <s v="JANIO VIEIRA ALVAREZ"/>
    <s v="XV15JANIO VIEIRA ALVAREZ"/>
    <d v="2013-07-02T00:00:00"/>
    <n v="73724.2"/>
    <s v="ATIVO"/>
    <n v="75888.160000000003"/>
    <n v="1.0293520987681115"/>
    <n v="143097.80000000002"/>
    <n v="0.5303237366332676"/>
    <n v="0.50095233034681619"/>
    <n v="0.48263149070070499"/>
    <n v="0.48263149070070499"/>
  </r>
  <r>
    <x v="3"/>
    <s v="XV"/>
    <n v="18"/>
    <n v="250.48"/>
    <n v="2468"/>
    <s v="THIAGO MERCADANTE DREWS"/>
    <s v="XV18THIAGO MERCADANTE DREWS"/>
    <d v="2013-06-20T00:00:00"/>
    <n v="72989.87"/>
    <s v="ATIVO"/>
    <n v="64972.87"/>
    <n v="0.89016284040511384"/>
    <n v="138799.5"/>
    <n v="0.46810593698104103"/>
    <n v="0.43321341415033904"/>
    <n v="0.41736992363758313"/>
    <n v="0.41736992363758313"/>
  </r>
  <r>
    <x v="3"/>
    <s v="XV"/>
    <n v="20"/>
    <n v="264.79000000000002"/>
    <n v="3521"/>
    <s v="GABRIELA FERNANDA GRILO SILVA"/>
    <s v="XV20GABRIELA FERNANDA GRILO SILVA"/>
    <d v="2014-01-13T00:00:00"/>
    <n v="81142.25"/>
    <s v="ATRASO"/>
    <n v="74676.790000000008"/>
    <n v="0.92031943900988711"/>
    <n v="144901.89000000001"/>
    <n v="0.51536104877583033"/>
    <n v="0.47100656583851963"/>
    <n v="0.45378090335079563"/>
    <n v="0.45378090335079563"/>
  </r>
  <r>
    <x v="3"/>
    <s v="XV"/>
    <n v="21"/>
    <n v="271.89"/>
    <n v="2738"/>
    <s v="EDMILSON TEIXEIRA DE VASCONCELOS"/>
    <s v="XV21EDMILSON TEIXEIRA DE VASCONCELOS"/>
    <d v="2013-07-09T00:00:00"/>
    <n v="76672.98"/>
    <s v="INADIMPLENTE"/>
    <n v="97844.72"/>
    <n v="1.2761303916973099"/>
    <n v="153738.97"/>
    <n v="0.63643408044167327"/>
    <n v="0.60101741948435528"/>
    <n v="0.57903699719693069"/>
    <n v="0.57903699719693069"/>
  </r>
  <r>
    <x v="3"/>
    <s v="XV"/>
    <n v="22"/>
    <n v="268.33999999999997"/>
    <n v="2739"/>
    <s v="EDMILSON TEIXEIRA DE VASCONCELOS"/>
    <s v="XV22EDMILSON TEIXEIRA DE VASCONCELOS"/>
    <d v="2013-07-09T00:00:00"/>
    <n v="75671.88"/>
    <s v="INADIMPLENTE"/>
    <n v="96565.42"/>
    <n v="1.2761070558839029"/>
    <n v="149699.6"/>
    <n v="0.6450613094490566"/>
    <n v="0.60100642904760482"/>
    <n v="0.57902640870267474"/>
    <n v="0.57902640870267474"/>
  </r>
  <r>
    <x v="3"/>
    <s v="XV"/>
    <n v="23"/>
    <n v="268.33999999999997"/>
    <n v="2433"/>
    <s v="ELIANARA CARVALHO DA SILVA"/>
    <s v="XV23ELIANARA CARVALHO DA SILVA"/>
    <d v="2013-06-22T00:00:00"/>
    <n v="75671.88"/>
    <s v="ATIVO"/>
    <n v="68467.399999999994"/>
    <n v="0.90479316755444683"/>
    <n v="143521.13"/>
    <n v="0.4770544936484265"/>
    <n v="0.42612922493553052"/>
    <n v="0.41054481754658667"/>
    <n v="0.41054481754658667"/>
  </r>
  <r>
    <x v="3"/>
    <s v="XV"/>
    <n v="24"/>
    <n v="268.33999999999997"/>
    <n v="2353"/>
    <s v="ANTONIO LUIZ SOKOLOSKI"/>
    <s v="XV24ANTONIO LUIZ SOKOLOSKI"/>
    <d v="2013-06-18T00:00:00"/>
    <n v="75671.88"/>
    <s v="ATIVO"/>
    <n v="37479.450000000004"/>
    <n v="0.49528900299556455"/>
    <n v="165891.1"/>
    <n v="0.22592803351114077"/>
    <n v="0.23326559763493243"/>
    <n v="0.22473460306651663"/>
    <n v="0.22473460306651663"/>
  </r>
  <r>
    <x v="3"/>
    <s v="XV"/>
    <n v="26"/>
    <n v="268.33999999999997"/>
    <n v="3406"/>
    <s v="APARECIDA CASTORINA DA SILVA"/>
    <s v="XV26APARECIDA CASTORINA DA SILVA"/>
    <d v="2013-12-16T00:00:00"/>
    <n v="79385.820000000007"/>
    <s v="INADIMPLENTE"/>
    <n v="86135.66"/>
    <n v="1.08502576404703"/>
    <n v="187981.15"/>
    <n v="0.4582143475555927"/>
    <n v="0.53609341139155842"/>
    <n v="0.51648739135639488"/>
    <n v="0.51648739135639488"/>
  </r>
  <r>
    <x v="3"/>
    <s v="XVIII"/>
    <n v="1"/>
    <n v="265.02"/>
    <n v="5288"/>
    <s v="LUZIA DO CARMO ALVES"/>
    <s v="XVIII1LUZIA DO CARMO ALVES"/>
    <d v="2016-09-15T00:00:00"/>
    <n v="128501.96"/>
    <s v="ATIVO"/>
    <n v="126458.68000000001"/>
    <n v="0.98409923085998063"/>
    <n v="198679.05000000002"/>
    <n v="0.63649730557902306"/>
    <n v="0.79691663787296529"/>
    <n v="0.76777178506096055"/>
    <n v="0.76777178506096055"/>
  </r>
  <r>
    <x v="3"/>
    <s v="XVIII"/>
    <n v="3"/>
    <n v="265.02"/>
    <n v="2388"/>
    <s v="SILVANO MARCOS DE SOUZA"/>
    <s v="XVIII3SILVANO MARCOS DE SOUZA"/>
    <d v="2013-06-21T00:00:00"/>
    <n v="84700.39"/>
    <s v="INADIMPLENTE"/>
    <n v="57078.340000000004"/>
    <n v="0.67388520879301739"/>
    <n v="102156.86"/>
    <n v="0.55873232595441957"/>
    <n v="0.35969597981071755"/>
    <n v="0.34654117052397215"/>
    <n v="0.34654117052397215"/>
  </r>
  <r>
    <x v="3"/>
    <s v="XVIII"/>
    <n v="5"/>
    <n v="265.02"/>
    <n v="3919"/>
    <s v="WASHINGTON SOARES DE OLIVEIRA"/>
    <s v="XVIII5WASHINGTON SOARES DE OLIVEIRA"/>
    <d v="2020-06-03T00:00:00"/>
    <n v="93060.2"/>
    <s v="ATIVO"/>
    <n v="81866.87"/>
    <n v="0.87971947191173028"/>
    <n v="104546.25"/>
    <n v="0.78306845056613694"/>
    <n v="0.51590820648755087"/>
    <n v="0.49704040021019985"/>
    <n v="0.49704040021019985"/>
  </r>
  <r>
    <x v="3"/>
    <s v="XVIII"/>
    <n v="7"/>
    <n v="257.86"/>
    <m/>
    <s v="IZAEL DE PAULA GUIMARAES"/>
    <s v="XVIII7IZAEL DE PAULA GUIMARAES"/>
    <d v="2018-11-14T00:00:00"/>
    <n v="79900"/>
    <s v="ATIVO"/>
    <n v="80071.95"/>
    <n v="1.0021520650813516"/>
    <n v="108988.1"/>
    <n v="0.73468525462871626"/>
    <n v="0.51860813646485215"/>
    <n v="0.49964158828897431"/>
    <n v="0.49964158828897431"/>
  </r>
  <r>
    <x v="3"/>
    <s v="XVIII"/>
    <n v="8"/>
    <n v="253.77"/>
    <n v="6826"/>
    <s v="NATANAEL CARVALHO DOS SANTOS"/>
    <s v="XVIII8NATANAEL CARVALHO DOS SANTOS"/>
    <d v="2018-12-17T00:00:00"/>
    <n v="79900"/>
    <s v="ATIVO"/>
    <n v="58184.450000000004"/>
    <n v="0.72821589486858573"/>
    <n v="101619.61"/>
    <n v="0.57257108150680769"/>
    <n v="0.38292132514250704"/>
    <n v="0.36891711801534305"/>
    <n v="0.36891711801534305"/>
  </r>
  <r>
    <x v="3"/>
    <s v="XVIII"/>
    <n v="12"/>
    <n v="255.81"/>
    <n v="6786"/>
    <s v="MIRIAM QUADROS MONTEIRO MARTINS"/>
    <s v="XVIII12MIRIAM QUADROS MONTEIRO MARTINS"/>
    <d v="2018-12-05T00:00:00"/>
    <n v="77080"/>
    <s v="ATIVO"/>
    <n v="63225.33"/>
    <n v="0.8202559678256357"/>
    <n v="101552.99"/>
    <n v="0.62258462306230467"/>
    <n v="0.41277794682388297"/>
    <n v="0.39768182267175894"/>
    <n v="0.39768182267175894"/>
  </r>
  <r>
    <x v="3"/>
    <s v="XVIII"/>
    <n v="13"/>
    <n v="255.81"/>
    <n v="3886"/>
    <s v="WALDIR PITELLA"/>
    <s v="XVIII13WALDIR PITELLA"/>
    <d v="2020-05-07T00:00:00"/>
    <n v="94000"/>
    <s v="ATRASO"/>
    <n v="84983.83"/>
    <n v="0.90408329787234043"/>
    <n v="107741.59"/>
    <n v="0.78877460412455402"/>
    <n v="0.55483223038345408"/>
    <n v="0.53454089384787562"/>
    <n v="0.53454089384787562"/>
  </r>
  <r>
    <x v="3"/>
    <s v="XVIII"/>
    <n v="14"/>
    <n v="255.81"/>
    <n v="6882"/>
    <s v="ANDRE HENRIQUE DE SOUZA GUIRAO"/>
    <s v="XVIII14ANDRE HENRIQUE DE SOUZA GUIRAO"/>
    <d v="2019-01-23T00:00:00"/>
    <n v="77080"/>
    <s v="ATIVO"/>
    <n v="10267.84"/>
    <n v="0.13321017125064868"/>
    <n v="79578.559999999998"/>
    <n v="0.12902771801852159"/>
    <n v="6.7035441547179567E-2"/>
    <n v="6.4583819904174375E-2"/>
    <n v="6.4583819904174375E-2"/>
  </r>
  <r>
    <x v="3"/>
    <s v="XVIII"/>
    <n v="15"/>
    <n v="255.81"/>
    <m/>
    <s v="JESSICA SABRINA APARECIDA BRAGA"/>
    <s v="XVIII15JESSICA SABRINA APARECIDA BRAGA"/>
    <d v="2018-11-10T00:00:00"/>
    <n v="79900"/>
    <s v="ATIVO"/>
    <n v="80641.48"/>
    <n v="1.0092801001251563"/>
    <n v="109079.5"/>
    <n v="0.73929088417163624"/>
    <n v="0.52648241682944508"/>
    <n v="0.50722789029884374"/>
    <n v="0.50722789029884374"/>
  </r>
  <r>
    <x v="3"/>
    <s v="XVIII"/>
    <n v="16"/>
    <n v="253.43"/>
    <n v="6831"/>
    <s v="MARCIO RODRIGUES"/>
    <s v="XVIII16MARCIO RODRIGUES"/>
    <d v="2019-01-07T00:00:00"/>
    <n v="79900"/>
    <s v="ATIVO"/>
    <n v="63605.18"/>
    <n v="0.79605982478097626"/>
    <n v="104944.72"/>
    <n v="0.60608270716239943"/>
    <n v="0.41915761622733094"/>
    <n v="0.40382817466543491"/>
    <n v="0.40382817466543491"/>
  </r>
  <r>
    <x v="3"/>
    <s v="XVIII"/>
    <n v="17"/>
    <n v="258.2"/>
    <n v="3094"/>
    <s v="ELIZEU GETAO"/>
    <s v="XVIII17ELIZEU GETAO"/>
    <d v="2019-09-19T00:00:00"/>
    <n v="93060.9"/>
    <s v="ATIVO"/>
    <n v="91172.95"/>
    <n v="0.97971274724400903"/>
    <n v="115309.2"/>
    <n v="0.79068235665497633"/>
    <n v="0.58972924958779616"/>
    <n v="0.5681616584981618"/>
    <n v="0.5681616584981618"/>
  </r>
  <r>
    <x v="3"/>
    <s v="XVIII"/>
    <n v="20"/>
    <n v="265.44"/>
    <m/>
    <s v="TAINA APARECIDA SIMAO"/>
    <s v="XVIII20TAINA APARECIDA SIMAO"/>
    <d v="2018-11-05T00:00:00"/>
    <n v="79900"/>
    <s v="INADIMPLENTE"/>
    <n v="88045.41"/>
    <n v="1.1019450563204005"/>
    <n v="98002.95"/>
    <n v="0.89839550748217278"/>
    <n v="0.55396617916396129"/>
    <n v="0.53370651587263473"/>
    <n v="0.53370651587263473"/>
  </r>
  <r>
    <x v="3"/>
    <s v="XVIII"/>
    <n v="21"/>
    <n v="265.44"/>
    <m/>
    <s v="CLAUDIONOR ELENO RICCI"/>
    <s v="XVIII21CLAUDIONOR ELENO RICCI"/>
    <d v="2018-11-01T00:00:00"/>
    <n v="81999.679999999993"/>
    <s v="ATIVO"/>
    <n v="25559.850000000002"/>
    <n v="0.31170670422128482"/>
    <n v="94483.75"/>
    <n v="0.27052112135684708"/>
    <n v="0.16081806472937063"/>
    <n v="0.15493662292818175"/>
    <n v="0.15493662292818175"/>
  </r>
  <r>
    <x v="3"/>
    <s v="XVIII"/>
    <n v="23"/>
    <n v="265.44"/>
    <n v="4635"/>
    <s v="MARCIA REGINA DE FREITAS SOUZA"/>
    <s v="XVIII23MARCIA REGINA DE FREITAS SOUZA"/>
    <d v="2015-04-07T00:00:00"/>
    <n v="115000.2"/>
    <s v="INADIMPLENTE"/>
    <n v="237755.56"/>
    <n v="2.0674360566329448"/>
    <n v="258505.56"/>
    <n v="0.91973093344684731"/>
    <n v="1.4959160182022884"/>
    <n v="1.4412073446752891"/>
    <n v="1.4412073446752891"/>
  </r>
  <r>
    <x v="3"/>
    <s v="XVIII - A"/>
    <n v="1"/>
    <n v="255.38"/>
    <n v="4360"/>
    <s v="MOYSES DO LAGO"/>
    <s v="XVIII - A1MOYSES DO LAGO"/>
    <d v="2015-01-11T00:00:00"/>
    <n v="109600.16"/>
    <s v="INADIMPLENTE"/>
    <n v="263032.44"/>
    <n v="2.3999275183539877"/>
    <n v="280873.85000000003"/>
    <n v="0.93647892105299224"/>
    <n v="1.7201460815868328"/>
    <n v="1.6572368612487998"/>
    <n v="1.6572368612487998"/>
  </r>
  <r>
    <x v="3"/>
    <s v="XVIII - A"/>
    <n v="2"/>
    <n v="253.59"/>
    <m/>
    <s v="DALMO CORREIA"/>
    <s v="XVIII - A2DALMO CORREIA"/>
    <d v="2018-11-22T00:00:00"/>
    <n v="79900.100000000006"/>
    <s v="ATRASO"/>
    <n v="16532.11"/>
    <n v="0.2069097535547515"/>
    <n v="99148.33"/>
    <n v="0.16674118464728555"/>
    <n v="0.1088777310963423"/>
    <n v="0.10489585231943847"/>
    <n v="0.10489585231943847"/>
  </r>
  <r>
    <x v="3"/>
    <s v="XVIII - A"/>
    <n v="3"/>
    <n v="253.59"/>
    <n v="5299"/>
    <s v="DENISE APARECIDA BALZER"/>
    <s v="XVIII - A3DENISE APARECIDA BALZER"/>
    <d v="2016-09-15T00:00:00"/>
    <n v="122959.95"/>
    <s v="ATIVO"/>
    <n v="121003.89"/>
    <n v="0.98409189333600089"/>
    <n v="185596.51"/>
    <n v="0.65197287384337121"/>
    <n v="0.79691152533048615"/>
    <n v="0.76776685949449752"/>
    <n v="0.76776685949449752"/>
  </r>
  <r>
    <x v="3"/>
    <s v="XVIII - B"/>
    <n v="1"/>
    <n v="256.08"/>
    <n v="2664"/>
    <s v="YASMIN ADRIANA DA SILVA ALVES"/>
    <s v="XVIII - B1YASMIN ADRIANA DA SILVA ALVES"/>
    <d v="2013-07-09T00:00:00"/>
    <n v="81843.17"/>
    <s v="ATIVO"/>
    <n v="83190.680000000008"/>
    <n v="1.0164645382137569"/>
    <n v="165439.11000000002"/>
    <n v="0.50284772445886583"/>
    <n v="0.54255267931806228"/>
    <n v="0.52271043079419044"/>
    <n v="0.52271043079419044"/>
  </r>
  <r>
    <x v="3"/>
    <s v="XVIII - B"/>
    <n v="2"/>
    <n v="256.08"/>
    <n v="6455"/>
    <s v="JOSE DONIZETE PIANISSOLA"/>
    <s v="XVIII - B2JOSE DONIZETE PIANISSOLA"/>
    <d v="2018-06-04T00:00:00"/>
    <n v="103400"/>
    <s v="ATIVO"/>
    <n v="107025.38"/>
    <n v="1.0350617021276596"/>
    <n v="150270.51999999999"/>
    <n v="0.71221807178147789"/>
    <n v="0.69799774054057206"/>
    <n v="0.67247055181796733"/>
    <n v="0.67247055181796733"/>
  </r>
  <r>
    <x v="3"/>
    <s v="XVIII - B"/>
    <n v="3"/>
    <n v="257.87"/>
    <n v="5158"/>
    <s v="DYESSICA YENDIS RIAN MIRANDA"/>
    <s v="XVIII - B3DYESSICA YENDIS RIAN MIRANDA"/>
    <d v="2016-03-18T00:00:00"/>
    <n v="108152.67"/>
    <s v="ATIVO"/>
    <n v="121146.11"/>
    <n v="1.1201397986753356"/>
    <n v="201326.37"/>
    <n v="0.60173990123598808"/>
    <n v="0.78460586947734057"/>
    <n v="0.7559112463579305"/>
    <n v="0.7559112463579305"/>
  </r>
  <r>
    <x v="4"/>
    <s v="XXIX"/>
    <n v="14"/>
    <n v="257.86"/>
    <n v="6618"/>
    <s v="BILL ANDERSON DA SILVA FRANCISCO"/>
    <s v="XXIX14BILL ANDERSON DA SILVA FRANCISCO"/>
    <d v="2018-09-01T00:00:00"/>
    <n v="159354.03"/>
    <s v="ATIVO"/>
    <n v="162026.03"/>
    <n v="1.0167676964303947"/>
    <n v="221787.21"/>
    <n v="0.73054722136592098"/>
    <n v="1.0494064085750159"/>
    <e v="#DIV/0!"/>
    <e v="#DIV/0!"/>
  </r>
  <r>
    <x v="4"/>
    <s v="XXIX"/>
    <n v="23"/>
    <n v="355.37"/>
    <n v="4926"/>
    <s v="FABIANA BARBOSA DOS SANTOS"/>
    <s v="XXIX23FABIANA BARBOSA DOS SANTOS"/>
    <d v="2020-12-11T00:00:00"/>
    <n v="235000"/>
    <s v="ATIVO"/>
    <n v="228102.38"/>
    <n v="0.97064842553191488"/>
    <n v="248968.28"/>
    <n v="0.9161905283677102"/>
    <n v="1.0719930107668796"/>
    <e v="#DIV/0!"/>
    <e v="#DIV/0!"/>
  </r>
  <r>
    <x v="4"/>
    <s v="XXIX"/>
    <n v="33"/>
    <n v="273.55"/>
    <n v="4504"/>
    <s v="ROBERTO MARTINS"/>
    <s v="XXIX33ROBERTO MARTINS"/>
    <d v="2015-03-13T00:00:00"/>
    <n v="140633.82"/>
    <s v="ATIVO"/>
    <n v="133661.78"/>
    <n v="0.95042415828568116"/>
    <n v="219539.38"/>
    <n v="0.60882826579905613"/>
    <n v="0.81604370830649475"/>
    <e v="#DIV/0!"/>
    <e v="#DIV/0!"/>
  </r>
  <r>
    <x v="4"/>
    <s v="XXIX"/>
    <n v="41"/>
    <n v="258.7"/>
    <n v="2553"/>
    <s v="AUREO SILVA CASTRO"/>
    <s v="XXIX41AUREO SILVA CASTRO"/>
    <d v="2013-06-20T00:00:00"/>
    <n v="94839.42"/>
    <s v="INADIMPLENTE"/>
    <n v="176340.32"/>
    <n v="1.8593567948855023"/>
    <n v="210144.33000000002"/>
    <n v="0.83913908122098746"/>
    <n v="1.1384084095508378"/>
    <e v="#DIV/0!"/>
    <e v="#DIV/0!"/>
  </r>
  <r>
    <x v="4"/>
    <s v="XXIX"/>
    <n v="43"/>
    <n v="258.7"/>
    <n v="2672"/>
    <s v="RODRIGO CHANAN LOPES DE JESUS"/>
    <s v="XXIX43RODRIGO CHANAN LOPES DE JESUS"/>
    <d v="2013-06-11T00:00:00"/>
    <n v="94839.42"/>
    <s v="ATIVO"/>
    <n v="46835.58"/>
    <n v="0.49384085225320867"/>
    <n v="172015.29"/>
    <n v="0.27227567967940525"/>
    <n v="0.30235863322801632"/>
    <e v="#DIV/0!"/>
    <e v="#DIV/0!"/>
  </r>
  <r>
    <x v="4"/>
    <s v="XXIX"/>
    <n v="45"/>
    <n v="258.7"/>
    <n v="7131"/>
    <s v="LAIARA MARTINS BRASIL"/>
    <s v="XXIX45LAIARA MARTINS BRASIL"/>
    <d v="2019-04-05T00:00:00"/>
    <n v="141000"/>
    <s v="ATIVO"/>
    <n v="36002.32"/>
    <n v="0.25533560283687945"/>
    <n v="146998.6"/>
    <n v="0.244916074030637"/>
    <n v="0.23242185253684647"/>
    <e v="#DIV/0!"/>
    <e v="#DIV/0!"/>
  </r>
  <r>
    <x v="4"/>
    <s v="XXVI"/>
    <n v="2"/>
    <n v="253.02"/>
    <n v="2421"/>
    <s v="VERA LUCIA GOMES MAGALHAES"/>
    <s v="XXVI2VERA LUCIA GOMES MAGALHAES"/>
    <d v="2013-06-16T00:00:00"/>
    <n v="91567.94"/>
    <s v="ATIVO"/>
    <n v="66593.08"/>
    <n v="0.72725322858633712"/>
    <n v="163156.76"/>
    <n v="0.40815397412892973"/>
    <n v="0.43955897294844898"/>
    <e v="#DIV/0!"/>
    <e v="#DIV/0!"/>
  </r>
  <r>
    <x v="4"/>
    <s v="XXVI"/>
    <n v="9"/>
    <n v="262.81"/>
    <n v="3456"/>
    <s v="MARCELO BUOSI BRIANEZI"/>
    <s v="XXVI9MARCELO BUOSI BRIANEZI"/>
    <d v="2019-12-04T00:00:00"/>
    <n v="161680"/>
    <s v="ATIVO"/>
    <n v="56668.51"/>
    <n v="0.35049795893122215"/>
    <n v="166233.97"/>
    <n v="0.34089608760471762"/>
    <n v="0.36011632289162393"/>
    <e v="#DIV/0!"/>
    <e v="#DIV/0!"/>
  </r>
  <r>
    <x v="4"/>
    <s v="XXVII"/>
    <n v="5"/>
    <n v="262.25"/>
    <n v="2645"/>
    <s v="CLAUDIA THAIS BERA"/>
    <s v="XXVII5CLAUDIA THAIS BERA"/>
    <d v="2013-06-29T00:00:00"/>
    <n v="96140.85"/>
    <s v="ATRASO"/>
    <n v="98044.87"/>
    <n v="1.0198044847741619"/>
    <n v="192451.59"/>
    <n v="0.5094521172831048"/>
    <n v="0.62438473603236333"/>
    <e v="#DIV/0!"/>
    <e v="#DIV/0!"/>
  </r>
  <r>
    <x v="4"/>
    <s v="XXVII"/>
    <n v="6"/>
    <n v="262.25"/>
    <n v="2699"/>
    <s v="DALMO CORREIA"/>
    <s v="XXVII6DALMO CORREIA"/>
    <d v="2013-07-12T00:00:00"/>
    <n v="96140.85"/>
    <s v="ATIVO"/>
    <n v="50894.69"/>
    <n v="0.52937632650429034"/>
    <n v="206336.98"/>
    <n v="0.24665811237520294"/>
    <n v="0.32411555628661615"/>
    <e v="#DIV/0!"/>
    <e v="#DIV/0!"/>
  </r>
  <r>
    <x v="4"/>
    <s v="XXVII"/>
    <n v="7"/>
    <n v="262.25"/>
    <n v="2740"/>
    <s v="CARLOS HENRIQUE NAVARRO MAZZEO"/>
    <s v="XXVII7CARLOS HENRIQUE NAVARRO MAZZEO"/>
    <d v="2013-07-17T00:00:00"/>
    <n v="96140.85"/>
    <s v="INADIMPLENTE"/>
    <n v="164350.48000000001"/>
    <n v="1.7094760447822128"/>
    <n v="198341.05000000002"/>
    <n v="0.82862564254852944"/>
    <n v="1.0466425328688"/>
    <e v="#DIV/0!"/>
    <e v="#DIV/0!"/>
  </r>
  <r>
    <x v="4"/>
    <s v="XXVII"/>
    <n v="8"/>
    <n v="262.25"/>
    <n v="2714"/>
    <s v="GILDETE RODRIGUES DA CRUZ"/>
    <s v="XXVII8GILDETE RODRIGUES DA CRUZ"/>
    <d v="2013-07-13T00:00:00"/>
    <n v="96140.85"/>
    <s v="INADIMPLENTE"/>
    <n v="161446.56"/>
    <n v="1.6792711942946208"/>
    <n v="197051.17"/>
    <n v="0.81931287187992841"/>
    <n v="1.0281493335544543"/>
    <e v="#DIV/0!"/>
    <e v="#DIV/0!"/>
  </r>
  <r>
    <x v="4"/>
    <s v="XXVII"/>
    <n v="11"/>
    <n v="262.25"/>
    <n v="2324"/>
    <s v="FABIO AUGUSTO GUIRARDELLI"/>
    <s v="XXVII11FABIO AUGUSTO GUIRARDELLI"/>
    <d v="2013-06-20T00:00:00"/>
    <n v="96140.85"/>
    <s v="ATIVO"/>
    <n v="86763.64"/>
    <n v="0.90246383301166977"/>
    <n v="176657.78"/>
    <n v="0.49113964864723197"/>
    <n v="0.55254183577995464"/>
    <e v="#DIV/0!"/>
    <e v="#DIV/0!"/>
  </r>
  <r>
    <x v="4"/>
    <s v="XXVII"/>
    <n v="13"/>
    <n v="262.25"/>
    <n v="2619"/>
    <s v="JULIANO CEZARIO BORTOLASSI"/>
    <s v="XXVII13JULIANO CEZARIO BORTOLASSI"/>
    <d v="2013-07-06T00:00:00"/>
    <n v="99838.57"/>
    <s v="ATRASO"/>
    <n v="37464.75"/>
    <n v="0.37525327135594988"/>
    <n v="151618.48000000001"/>
    <n v="0.2470988365006693"/>
    <n v="0.23858890362411095"/>
    <e v="#DIV/0!"/>
    <e v="#DIV/0!"/>
  </r>
  <r>
    <x v="4"/>
    <s v="XXVII"/>
    <n v="16"/>
    <n v="262.25"/>
    <n v="2333"/>
    <s v="LUIZ FERNANDO PERISOTTO TEXEIRA"/>
    <s v="XXVII16LUIZ FERNANDO PERISOTTO TEXEIRA"/>
    <d v="2013-06-21T00:00:00"/>
    <n v="99838.57"/>
    <s v="ATIVO"/>
    <n v="67109.77"/>
    <n v="0.67218280470162983"/>
    <n v="180205.44"/>
    <n v="0.37240701501575091"/>
    <n v="0.42737897481676113"/>
    <e v="#DIV/0!"/>
    <e v="#DIV/0!"/>
  </r>
  <r>
    <x v="4"/>
    <s v="XXVII"/>
    <n v="17"/>
    <n v="262.25"/>
    <n v="2331"/>
    <s v="LUIZ FERNANDO PERISOTTO TEXEIRA"/>
    <s v="XXVII17LUIZ FERNANDO PERISOTTO TEXEIRA"/>
    <d v="2013-06-20T00:00:00"/>
    <n v="99838.57"/>
    <s v="ATIVO"/>
    <n v="71578.86"/>
    <n v="0.71694596587270831"/>
    <n v="183541.33000000002"/>
    <n v="0.38998769377992409"/>
    <n v="0.45583973548639001"/>
    <e v="#DIV/0!"/>
    <e v="#DIV/0!"/>
  </r>
  <r>
    <x v="4"/>
    <s v="XXVIII"/>
    <n v="8"/>
    <n v="331.75"/>
    <n v="2587"/>
    <s v="MARLY APARECIDA BORGES KOTINDA"/>
    <s v="XXVIII8MARLY APARECIDA BORGES KOTINDA"/>
    <d v="2013-06-11T00:00:00"/>
    <n v="124738"/>
    <s v="ATIVO"/>
    <n v="112156.8"/>
    <n v="0.89913899533422059"/>
    <n v="200431.6"/>
    <n v="0.55957643405530866"/>
    <n v="0.56462171603512035"/>
    <e v="#DIV/0!"/>
    <e v="#DIV/0!"/>
  </r>
  <r>
    <x v="4"/>
    <s v="XXVIII"/>
    <n v="10"/>
    <n v="280.05"/>
    <n v="2615"/>
    <s v="CILAS FONSECA VIANNA"/>
    <s v="XXVIII10CILAS FONSECA VIANNA"/>
    <d v="2013-06-17T00:00:00"/>
    <n v="105298.8"/>
    <s v="ATIVO"/>
    <n v="106778.73"/>
    <n v="1.0140545761205255"/>
    <n v="205981.91"/>
    <n v="0.51838887211017703"/>
    <n v="0.63678389870034657"/>
    <e v="#DIV/0!"/>
    <e v="#DIV/0!"/>
  </r>
  <r>
    <x v="4"/>
    <s v="XXX"/>
    <n v="1"/>
    <n v="317.64"/>
    <n v="2605"/>
    <s v="GABRIEL GARCIA BOGO"/>
    <s v="XXX1GABRIEL GARCIA BOGO"/>
    <d v="2013-06-24T00:00:00"/>
    <n v="116446.82"/>
    <s v="ATIVO"/>
    <n v="192525.72"/>
    <n v="1.6533360035078672"/>
    <n v="236223.76"/>
    <n v="0.81501420517563516"/>
    <n v="1.0122702381438327"/>
    <e v="#DIV/0!"/>
    <e v="#DIV/0!"/>
  </r>
  <r>
    <x v="4"/>
    <s v="XXX"/>
    <n v="2"/>
    <n v="259.51"/>
    <n v="2539"/>
    <s v="ROBSON CAMILLO DE SOUZA"/>
    <s v="XXX2ROBSON CAMILLO DE SOUZA"/>
    <d v="2013-06-28T00:00:00"/>
    <n v="95136.37"/>
    <s v="ATIVO"/>
    <n v="96315.35"/>
    <n v="1.012392526643596"/>
    <n v="186484.94"/>
    <n v="0.51647789896599694"/>
    <n v="0.61984672211655889"/>
    <e v="#DIV/0!"/>
    <e v="#DIV/0!"/>
  </r>
  <r>
    <x v="4"/>
    <s v="XXX"/>
    <n v="3"/>
    <n v="259.51"/>
    <n v="2465"/>
    <s v="ELOUISE BATISTI DE SOUZA"/>
    <s v="XXX3ELOUISE BATISTI DE SOUZA"/>
    <d v="2013-06-27T00:00:00"/>
    <n v="95136.37"/>
    <s v="ATIVO"/>
    <n v="96315.35"/>
    <n v="1.012392526643596"/>
    <n v="186406.21"/>
    <n v="0.51669603711163925"/>
    <n v="0.61984672211655889"/>
    <e v="#DIV/0!"/>
    <e v="#DIV/0!"/>
  </r>
  <r>
    <x v="4"/>
    <s v="XXX"/>
    <n v="5"/>
    <n v="259.51"/>
    <n v="2766"/>
    <s v="WANDERSON GERALDO GLATZ"/>
    <s v="XXX5WANDERSON GERALDO GLATZ"/>
    <d v="2013-08-12T00:00:00"/>
    <n v="95136.37"/>
    <s v="ATIVO"/>
    <n v="61177.599999999999"/>
    <n v="0.6430516531164685"/>
    <n v="192106.99"/>
    <n v="0.31845587711306078"/>
    <n v="0.39371434383987586"/>
    <e v="#DIV/0!"/>
    <e v="#DIV/0!"/>
  </r>
  <r>
    <x v="4"/>
    <s v="XXX"/>
    <n v="20"/>
    <n v="277.73"/>
    <n v="3520"/>
    <s v="SELMA ROSA DA SILVA"/>
    <s v="XXX20SELMA ROSA DA SILVA"/>
    <d v="2014-01-09T00:00:00"/>
    <n v="106775.67999999999"/>
    <s v="INADIMPLENTE"/>
    <n v="137345.29"/>
    <n v="1.2862974977073434"/>
    <n v="204458.34"/>
    <n v="0.67175195690232059"/>
    <n v="0.82591218973738456"/>
    <e v="#DIV/0!"/>
    <e v="#DIV/0!"/>
  </r>
  <r>
    <x v="4"/>
    <s v="XXX"/>
    <n v="32"/>
    <n v="263.51"/>
    <n v="3541"/>
    <s v="JANETE LONGHINI PONTES"/>
    <s v="XXX32JANETE LONGHINI PONTES"/>
    <d v="2014-01-17T00:00:00"/>
    <n v="106510.22"/>
    <s v="ATIVO"/>
    <n v="110585.24"/>
    <n v="1.0382594271235193"/>
    <n v="203006.66"/>
    <n v="0.5447370051800271"/>
    <n v="0.70087886372366859"/>
    <e v="#DIV/0!"/>
    <e v="#DIV/0!"/>
  </r>
  <r>
    <x v="4"/>
    <s v="XXX"/>
    <n v="37"/>
    <n v="250.97"/>
    <m/>
    <s v="DIEGO ALEXANDRE FAGUNDES"/>
    <s v="XXX37DIEGO ALEXANDRE FAGUNDES"/>
    <d v="2019-08-01T00:00:00"/>
    <n v="141000"/>
    <s v="INADIMPLENTE"/>
    <n v="152517.54"/>
    <n v="1.0816846808510638"/>
    <n v="174906.09"/>
    <n v="0.87199673836399871"/>
    <n v="1.01494119569809"/>
    <e v="#DIV/0!"/>
    <e v="#DIV/0!"/>
  </r>
  <r>
    <x v="4"/>
    <s v="XXX"/>
    <n v="39"/>
    <n v="250.97"/>
    <n v="6779"/>
    <s v="ANDERSON JOSE LIMA DA SILVA"/>
    <s v="XXX39ANDERSON JOSE LIMA DA SILVA"/>
    <d v="2018-12-05T00:00:00"/>
    <n v="140999.88"/>
    <s v="ATIVO"/>
    <n v="18113.7"/>
    <n v="0.12846606677963129"/>
    <n v="147119.61000000002"/>
    <n v="0.12312226765690855"/>
    <n v="0.12053918740438965"/>
    <e v="#DIV/0!"/>
    <e v="#DIV/0!"/>
  </r>
  <r>
    <x v="4"/>
    <s v="XXX"/>
    <n v="41"/>
    <n v="250.97"/>
    <n v="2686"/>
    <s v="SIDNEY APARECIDO DE OLIVEIRA"/>
    <s v="XXX41SIDNEY APARECIDO DE OLIVEIRA"/>
    <d v="2013-07-15T00:00:00"/>
    <n v="96723.839999999997"/>
    <s v="ATIVO"/>
    <n v="100082.38"/>
    <n v="1.0347229803944922"/>
    <n v="189766.25"/>
    <n v="0.52739820700467022"/>
    <n v="0.66600687649112766"/>
    <e v="#DIV/0!"/>
    <e v="#DIV/0!"/>
  </r>
  <r>
    <x v="4"/>
    <s v="XXXII"/>
    <n v="4"/>
    <n v="250.7"/>
    <n v="3826"/>
    <s v="MARCUS VINICIUS RICARDO"/>
    <s v="XXXII4MARCUS VINICIUS RICARDO"/>
    <d v="2014-07-16T00:00:00"/>
    <n v="102094.45"/>
    <s v="INADIMPLENTE"/>
    <n v="245576.03"/>
    <n v="2.4053808017967677"/>
    <n v="270417.84999999998"/>
    <n v="0.90813542819011406"/>
    <n v="1.6359670026006019"/>
    <e v="#DIV/0!"/>
    <e v="#DIV/0!"/>
  </r>
  <r>
    <x v="4"/>
    <s v="XXXII"/>
    <n v="5"/>
    <n v="250.7"/>
    <n v="4845"/>
    <s v="WENDEL ROGERIO DANTAS TSUZAKI"/>
    <s v="XXXII5WENDEL ROGERIO DANTAS TSUZAKI"/>
    <d v="2020-10-28T00:00:00"/>
    <n v="153877.6"/>
    <s v="ATIVO"/>
    <n v="143822.82"/>
    <n v="0.93465728605073128"/>
    <n v="167060.09"/>
    <n v="0.86090471997231666"/>
    <n v="0.95811218929211417"/>
    <e v="#DIV/0!"/>
    <e v="#DIV/0!"/>
  </r>
  <r>
    <x v="4"/>
    <s v="XXXII"/>
    <n v="16"/>
    <n v="267.12"/>
    <n v="4138"/>
    <s v="MARCIO ROGERIO DA SILVA"/>
    <s v="XXXII16MARCIO ROGERIO DA SILVA"/>
    <d v="2014-11-05T00:00:00"/>
    <n v="124774.8"/>
    <s v="ATIVO"/>
    <n v="117923.72"/>
    <n v="0.94509243853726876"/>
    <n v="205503.72"/>
    <n v="0.57382766599066914"/>
    <n v="0.73728884687181462"/>
    <e v="#DIV/0!"/>
    <e v="#DIV/0!"/>
  </r>
  <r>
    <x v="4"/>
    <s v="XXXII"/>
    <n v="17"/>
    <n v="267.12"/>
    <n v="4820"/>
    <s v="MARCOS ROBERTO RODRIGUES"/>
    <s v="XXXII17MARCOS ROBERTO RODRIGUES"/>
    <d v="2020-10-09T00:00:00"/>
    <n v="160182.42000000001"/>
    <s v="ATIVO"/>
    <n v="161400.63"/>
    <n v="1.0076051416878331"/>
    <n v="175337.59"/>
    <n v="0.92051356471821022"/>
    <n v="1.0091174564123691"/>
    <e v="#DIV/0!"/>
    <e v="#DIV/0!"/>
  </r>
  <r>
    <x v="4"/>
    <s v="XXXII"/>
    <n v="19"/>
    <n v="260.95999999999998"/>
    <n v="5362"/>
    <s v="VANDERSON FABIANO DA SILVA"/>
    <s v="XXXII19VANDERSON FABIANO DA SILVA"/>
    <d v="2016-12-12T00:00:00"/>
    <n v="146578.5"/>
    <s v="ATIVO"/>
    <n v="137648.83000000002"/>
    <n v="0.93907926469434477"/>
    <n v="235760.35"/>
    <n v="0.58385063476534549"/>
    <n v="0.88093016210909814"/>
    <e v="#DIV/0!"/>
    <e v="#DIV/0!"/>
  </r>
  <r>
    <x v="4"/>
    <s v="XXXII"/>
    <n v="23"/>
    <n v="318.23"/>
    <n v="4183"/>
    <s v="EDIOGENES DE ARAUJO AVILA"/>
    <s v="XXXII23EDIOGENES DE ARAUJO AVILA"/>
    <d v="2014-11-13T00:00:00"/>
    <n v="148336.47"/>
    <s v="INADIMPLENTE"/>
    <n v="355704.67"/>
    <n v="2.3979583038480015"/>
    <n v="382960.15"/>
    <n v="0.92882946175992454"/>
    <n v="1.8667722984267814"/>
    <e v="#DIV/0!"/>
    <e v="#DIV/0!"/>
  </r>
  <r>
    <x v="4"/>
    <s v="XXXIII"/>
    <n v="5"/>
    <n v="257.33"/>
    <n v="2371"/>
    <s v="PATRICIANE KELY DONIZETTI LOPES"/>
    <s v="XXXIII5PATRICIANE KELY DONIZETTI LOPES"/>
    <d v="2013-06-19T00:00:00"/>
    <n v="91918.28"/>
    <s v="ATIVO"/>
    <n v="93060.53"/>
    <n v="1.0124267991089477"/>
    <n v="180421.28"/>
    <n v="0.51579575313954096"/>
    <n v="0.6039736629034419"/>
    <e v="#DIV/0!"/>
    <e v="#DIV/0!"/>
  </r>
  <r>
    <x v="4"/>
    <s v="XXXIII"/>
    <n v="8"/>
    <n v="257.73"/>
    <n v="3764"/>
    <s v="LEANDRO RENE GOMES"/>
    <s v="XXXIII8LEANDRO RENE GOMES"/>
    <d v="2020-02-03T00:00:00"/>
    <n v="157954.60999999999"/>
    <s v="ATIVO"/>
    <n v="156066.12"/>
    <n v="0.98804409697190865"/>
    <n v="186624.26"/>
    <n v="0.83625848000683289"/>
    <n v="1.0113152567422405"/>
    <e v="#DIV/0!"/>
    <e v="#DIV/0!"/>
  </r>
  <r>
    <x v="4"/>
    <s v="XXXIII"/>
    <n v="10"/>
    <n v="257.33"/>
    <n v="2792"/>
    <s v="ALEXANDRE CESAR CESTARI"/>
    <s v="XXXIII10ALEXANDRE CESAR CESTARI"/>
    <d v="2013-08-16T00:00:00"/>
    <n v="91918.28"/>
    <s v="ATIVO"/>
    <n v="73301.91"/>
    <n v="0.79746825114656195"/>
    <n v="166391.37"/>
    <n v="0.44053913373031311"/>
    <n v="0.47573792111992524"/>
    <e v="#DIV/0!"/>
    <e v="#DIV/0!"/>
  </r>
  <r>
    <x v="4"/>
    <s v="XXXIII"/>
    <n v="11"/>
    <n v="257.33"/>
    <n v="3542"/>
    <s v="CLEMILDO DE OLIVEIRA"/>
    <s v="XXXIII11CLEMILDO DE OLIVEIRA"/>
    <d v="2014-01-22T00:00:00"/>
    <n v="96514.19"/>
    <s v="ATIVO"/>
    <n v="91017.57"/>
    <n v="0.94304858176813178"/>
    <n v="176806.21"/>
    <n v="0.51478717857251743"/>
    <n v="0.59071461490140265"/>
    <e v="#DIV/0!"/>
    <e v="#DIV/0!"/>
  </r>
  <r>
    <x v="4"/>
    <s v="XXXIII"/>
    <n v="15"/>
    <n v="257.33"/>
    <n v="3601"/>
    <s v="FREDERICO MERCER DE LIMA"/>
    <s v="XXXIII15FREDERICO MERCER DE LIMA"/>
    <d v="2014-03-23T00:00:00"/>
    <n v="101593.63"/>
    <s v="ATIVO"/>
    <n v="104699.62"/>
    <n v="1.0305726845275633"/>
    <n v="186547.72"/>
    <n v="0.56124845696318348"/>
    <n v="0.67951271066260266"/>
    <e v="#DIV/0!"/>
    <e v="#DIV/0!"/>
  </r>
  <r>
    <x v="4"/>
    <s v="XXXIII"/>
    <n v="17"/>
    <n v="257.33"/>
    <n v="3570"/>
    <s v="EDUARDO LUCIO DA SILVA NETO"/>
    <s v="XXXIII17EDUARDO LUCIO DA SILVA NETO"/>
    <d v="2014-02-21T00:00:00"/>
    <n v="96514.74"/>
    <s v="ATIVO"/>
    <n v="97897.8"/>
    <n v="1.0143300391214856"/>
    <n v="179398.22"/>
    <n v="0.54570106659921158"/>
    <n v="0.63536810779165531"/>
    <e v="#DIV/0!"/>
    <e v="#DIV/0!"/>
  </r>
  <r>
    <x v="4"/>
    <s v="XXXIII"/>
    <n v="20"/>
    <n v="251.98"/>
    <n v="3697"/>
    <s v="GUSTAVO ALUISIO DE PAULA"/>
    <s v="XXXIII20GUSTAVO ALUISIO DE PAULA"/>
    <d v="2014-04-15T00:00:00"/>
    <n v="99482.06"/>
    <s v="ATIVO"/>
    <n v="45907.14"/>
    <n v="0.46146149366026395"/>
    <n v="167884.41"/>
    <n v="0.27344492558898115"/>
    <n v="0.30426855012458909"/>
    <e v="#DIV/0!"/>
    <e v="#DIV/0!"/>
  </r>
  <r>
    <x v="4"/>
    <s v="XXXIII"/>
    <n v="21"/>
    <n v="251.98"/>
    <n v="3735"/>
    <s v="WILLIAN VASCONCELOS NUNES"/>
    <s v="XXXIII21WILLIAN VASCONCELOS NUNES"/>
    <d v="2014-05-15T00:00:00"/>
    <n v="99480.92"/>
    <s v="ATRASO"/>
    <n v="101608.25"/>
    <n v="1.0213843016329163"/>
    <n v="178018.76"/>
    <n v="0.5707727095728562"/>
    <n v="0.67345068562748145"/>
    <e v="#DIV/0!"/>
    <e v="#DIV/0!"/>
  </r>
  <r>
    <x v="4"/>
    <s v="XXXIII"/>
    <n v="24"/>
    <n v="251.98"/>
    <n v="2597"/>
    <s v="RENATO DE MORAIS SILVA"/>
    <s v="XXXIII24RENATO DE MORAIS SILVA"/>
    <d v="2013-06-18T00:00:00"/>
    <n v="90007.26"/>
    <s v="ATRASO"/>
    <n v="80131.790000000008"/>
    <n v="0.89028140618878981"/>
    <n v="170096.05000000002"/>
    <n v="0.47109730061338873"/>
    <n v="0.53110656778418452"/>
    <e v="#DIV/0!"/>
    <e v="#DIV/0!"/>
  </r>
  <r>
    <x v="4"/>
    <s v="XXXIII"/>
    <n v="25"/>
    <n v="251.98"/>
    <n v="3856"/>
    <s v="JOAO AMANDIO RODRIGUES DA COSTA JUNIOR"/>
    <s v="XXXIII25JOAO AMANDIO RODRIGUES DA COSTA JUNIOR"/>
    <d v="2014-08-07T00:00:00"/>
    <n v="100888.86"/>
    <s v="INADIMPLENTE"/>
    <n v="264515.41000000003"/>
    <n v="2.6218495282829051"/>
    <n v="279251.18"/>
    <n v="0.94723112718807501"/>
    <n v="1.7531852406033406"/>
    <e v="#DIV/0!"/>
    <e v="#DIV/0!"/>
  </r>
  <r>
    <x v="4"/>
    <s v="XXXIV"/>
    <n v="2"/>
    <n v="265.16000000000003"/>
    <n v="2426"/>
    <s v="MARCIO LOPES BAZZO"/>
    <s v="XXXIV2MARCIO LOPES BAZZO"/>
    <d v="2013-06-20T00:00:00"/>
    <n v="95961.4"/>
    <s v="ATIVO"/>
    <n v="97312.21"/>
    <n v="1.014076597465231"/>
    <n v="187750.89"/>
    <n v="0.51830491988613214"/>
    <n v="0.61291778686666187"/>
    <e v="#DIV/0!"/>
    <e v="#DIV/0!"/>
  </r>
  <r>
    <x v="4"/>
    <s v="XXXIV"/>
    <n v="9"/>
    <n v="253.5"/>
    <n v="3777"/>
    <s v="SILVIO AKIO NAKANO"/>
    <s v="XXXIV9SILVIO AKIO NAKANO"/>
    <d v="2014-06-01T00:00:00"/>
    <n v="102204.35"/>
    <s v="ATIVO"/>
    <n v="105599.7"/>
    <n v="1.0332211887263114"/>
    <n v="182724.06"/>
    <n v="0.5779189669931809"/>
    <n v="0.69570899766597805"/>
    <e v="#DIV/0!"/>
    <e v="#DIV/0!"/>
  </r>
  <r>
    <x v="4"/>
    <s v="XXXIV"/>
    <n v="11"/>
    <n v="253.5"/>
    <n v="4517"/>
    <s v="FERNANDO IMANISHI"/>
    <s v="XXXIV11FERNANDO IMANISHI"/>
    <d v="2020-07-08T00:00:00"/>
    <n v="147580"/>
    <s v="ATIVO"/>
    <n v="147232.65"/>
    <n v="0.9976463612955685"/>
    <n v="167265.92000000001"/>
    <n v="0.88023101179247976"/>
    <n v="0.96999403743766088"/>
    <e v="#DIV/0!"/>
    <e v="#DIV/0!"/>
  </r>
  <r>
    <x v="4"/>
    <s v="XXXIV"/>
    <n v="15"/>
    <n v="292.86"/>
    <n v="2504"/>
    <s v="ANDRE LUIZ IWAI DA SILVA"/>
    <s v="XXXIV15ANDRE LUIZ IWAI DA SILVA"/>
    <d v="2013-06-20T00:00:00"/>
    <n v="105986.03"/>
    <s v="ATIVO"/>
    <n v="107001.86"/>
    <n v="1.0095845650601309"/>
    <n v="204932.77000000002"/>
    <n v="0.52213152635374027"/>
    <n v="0.61020276107127713"/>
    <e v="#DIV/0!"/>
    <e v="#DIV/0!"/>
  </r>
  <r>
    <x v="5"/>
    <s v="IX"/>
    <n v="1"/>
    <n v="378.5"/>
    <n v="3803"/>
    <s v="JOAO PAULO PASCHOALETO FRATELLI"/>
    <s v="IX1JOAO PAULO PASCHOALETO FRATELLI"/>
    <d v="2020-03-02T00:00:00"/>
    <n v="187530"/>
    <s v="ATIVO"/>
    <n v="42110.04"/>
    <n v="0.22455095184770438"/>
    <n v="190328.16"/>
    <n v="0.22124965638295457"/>
    <n v="0.1858072559258219"/>
    <n v="0.18146182514282236"/>
    <n v="0.18146182514282236"/>
  </r>
  <r>
    <x v="5"/>
    <s v="IX"/>
    <n v="7"/>
    <n v="254"/>
    <n v="4866"/>
    <s v="MARCIO GEREMIAS"/>
    <s v="IX7MARCIO GEREMIAS"/>
    <d v="2020-11-18T00:00:00"/>
    <n v="149460"/>
    <s v="ATIVO"/>
    <n v="149518.16"/>
    <n v="1.0003891342165128"/>
    <n v="161137.64000000001"/>
    <n v="0.92789096327835008"/>
    <n v="0.9831122931603693"/>
    <n v="0.96012047618014407"/>
    <n v="0.96012047618014407"/>
  </r>
  <r>
    <x v="5"/>
    <s v="IX"/>
    <n v="9"/>
    <n v="254"/>
    <n v="3708"/>
    <s v="EDUARDO ALEXANDRE DA SILVA"/>
    <s v="IX9EDUARDO ALEXANDRE DA SILVA"/>
    <d v="2014-04-01T00:00:00"/>
    <n v="98669.94"/>
    <s v="ATIVO"/>
    <n v="3869.2000000000003"/>
    <n v="3.9213563928385889E-2"/>
    <n v="102177.11"/>
    <n v="3.7867581105004829E-2"/>
    <n v="2.5440776456158241E-2"/>
    <n v="2.4845798974761416E-2"/>
    <n v="2.4845798974761416E-2"/>
  </r>
  <r>
    <x v="5"/>
    <s v="IX"/>
    <n v="10"/>
    <n v="254"/>
    <n v="3644"/>
    <s v="SEBASTIAO MONTEIRO"/>
    <s v="IX10SEBASTIAO MONTEIRO"/>
    <d v="2014-04-01T00:00:00"/>
    <n v="98669.85"/>
    <s v="ATIVO"/>
    <n v="37204.450000000004"/>
    <n v="0.37705996309916356"/>
    <n v="149151.31"/>
    <n v="0.24944098714251994"/>
    <n v="0.24462682095118282"/>
    <n v="0.23890579077498253"/>
    <n v="0.23890579077498253"/>
  </r>
  <r>
    <x v="5"/>
    <s v="IX"/>
    <n v="11"/>
    <n v="254"/>
    <n v="3823"/>
    <s v="SILVIA HELENA FIORINI ALVES"/>
    <s v="IX11SILVIA HELENA FIORINI ALVES"/>
    <d v="2014-07-10T00:00:00"/>
    <n v="97873.35"/>
    <s v="ATIVO"/>
    <n v="100930.78"/>
    <n v="1.0312386364623261"/>
    <n v="177564.53"/>
    <n v="0.56841746490698342"/>
    <n v="0.66364039375728501"/>
    <n v="0.64811999127619924"/>
    <n v="0.64811999127619924"/>
  </r>
  <r>
    <x v="5"/>
    <s v="IX"/>
    <n v="13"/>
    <n v="254"/>
    <n v="4855"/>
    <s v="FABIANO TERUO OMURA"/>
    <s v="IX13FABIANO TERUO OMURA"/>
    <d v="2015-07-01T00:00:00"/>
    <n v="125499.4"/>
    <s v="ATIVO"/>
    <n v="53601.61"/>
    <n v="0.4271065040948403"/>
    <n v="154287.95000000001"/>
    <n v="0.34741280832365712"/>
    <n v="0.35244148084879978"/>
    <n v="0.34419901446902751"/>
    <n v="0.34419901446902751"/>
  </r>
  <r>
    <x v="5"/>
    <s v="IX"/>
    <n v="16"/>
    <n v="254"/>
    <n v="4934"/>
    <s v="ARLINDO MARCOS FIRMINO"/>
    <s v="IX16ARLINDO MARCOS FIRMINO"/>
    <d v="2015-08-14T00:00:00"/>
    <n v="128900.61"/>
    <s v="ATIVO"/>
    <n v="120150"/>
    <n v="0.9321135097809079"/>
    <n v="183708.25"/>
    <n v="0.65402615288099475"/>
    <n v="0.79001067176868933"/>
    <n v="0.77153487718845859"/>
    <n v="0.77153487718845859"/>
  </r>
  <r>
    <x v="5"/>
    <s v="IX"/>
    <n v="22"/>
    <n v="254"/>
    <n v="5052"/>
    <s v="NILVA APARECIDA DINIS RIBEIRO"/>
    <s v="IX22NILVA APARECIDA DINIS RIBEIRO"/>
    <d v="2015-12-22T00:00:00"/>
    <n v="123000.4"/>
    <s v="ATIVO"/>
    <n v="94699.05"/>
    <n v="0.7699084718423681"/>
    <n v="214762.18"/>
    <n v="0.44094844818580259"/>
    <n v="0.62266550234171203"/>
    <n v="0.60810337005088388"/>
    <n v="0.60810337005088388"/>
  </r>
  <r>
    <x v="5"/>
    <s v="IX"/>
    <n v="23"/>
    <n v="254"/>
    <n v="5009"/>
    <s v="SIRLEI RIBEIRO"/>
    <s v="IX23SIRLEI RIBEIRO"/>
    <d v="2021-02-04T00:00:00"/>
    <n v="156509.6"/>
    <s v="ATIVO"/>
    <n v="147286.87"/>
    <n v="0.9410724326175518"/>
    <n v="159390.33000000002"/>
    <n v="0.924064025715989"/>
    <n v="0.96844110787688398"/>
    <n v="0.94579240247126484"/>
    <n v="0.94579240247126484"/>
  </r>
  <r>
    <x v="5"/>
    <s v="IX"/>
    <n v="24"/>
    <n v="254"/>
    <n v="5011"/>
    <s v="RAFAEL APARECIDO DE SOUZA"/>
    <s v="IX24RAFAEL APARECIDO DE SOUZA"/>
    <d v="2021-02-04T00:00:00"/>
    <n v="156933"/>
    <s v="ATIVO"/>
    <n v="151952.15"/>
    <n v="0.96826129622195456"/>
    <n v="159893.29"/>
    <n v="0.95033475138325063"/>
    <n v="0.99911627214479093"/>
    <n v="0.97575017385578222"/>
    <n v="0.97575017385578222"/>
  </r>
  <r>
    <x v="5"/>
    <s v="IX"/>
    <n v="25"/>
    <n v="254"/>
    <n v="5180"/>
    <s v="SANDRA KAAFA SOUTELLO"/>
    <s v="IX25SANDRA KAAFA SOUTELLO"/>
    <d v="2016-04-01T00:00:00"/>
    <n v="129799.35"/>
    <s v="INADIMPLENTE"/>
    <n v="149578.11000000002"/>
    <n v="1.1523794995891736"/>
    <n v="225013.05000000002"/>
    <n v="0.6647530443234293"/>
    <n v="0.98350647659584611"/>
    <n v="0.96050544093992307"/>
    <n v="0.96050544093992307"/>
  </r>
  <r>
    <x v="5"/>
    <s v="IX"/>
    <n v="26"/>
    <n v="254"/>
    <n v="5181"/>
    <s v="SANDRA KAAFA SOUTELLO"/>
    <s v="IX26SANDRA KAAFA SOUTELLO"/>
    <d v="2016-04-01T00:00:00"/>
    <n v="129800.55"/>
    <s v="INADIMPLENTE"/>
    <n v="154040.79"/>
    <n v="1.186749902061278"/>
    <n v="227856.43"/>
    <n v="0.67604319965866233"/>
    <n v="1.0128495046831427"/>
    <n v="0.98916223050073371"/>
    <n v="0.98916223050073371"/>
  </r>
  <r>
    <x v="5"/>
    <s v="IX"/>
    <n v="27"/>
    <n v="254"/>
    <n v="5182"/>
    <s v="ROBERTO LOPES DE LIMA"/>
    <s v="IX27ROBERTO LOPES DE LIMA"/>
    <d v="2016-04-01T00:00:00"/>
    <n v="129800.55"/>
    <s v="INADIMPLENTE"/>
    <n v="157598.96"/>
    <n v="1.214162497770618"/>
    <n v="230750.28"/>
    <n v="0.68298491338775402"/>
    <n v="1.0362451956691368"/>
    <n v="1.0120107719403146"/>
    <n v="1.0120107719403146"/>
  </r>
  <r>
    <x v="5"/>
    <s v="IX"/>
    <n v="28"/>
    <n v="254"/>
    <n v="5195"/>
    <s v="DIOGO RIBEIRO GARCIA"/>
    <s v="IX28DIOGO RIBEIRO GARCIA"/>
    <d v="2016-04-07T00:00:00"/>
    <n v="129799.4"/>
    <s v="ATIVO"/>
    <n v="71406.759999999995"/>
    <n v="0.55013166470723285"/>
    <n v="188474.36000000002"/>
    <n v="0.3788672369016135"/>
    <n v="0.46951396118539795"/>
    <n v="0.45853354812339353"/>
    <n v="0.45853354812339353"/>
  </r>
  <r>
    <x v="5"/>
    <s v="IX"/>
    <n v="30"/>
    <n v="254"/>
    <n v="5151"/>
    <s v="MARIA GERALDA DE OLIVEIRA"/>
    <s v="IX30MARIA GERALDA DE OLIVEIRA"/>
    <d v="2016-03-10T00:00:00"/>
    <n v="116820"/>
    <s v="ATIVO"/>
    <n v="36839.54"/>
    <n v="0.31535302174285224"/>
    <n v="181454.55000000002"/>
    <n v="0.20302351194830881"/>
    <n v="0.24222746352933416"/>
    <n v="0.23656254656329012"/>
    <n v="0.23656254656329012"/>
  </r>
  <r>
    <x v="5"/>
    <s v="IX"/>
    <n v="31"/>
    <n v="254"/>
    <n v="4780"/>
    <s v="WANDERLEI ROSA"/>
    <s v="IX31WANDERLEI ROSA"/>
    <d v="2020-09-04T00:00:00"/>
    <n v="133950.1"/>
    <s v="ATIVO"/>
    <n v="87441.12"/>
    <n v="0.65278876238240946"/>
    <n v="137848.63"/>
    <n v="0.63432708761777312"/>
    <n v="0.57494313734004632"/>
    <n v="0.56149707682414707"/>
    <n v="0.56149707682414707"/>
  </r>
  <r>
    <x v="5"/>
    <s v="XIII"/>
    <n v="1"/>
    <n v="290.68"/>
    <n v="3629"/>
    <s v="CLAUDIO MORYAMA"/>
    <s v="XIII1CLAUDIO MORYAMA"/>
    <d v="2014-04-01T00:00:00"/>
    <n v="112461.68"/>
    <s v="ATIVO"/>
    <n v="112333.93000000001"/>
    <n v="0.99886405751719176"/>
    <n v="199572.87"/>
    <n v="0.56287174704658005"/>
    <n v="0.64541447432247057"/>
    <n v="0.63032031715115966"/>
    <n v="0.63032031715115966"/>
  </r>
  <r>
    <x v="5"/>
    <s v="XIII"/>
    <n v="3"/>
    <n v="250.75"/>
    <n v="3791"/>
    <s v="MARIA DAS GRACAS FONSECA MORAES"/>
    <s v="XIII3MARIA DAS GRACAS FONSECA MORAES"/>
    <d v="2014-06-24T00:00:00"/>
    <n v="99075.15"/>
    <s v="INADIMPLENTE"/>
    <n v="218744.03"/>
    <n v="2.2078596903461665"/>
    <n v="249523.99"/>
    <n v="0.87664528769358008"/>
    <n v="1.4569282578818796"/>
    <n v="1.422855417890371"/>
    <n v="1.422855417890371"/>
  </r>
  <r>
    <x v="5"/>
    <s v="XIII"/>
    <n v="7"/>
    <n v="250.75"/>
    <m/>
    <s v="HELTON LUIS DE OLIVEIRA"/>
    <s v="XIII7HELTON LUIS DE OLIVEIRA"/>
    <d v="2019-08-14T00:00:00"/>
    <n v="141000"/>
    <s v="ATIVO"/>
    <n v="139654.9"/>
    <n v="0.99046028368794325"/>
    <n v="177346.17"/>
    <n v="0.78747062877083829"/>
    <n v="0.9301610204478179"/>
    <n v="0.90840756248267873"/>
    <n v="0.90840756248267873"/>
  </r>
  <r>
    <x v="5"/>
    <s v="XIII"/>
    <n v="13"/>
    <n v="250.75"/>
    <n v="3908"/>
    <s v="RAFAELI FRARE DE SIQUEIRA"/>
    <s v="XIII13RAFAELI FRARE DE SIQUEIRA"/>
    <d v="2014-09-10T00:00:00"/>
    <n v="99562.240000000005"/>
    <s v="INADIMPLENTE"/>
    <n v="188959.35"/>
    <n v="1.8979017547214687"/>
    <n v="206898.25"/>
    <n v="0.91329602836176726"/>
    <n v="1.258549623530262"/>
    <n v="1.2291162182050996"/>
    <n v="1.2291162182050996"/>
  </r>
  <r>
    <x v="5"/>
    <s v="XIII"/>
    <n v="14"/>
    <n v="250.75"/>
    <n v="3907"/>
    <s v="RAFAELI FRARE DE SIQUEIRA"/>
    <s v="XIII14RAFAELI FRARE DE SIQUEIRA"/>
    <d v="2014-09-10T00:00:00"/>
    <n v="99562.240000000005"/>
    <s v="INADIMPLENTE"/>
    <n v="188968.05000000002"/>
    <n v="1.8979891372472135"/>
    <n v="206906.95"/>
    <n v="0.91329967408054691"/>
    <n v="1.2586075692298251"/>
    <n v="1.2291728087421565"/>
    <n v="1.2291728087421565"/>
  </r>
  <r>
    <x v="5"/>
    <s v="XIII"/>
    <n v="17"/>
    <n v="250.75"/>
    <n v="3683"/>
    <s v="JOSE CARLOS BRUNO DE OLIVEIRA"/>
    <s v="XIII17JOSE CARLOS BRUNO DE OLIVEIRA"/>
    <d v="2014-04-01T00:00:00"/>
    <n v="94000.12"/>
    <s v="INADIMPLENTE"/>
    <n v="200152.14"/>
    <n v="2.1292753668825104"/>
    <n v="226660.58000000002"/>
    <n v="0.88304785949105047"/>
    <n v="1.3330983645200742"/>
    <n v="1.3019215052468038"/>
    <n v="1.3019215052468038"/>
  </r>
  <r>
    <x v="5"/>
    <s v="XIII"/>
    <n v="20"/>
    <n v="250.75"/>
    <n v="3914"/>
    <s v="FABIO APARECIDO VAZ DANTAS"/>
    <s v="XIII20FABIO APARECIDO VAZ DANTAS"/>
    <d v="2014-09-16T00:00:00"/>
    <n v="99562.42"/>
    <s v="ATIVO"/>
    <n v="5027.8100000000004"/>
    <n v="5.0499073847341203E-2"/>
    <n v="30780.49"/>
    <n v="0.16334405332728621"/>
    <n v="3.3487352611456842E-2"/>
    <n v="3.2704191737819709E-2"/>
    <n v="3.2704191737819709E-2"/>
  </r>
  <r>
    <x v="5"/>
    <s v="XIII"/>
    <n v="21"/>
    <n v="250.75"/>
    <n v="4425"/>
    <s v="TEREZINHA RODRIGUES DA SILVA SOUZA"/>
    <s v="XIII21TEREZINHA RODRIGUES DA SILVA SOUZA"/>
    <d v="2015-02-19T00:00:00"/>
    <n v="116000.6"/>
    <s v="ATIVO"/>
    <n v="109010.43000000001"/>
    <n v="0.93974022548159231"/>
    <n v="185731.41"/>
    <n v="0.58692511945071657"/>
    <n v="0.7260558190815749"/>
    <n v="0.70907572166453658"/>
    <n v="0.70907572166453658"/>
  </r>
  <r>
    <x v="5"/>
    <s v="XIII"/>
    <n v="23"/>
    <n v="250.75"/>
    <n v="5227"/>
    <s v="JOSIANE JUNIA FACUNDO DE ALMEIDA"/>
    <s v="XIII23JOSIANE JUNIA FACUNDO DE ALMEIDA"/>
    <d v="2016-06-08T00:00:00"/>
    <n v="129800"/>
    <s v="ATIVO"/>
    <n v="118786.34"/>
    <n v="0.91514899845916797"/>
    <n v="222917.17"/>
    <n v="0.53287209773926336"/>
    <n v="0.79116753676141294"/>
    <n v="0.77266468685050593"/>
    <n v="0.77266468685050593"/>
  </r>
  <r>
    <x v="5"/>
    <s v="XIII"/>
    <n v="24"/>
    <n v="250.75"/>
    <n v="4115"/>
    <s v="MARCIA MESTRE MARTINELI"/>
    <s v="XIII24MARCIA MESTRE MARTINELI"/>
    <d v="2014-11-05T00:00:00"/>
    <n v="110503.34"/>
    <s v="ATIVO"/>
    <n v="7806.3"/>
    <n v="7.0643113592765622E-2"/>
    <n v="146586.74"/>
    <n v="5.3253793624170924E-2"/>
    <n v="5.1993277528549313E-2"/>
    <n v="5.0777322922493484E-2"/>
    <n v="5.0777322922493484E-2"/>
  </r>
  <r>
    <x v="5"/>
    <s v="XIII"/>
    <n v="25"/>
    <n v="250.75"/>
    <n v="4949"/>
    <s v="ELENICE CHICO CLAUDIO"/>
    <s v="XIII25ELENICE CHICO CLAUDIO"/>
    <d v="2020-12-03T00:00:00"/>
    <n v="145700.1"/>
    <s v="ATIVO"/>
    <n v="87856.11"/>
    <n v="0.60299279135704087"/>
    <n v="148123.63"/>
    <n v="0.5931269035197152"/>
    <n v="0.58515905227940979"/>
    <n v="0.57147407455313137"/>
    <n v="0.57147407455313137"/>
  </r>
  <r>
    <x v="5"/>
    <s v="XVI"/>
    <n v="1"/>
    <n v="368.4"/>
    <n v="3627"/>
    <s v="CLAUDIO MORYAMA"/>
    <s v="XVI1CLAUDIO MORYAMA"/>
    <d v="2014-04-01T00:00:00"/>
    <n v="142079.42000000001"/>
    <s v="ATIVO"/>
    <n v="141908.26999999999"/>
    <n v="0.99879539204199996"/>
    <n v="250574.94"/>
    <n v="0.56633065541190986"/>
    <n v="0.64332582188720544"/>
    <n v="0.62828051154128872"/>
    <n v="0.62828051154128872"/>
  </r>
  <r>
    <x v="5"/>
    <s v="XVI"/>
    <n v="3"/>
    <n v="257.75"/>
    <n v="4664"/>
    <s v="MATEUS REZENDE DE OLIVEIRA"/>
    <s v="XVI3MATEUS REZENDE DE OLIVEIRA"/>
    <d v="2020-08-03T00:00:00"/>
    <n v="135915"/>
    <s v="ATIVO"/>
    <n v="121091.08"/>
    <n v="0.89093242099841818"/>
    <n v="151411.30000000002"/>
    <n v="0.79974929215983215"/>
    <n v="0.78461458727263433"/>
    <n v="0.76626498965688705"/>
    <n v="0.76626498965688705"/>
  </r>
  <r>
    <x v="5"/>
    <s v="XVI"/>
    <n v="5"/>
    <n v="257.75"/>
    <n v="6073"/>
    <s v="CESAR ALVES DE MACEDO"/>
    <s v="XVI5CESAR ALVES DE MACEDO"/>
    <d v="2018-01-03T00:00:00"/>
    <n v="126203.3"/>
    <s v="ATIVO"/>
    <n v="100693.8"/>
    <n v="0.79786978628926497"/>
    <n v="179894.11000000002"/>
    <n v="0.5597392821810564"/>
    <n v="0.65244958033170719"/>
    <n v="0.63719089478360136"/>
    <n v="0.63719089478360136"/>
  </r>
  <r>
    <x v="5"/>
    <s v="XVI"/>
    <n v="9"/>
    <n v="257.75"/>
    <n v="6363"/>
    <s v="EDUARDO OLIVEIRA BONIFACIO"/>
    <s v="XVI9EDUARDO OLIVEIRA BONIFACIO"/>
    <d v="2018-05-10T00:00:00"/>
    <n v="126203.3"/>
    <s v="ATIVO"/>
    <n v="120688.89"/>
    <n v="0.95630534225333252"/>
    <n v="176717.45"/>
    <n v="0.68294834494273193"/>
    <n v="0.78200858077855417"/>
    <n v="0.7637199292264234"/>
    <n v="0.7637199292264234"/>
  </r>
  <r>
    <x v="5"/>
    <s v="XVI"/>
    <n v="10"/>
    <n v="257.75"/>
    <n v="5078"/>
    <s v="C. PIRES EMPREENDIMENTOS IMOBILIARIOS LTDA"/>
    <s v="XVI10C. PIRES EMPREENDIMENTOS IMOBILIARIOS LTDA"/>
    <d v="2016-01-20T00:00:00"/>
    <n v="122999.05"/>
    <s v="INADIMPLENTE"/>
    <n v="129240.37000000001"/>
    <n v="1.0507428309405642"/>
    <n v="219877.68"/>
    <n v="0.58778303463998716"/>
    <n v="0.83741824390791253"/>
    <n v="0.81783373953971061"/>
    <n v="0.81783373953971061"/>
  </r>
  <r>
    <x v="5"/>
    <s v="XVI"/>
    <n v="11"/>
    <n v="257.75"/>
    <m/>
    <s v="SANVIG MONITORAMENTO E CONSERVACAO LTDA"/>
    <s v="XVI11SANVIG MONITORAMENTO E CONSERVACAO LTDA"/>
    <d v="2019-02-18T00:00:00"/>
    <n v="124729.26"/>
    <s v="ATIVO"/>
    <n v="20885.100000000002"/>
    <n v="0.16744346915872027"/>
    <n v="129929.98"/>
    <n v="0.1607411930641412"/>
    <n v="0.13532585650939521"/>
    <n v="0.13216102239308669"/>
    <n v="0.13216102239308669"/>
  </r>
  <r>
    <x v="5"/>
    <s v="XVI"/>
    <n v="12"/>
    <n v="257.75"/>
    <n v="3964"/>
    <s v="ALESSANDRA BERBET"/>
    <s v="XVI12ALESSANDRA BERBET"/>
    <d v="2014-10-03T00:00:00"/>
    <n v="89873.5"/>
    <s v="INADIMPLENTE"/>
    <n v="166099.53"/>
    <n v="1.8481480080335138"/>
    <n v="179841.76"/>
    <n v="0.92358710235042174"/>
    <n v="1.0762486731238052"/>
    <n v="1.0510786974355486"/>
    <n v="1.0510786974355486"/>
  </r>
  <r>
    <x v="5"/>
    <s v="XVI"/>
    <n v="13"/>
    <n v="257.75"/>
    <n v="4125"/>
    <s v="ADILSON APARECIDO DOS SANTOS"/>
    <s v="XVI13ADILSON APARECIDO DOS SANTOS"/>
    <d v="2014-11-10T00:00:00"/>
    <n v="99750.92"/>
    <s v="ATIVO"/>
    <n v="94846.39"/>
    <n v="0.95083223292577157"/>
    <n v="166364.69"/>
    <n v="0.5701113018633942"/>
    <n v="0.61456104895710983"/>
    <n v="0.6001884536197305"/>
    <n v="0.6001884536197305"/>
  </r>
  <r>
    <x v="5"/>
    <s v="XVI"/>
    <n v="15"/>
    <n v="257.75"/>
    <n v="4975"/>
    <s v="MIKAELE DA COSTA MOURA"/>
    <s v="XVI15MIKAELE DA COSTA MOURA"/>
    <d v="2021-01-15T00:00:00"/>
    <n v="159249.19"/>
    <s v="ATIVO"/>
    <n v="155062.26"/>
    <n v="0.97370831211135211"/>
    <n v="165853.32"/>
    <n v="0.93493612307549834"/>
    <n v="1.0047322323945076"/>
    <n v="0.98123479495825405"/>
    <n v="0.98123479495825405"/>
  </r>
  <r>
    <x v="5"/>
    <s v="XVI"/>
    <n v="19"/>
    <n v="273.33999999999997"/>
    <n v="4750"/>
    <s v="IZAURA MARIA CARELLI"/>
    <s v="XVI19IZAURA MARIA CARELLI"/>
    <d v="2015-05-01T00:00:00"/>
    <n v="115999.4"/>
    <s v="INADIMPLENTE"/>
    <n v="114314.53"/>
    <n v="0.98547518349232843"/>
    <n v="196091.65"/>
    <n v="0.58296480242784432"/>
    <n v="0.6984593644577648"/>
    <n v="0.68212465886262508"/>
    <n v="0.68212465886262508"/>
  </r>
  <r>
    <x v="5"/>
    <s v="XVI"/>
    <n v="20"/>
    <n v="273.33999999999997"/>
    <n v="5345"/>
    <s v="DEMILTON SALES DOS SANTOS"/>
    <s v="XVI20DEMILTON SALES DOS SANTOS"/>
    <d v="2016-11-24T00:00:00"/>
    <n v="129142.05"/>
    <s v="ATIVO"/>
    <n v="120441.29000000001"/>
    <n v="0.93262643732231298"/>
    <n v="210381.12"/>
    <n v="0.57249096306740843"/>
    <n v="0.73589373868635377"/>
    <n v="0.71868356414730927"/>
    <n v="0.71868356414730927"/>
  </r>
  <r>
    <x v="5"/>
    <s v="XVI"/>
    <n v="21"/>
    <n v="273.33999999999997"/>
    <m/>
    <s v="MARIA APARECIDA BATISTA FERREIRA"/>
    <s v="XVI21MARIA APARECIDA BATISTA FERREIRA"/>
    <d v="2019-06-10T00:00:00"/>
    <n v="93060"/>
    <s v="ATIVO"/>
    <n v="84545.3"/>
    <n v="0.90850311626907376"/>
    <n v="115031.63"/>
    <n v="0.7349743718314693"/>
    <n v="0.51656999775873691"/>
    <n v="0.50448909618871984"/>
    <n v="0.50448909618871984"/>
  </r>
  <r>
    <x v="5"/>
    <s v="XVI"/>
    <n v="22"/>
    <n v="273.33999999999997"/>
    <m/>
    <s v="RAFAEL DA COSTA BARROS"/>
    <s v="XVI22RAFAEL DA COSTA BARROS"/>
    <d v="2019-07-02T00:00:00"/>
    <n v="93060"/>
    <s v="ATIVO"/>
    <n v="87060.28"/>
    <n v="0.93552847625188051"/>
    <n v="116579.5"/>
    <n v="0.74678892944299813"/>
    <n v="0.53193647245293363"/>
    <n v="0.51949619873768127"/>
    <n v="0.51949619873768127"/>
  </r>
  <r>
    <x v="5"/>
    <s v="XVI"/>
    <n v="23"/>
    <n v="273.33999999999997"/>
    <m/>
    <s v="RITA DE CASSIA APARECIDA JARDIM"/>
    <s v="XVI23RITA DE CASSIA APARECIDA JARDIM"/>
    <d v="2019-07-16T00:00:00"/>
    <n v="93060.42"/>
    <s v="ATIVO"/>
    <n v="94380.84"/>
    <n v="1.0141888463430533"/>
    <n v="118270.15000000001"/>
    <n v="0.79801065611229871"/>
    <n v="0.57666493947348585"/>
    <n v="0.56317861157429416"/>
    <n v="0.56317861157429416"/>
  </r>
  <r>
    <x v="5"/>
    <s v="XVI"/>
    <n v="24"/>
    <n v="273.33999999999997"/>
    <n v="3734"/>
    <s v="GABRIEL FERNANDO CONSTANTINO"/>
    <s v="XVI24GABRIEL FERNANDO CONSTANTINO"/>
    <d v="2020-01-20T00:00:00"/>
    <n v="93060"/>
    <s v="ATIVO"/>
    <n v="78568.5"/>
    <n v="0.84427788523533209"/>
    <n v="109696.16"/>
    <n v="0.71623746902352825"/>
    <n v="0.48005187596362325"/>
    <n v="0.46882501515641239"/>
    <n v="0.46882501515641239"/>
  </r>
  <r>
    <x v="5"/>
    <s v="XVI"/>
    <n v="27"/>
    <n v="273.33999999999997"/>
    <m/>
    <s v="CLAUDIONOR HENRIQUE DA SILVA"/>
    <s v="XVI27CLAUDIONOR HENRIQUE DA SILVA"/>
    <d v="2019-08-19T00:00:00"/>
    <n v="93060"/>
    <s v="ATIVO"/>
    <n v="82488.150000000009"/>
    <n v="0.88639748549323027"/>
    <n v="116127.28"/>
    <n v="0.71032534302017591"/>
    <n v="0.50400085469709555"/>
    <n v="0.49221390473248722"/>
    <n v="0.49221390473248722"/>
  </r>
  <r>
    <x v="6"/>
    <s v="XL"/>
    <n v="5"/>
    <n v="272.07"/>
    <n v="6218"/>
    <s v="GLAUBER LOPES ARAUJO"/>
    <s v="XL5GLAUBER LOPES ARAUJO"/>
    <d v="2018-02-19T00:00:00"/>
    <n v="135360"/>
    <s v="ATIVO"/>
    <n v="31526.15"/>
    <n v="0.23290595449172577"/>
    <n v="166301.64000000001"/>
    <n v="0.18957209321567725"/>
    <n v="0.19352326403552136"/>
    <n v="0.19172886121693558"/>
    <n v="0.19172886121693558"/>
  </r>
  <r>
    <x v="6"/>
    <s v="XL"/>
    <n v="7"/>
    <n v="287.39999999999998"/>
    <n v="5179"/>
    <s v="SANDRA KAAFA SOUTELLO"/>
    <s v="XL7SANDRA KAAFA SOUTELLO"/>
    <d v="2016-04-01T00:00:00"/>
    <n v="160900.5"/>
    <s v="INADIMPLENTE"/>
    <n v="189708.36000000002"/>
    <n v="1.179041457298144"/>
    <n v="280723.21000000002"/>
    <n v="0.67578437849866424"/>
    <n v="1.1024086322921283"/>
    <n v="1.0921867854931036"/>
    <n v="1.0921867854931036"/>
  </r>
  <r>
    <x v="6"/>
    <s v="XL"/>
    <n v="8"/>
    <n v="287.39999999999998"/>
    <n v="4870"/>
    <s v="M &amp; R MADEIRAS LTDA - ME"/>
    <s v="XL8M &amp; R MADEIRAS LTDA - ME"/>
    <d v="2020-11-20T00:00:00"/>
    <n v="168260.04"/>
    <s v="ATIVO"/>
    <n v="142984"/>
    <n v="0.84977990020684646"/>
    <n v="173357.59"/>
    <n v="0.82479226897420532"/>
    <n v="0.83089008770966999"/>
    <n v="0.82318583818312441"/>
    <n v="0.82318583818312441"/>
  </r>
  <r>
    <x v="6"/>
    <s v="XL"/>
    <n v="9"/>
    <n v="287.39999999999998"/>
    <n v="4103"/>
    <s v="ANDRE BOBROFF CANAVEZI"/>
    <s v="XL9ANDRE BOBROFF CANAVEZI"/>
    <d v="2014-11-01T00:00:00"/>
    <n v="143077.37"/>
    <s v="INADIMPLENTE"/>
    <n v="284248.13"/>
    <n v="1.9866742728077824"/>
    <n v="316934.56"/>
    <n v="0.89686694313173043"/>
    <n v="1.6517858897989264"/>
    <n v="1.6364700606084297"/>
    <n v="1.6364700606084297"/>
  </r>
  <r>
    <x v="6"/>
    <s v="XL"/>
    <n v="10"/>
    <n v="287.39999999999998"/>
    <n v="3927"/>
    <s v="ANDRE BOBROFF CANAVEZI"/>
    <s v="XL10ANDRE BOBROFF CANAVEZI"/>
    <d v="2014-10-01T00:00:00"/>
    <n v="128912.47"/>
    <s v="INADIMPLENTE"/>
    <n v="282202.22000000003"/>
    <n v="2.1890994719129968"/>
    <n v="303388.75"/>
    <n v="0.93016705464523664"/>
    <n v="1.6398969627906872"/>
    <n v="1.6246913711173172"/>
    <n v="1.6246913711173172"/>
  </r>
  <r>
    <x v="6"/>
    <s v="XL"/>
    <n v="11"/>
    <n v="287.39999999999998"/>
    <n v="4102"/>
    <s v="ANDRE BOBROFF CANAVEZI"/>
    <s v="XL11ANDRE BOBROFF CANAVEZI"/>
    <d v="2014-11-01T00:00:00"/>
    <n v="143077.37"/>
    <s v="INADIMPLENTE"/>
    <n v="284247.93"/>
    <n v="1.9866728749626863"/>
    <n v="316934.36"/>
    <n v="0.89686687805007959"/>
    <n v="1.6517847275848496"/>
    <n v="1.6364689091707327"/>
    <n v="1.6364689091707327"/>
  </r>
  <r>
    <x v="6"/>
    <s v="XL"/>
    <n v="12"/>
    <n v="287.39999999999998"/>
    <n v="3800"/>
    <s v="DIEGO RODRIGUES VIEIRA"/>
    <s v="XL12DIEGO RODRIGUES VIEIRA"/>
    <d v="2020-03-02T00:00:00"/>
    <n v="162093.6"/>
    <s v="ATIVO"/>
    <n v="155380.16"/>
    <n v="0.95858294220129603"/>
    <n v="189219.14"/>
    <n v="0.82116513160349425"/>
    <n v="0.90292504595439049"/>
    <n v="0.89455286777980736"/>
    <n v="0.89455286777980736"/>
  </r>
  <r>
    <x v="6"/>
    <s v="XL"/>
    <n v="13"/>
    <n v="283.56"/>
    <n v="4116"/>
    <s v="FABIO ANTUNES PEREIRA"/>
    <s v="XL13FABIO ANTUNES PEREIRA"/>
    <d v="2014-11-10T00:00:00"/>
    <n v="141221.4"/>
    <s v="ATIVO"/>
    <n v="110735.8"/>
    <n v="0.78412903426817759"/>
    <n v="219209.96"/>
    <n v="0.50515861596799716"/>
    <n v="0.65220778629202614"/>
    <n v="0.64616032995204209"/>
    <n v="0.64616032995204209"/>
  </r>
  <r>
    <x v="6"/>
    <s v="XL"/>
    <n v="15"/>
    <n v="287.39999999999998"/>
    <n v="5752"/>
    <s v="ADRIANO SEPE"/>
    <s v="XL15ADRIANO SEPE"/>
    <d v="2017-07-05T00:00:00"/>
    <n v="167628.32"/>
    <s v="ATIVO"/>
    <n v="91105.64"/>
    <n v="0.54349790059340808"/>
    <n v="219426.46"/>
    <n v="0.41519896916716426"/>
    <n v="0.52942128637082209"/>
    <n v="0.52451234142708258"/>
    <n v="0.52451234142708258"/>
  </r>
  <r>
    <x v="6"/>
    <s v="XL"/>
    <n v="18"/>
    <n v="256.19"/>
    <n v="4566"/>
    <s v="LEANDRO LINO DA SILVA"/>
    <s v="XL18LEANDRO LINO DA SILVA"/>
    <d v="2020-07-22T00:00:00"/>
    <n v="135970.6"/>
    <s v="ATIVO"/>
    <n v="123701.57"/>
    <n v="0.90976703787436408"/>
    <n v="151765.86000000002"/>
    <n v="0.81508166592934661"/>
    <n v="0.80641006077108168"/>
    <n v="0.79893279702609865"/>
    <n v="0.79893279702609865"/>
  </r>
  <r>
    <x v="6"/>
    <s v="XL"/>
    <n v="20"/>
    <n v="256.19"/>
    <n v="6080"/>
    <s v="FLAVIO DA SILVA SENA"/>
    <s v="XL20FLAVIO DA SILVA SENA"/>
    <d v="2018-01-02T00:00:00"/>
    <n v="121260"/>
    <s v="ATRASO"/>
    <n v="127795.77"/>
    <n v="1.0538988124690747"/>
    <n v="175481.55000000002"/>
    <n v="0.72825758605391844"/>
    <n v="0.83310013488096535"/>
    <n v="0.82537539316763719"/>
    <n v="0.82537539316763719"/>
  </r>
  <r>
    <x v="6"/>
    <s v="XL"/>
    <n v="22"/>
    <n v="256.19"/>
    <n v="4978"/>
    <s v="IZALTINO CELESTE"/>
    <s v="XL22IZALTINO CELESTE"/>
    <d v="2021-01-15T00:00:00"/>
    <n v="165440"/>
    <s v="ATIVO"/>
    <n v="99812.160000000003"/>
    <n v="0.60331334622823984"/>
    <n v="167323.73000000001"/>
    <n v="0.59652124656795535"/>
    <n v="0.65067508853196387"/>
    <n v="0.64464184380211575"/>
    <n v="0.64464184380211575"/>
  </r>
  <r>
    <x v="6"/>
    <s v="XL"/>
    <n v="25"/>
    <n v="256.19"/>
    <n v="5091"/>
    <s v="MARILENA DE PAULO"/>
    <s v="XL25MARILENA DE PAULO"/>
    <d v="2016-02-01T00:00:00"/>
    <n v="131500"/>
    <s v="ATIVO"/>
    <n v="124529.8"/>
    <n v="0.94699467680608362"/>
    <n v="237226.47"/>
    <n v="0.5249405768251747"/>
    <n v="0.81180928896707327"/>
    <n v="0.80428196204058411"/>
    <n v="0.80428196204058411"/>
  </r>
  <r>
    <x v="6"/>
    <s v="XL"/>
    <n v="26"/>
    <n v="256.19"/>
    <n v="6055"/>
    <s v="EDUARDO DA SILVA"/>
    <s v="XL26EDUARDO DA SILVA"/>
    <d v="2017-12-12T00:00:00"/>
    <n v="121259.76"/>
    <s v="INADIMPLENTE"/>
    <n v="113581.63"/>
    <n v="0.93668031340322633"/>
    <n v="174968.17"/>
    <n v="0.64915595790937286"/>
    <n v="0.74043821069351434"/>
    <n v="0.73357265673090033"/>
    <n v="0.73357265673090033"/>
  </r>
  <r>
    <x v="6"/>
    <s v="XL"/>
    <n v="27"/>
    <n v="256.19"/>
    <n v="5295"/>
    <s v="CHRISTIAN RIBEIRO FRANCO"/>
    <s v="XL27CHRISTIAN RIBEIRO FRANCO"/>
    <d v="2016-10-04T00:00:00"/>
    <n v="137422.92000000001"/>
    <s v="ATIVO"/>
    <n v="120967.68000000001"/>
    <n v="0.88025840231018226"/>
    <n v="219298.09"/>
    <n v="0.55161301222459347"/>
    <n v="0.78858784233811063"/>
    <n v="0.78127583127811606"/>
    <n v="0.78127583127811606"/>
  </r>
  <r>
    <x v="6"/>
    <s v="XL"/>
    <n v="28"/>
    <n v="256.19"/>
    <n v="6127"/>
    <s v="VANIA BALDUINO FARIAS"/>
    <s v="XL28VANIA BALDUINO FARIAS"/>
    <d v="2018-01-10T00:00:00"/>
    <n v="121260"/>
    <s v="INADIMPLENTE"/>
    <n v="69239.98"/>
    <n v="0.57100428830611905"/>
    <n v="164948.81"/>
    <n v="0.41976647179206689"/>
    <n v="0.45137516427308461"/>
    <n v="0.4471898852005769"/>
    <n v="0.4471898852005769"/>
  </r>
  <r>
    <x v="6"/>
    <s v="XL"/>
    <n v="29"/>
    <n v="256.19"/>
    <n v="6483"/>
    <s v="MIKAELA APARECIDA LIMA TEODORO"/>
    <s v="XL29MIKAELA APARECIDA LIMA TEODORO"/>
    <d v="2018-06-13T00:00:00"/>
    <n v="131600"/>
    <s v="INADIMPLENTE"/>
    <n v="140337.18"/>
    <n v="1.0663919452887538"/>
    <n v="187985.45"/>
    <n v="0.74653213852455058"/>
    <n v="0.91485753860878416"/>
    <n v="0.90637471896399591"/>
    <n v="0.90637471896399591"/>
  </r>
  <r>
    <x v="6"/>
    <s v="XL"/>
    <n v="30"/>
    <n v="256.19"/>
    <n v="4844"/>
    <s v="SORAYA FERNANDES DA SILVA ARAUJO"/>
    <s v="XL30SORAYA FERNANDES DA SILVA ARAUJO"/>
    <d v="2020-10-23T00:00:00"/>
    <n v="165360.18"/>
    <s v="ATIVO"/>
    <n v="155532.07"/>
    <n v="0.94056543721711006"/>
    <n v="180496.18"/>
    <n v="0.86169175436289014"/>
    <n v="1.0139129682877277"/>
    <n v="1.00451167848847"/>
    <n v="1.00451167848847"/>
  </r>
  <r>
    <x v="6"/>
    <s v="XL"/>
    <n v="31"/>
    <n v="277.37"/>
    <n v="6014"/>
    <s v="KAREN JEREMIAS FERMINO"/>
    <s v="XL31KAREN JEREMIAS FERMINO"/>
    <d v="2017-11-22T00:00:00"/>
    <n v="132539.85"/>
    <s v="ATRASO"/>
    <n v="163230.29"/>
    <n v="1.2315563206084812"/>
    <n v="207933.03"/>
    <n v="0.78501376140192836"/>
    <n v="0.98284303674492535"/>
    <n v="0.97372983619949205"/>
    <n v="0.97372983619949205"/>
  </r>
  <r>
    <x v="6"/>
    <s v="XLI"/>
    <n v="1"/>
    <n v="370.23"/>
    <n v="6816"/>
    <s v="LEONARDO MEDEIROS GUILET PIRES"/>
    <s v="XLI1LEONARDO MEDEIROS GUILET PIRES"/>
    <d v="2018-12-05T00:00:00"/>
    <n v="155100"/>
    <s v="ATIVO"/>
    <n v="30491.79"/>
    <n v="0.19659439071566731"/>
    <n v="164689.47"/>
    <n v="0.18514717425467458"/>
    <n v="0.13754797862407311"/>
    <n v="0.13627259459330093"/>
    <n v="0.13627259459330093"/>
  </r>
  <r>
    <x v="6"/>
    <s v="XLI"/>
    <n v="3"/>
    <n v="262.42"/>
    <n v="6594"/>
    <s v="RICARDO CANDIDO RODRIGUES"/>
    <s v="XLI3RICARDO CANDIDO RODRIGUES"/>
    <d v="2018-08-16T00:00:00"/>
    <n v="124456"/>
    <s v="ATIVO"/>
    <n v="118082.84"/>
    <n v="0.94879186218422573"/>
    <n v="172341.16"/>
    <n v="0.68516911456323026"/>
    <n v="0.75150652902781667"/>
    <n v="0.74453834646540584"/>
    <n v="0.74453834646540584"/>
  </r>
  <r>
    <x v="6"/>
    <s v="XLI"/>
    <n v="4"/>
    <n v="262.42"/>
    <n v="6577"/>
    <s v="POLEANE RODRIGUES"/>
    <s v="XLI4POLEANE RODRIGUES"/>
    <d v="2018-08-01T00:00:00"/>
    <n v="126900"/>
    <s v="ATRASO"/>
    <n v="45395.85"/>
    <n v="0.35772931442080375"/>
    <n v="135625.29999999999"/>
    <n v="0.33471520431659879"/>
    <n v="0.28890969818957107"/>
    <n v="0.28623084518793407"/>
    <n v="0.28623084518793407"/>
  </r>
  <r>
    <x v="6"/>
    <s v="XLI"/>
    <n v="5"/>
    <n v="262.42"/>
    <n v="6810"/>
    <s v="THAIS AMARILHA DE CASTRO"/>
    <s v="XLI5THAIS AMARILHA DE CASTRO"/>
    <d v="2018-12-18T00:00:00"/>
    <n v="117500"/>
    <s v="ATIVO"/>
    <n v="117212.25"/>
    <n v="0.9975510638297872"/>
    <n v="157230.94"/>
    <n v="0.7454782754590159"/>
    <n v="0.74596589273293823"/>
    <n v="0.73904908452819873"/>
    <n v="0.73904908452819873"/>
  </r>
  <r>
    <x v="6"/>
    <s v="XLI"/>
    <n v="7"/>
    <n v="262.42"/>
    <n v="2954"/>
    <s v="WESLEY DE LIMA PICCIOLI"/>
    <s v="XLI7WESLEY DE LIMA PICCIOLI"/>
    <d v="2019-09-02T00:00:00"/>
    <n v="117499.65"/>
    <s v="ATIVO"/>
    <n v="69226.09"/>
    <n v="0.58915996771054213"/>
    <n v="134632.71"/>
    <n v="0.51418477723578471"/>
    <n v="0.44057086206655638"/>
    <n v="0.43648576356111829"/>
    <n v="0.43648576356111829"/>
  </r>
  <r>
    <x v="6"/>
    <s v="XLI"/>
    <n v="9"/>
    <n v="262.42"/>
    <n v="7066"/>
    <s v="KRATOS ENGENHARIA LTDA"/>
    <s v="XLI9KRATOS ENGENHARIA LTDA"/>
    <d v="2019-04-01T00:00:00"/>
    <n v="121025"/>
    <s v="ATIVO"/>
    <n v="25423.65"/>
    <n v="0.21006940714728364"/>
    <n v="126161.09"/>
    <n v="0.20151736165247147"/>
    <n v="0.16180199397912562"/>
    <n v="0.16030171981056024"/>
    <n v="0.16030171981056024"/>
  </r>
  <r>
    <x v="6"/>
    <s v="XLI"/>
    <n v="11"/>
    <n v="262.42"/>
    <n v="4776"/>
    <s v="SERGIO AUGUSTO POLO"/>
    <s v="XLI11SERGIO AUGUSTO POLO"/>
    <d v="2020-09-10T00:00:00"/>
    <n v="122199.9"/>
    <s v="ATIVO"/>
    <n v="96188.74"/>
    <n v="0.78714254266983863"/>
    <n v="126531.05"/>
    <n v="0.76019870221578023"/>
    <n v="0.61216740831232641"/>
    <n v="0.6064912177602676"/>
    <n v="0.6064912177602676"/>
  </r>
  <r>
    <x v="6"/>
    <s v="XLI"/>
    <n v="12"/>
    <n v="277.48"/>
    <n v="2955"/>
    <s v="CINTHYA DE CARVALHO SOVENHI DIAS"/>
    <s v="XLI12CINTHYA DE CARVALHO SOVENHI DIAS"/>
    <d v="2019-09-02T00:00:00"/>
    <n v="122800"/>
    <s v="INADIMPLENTE"/>
    <n v="147726.12"/>
    <n v="1.2029814332247557"/>
    <n v="155813.66"/>
    <n v="0.94809479476959846"/>
    <n v="0.88913663522026465"/>
    <n v="0.88089230711687827"/>
    <n v="0.88089230711687827"/>
  </r>
  <r>
    <x v="6"/>
    <s v="XLI"/>
    <n v="13"/>
    <n v="277.48"/>
    <n v="2056"/>
    <s v="CINTHYA DE CARVALHO SOVENHI DIAS"/>
    <s v="XLI13CINTHYA DE CARVALHO SOVENHI DIAS"/>
    <d v="2019-09-02T00:00:00"/>
    <n v="122800"/>
    <s v="INADIMPLENTE"/>
    <n v="147726.12"/>
    <n v="1.2029814332247557"/>
    <n v="155846.9"/>
    <n v="0.94789257919150138"/>
    <n v="0.88913663522026465"/>
    <n v="0.88089230711687827"/>
    <n v="0.88089230711687827"/>
  </r>
  <r>
    <x v="6"/>
    <s v="XLI"/>
    <n v="15"/>
    <n v="255.46"/>
    <n v="4869"/>
    <s v="ROBERTA REIS DA SILVA TERRA"/>
    <s v="XLI15ROBERTA REIS DA SILVA TERRA"/>
    <d v="2015-07-07T00:00:00"/>
    <n v="118400.8"/>
    <s v="ATIVO"/>
    <n v="12661.970000000001"/>
    <n v="0.1069415916108675"/>
    <n v="163766.87"/>
    <n v="7.7317042207621117E-2"/>
    <n v="8.2779208930269854E-2"/>
    <n v="8.2011656529967683E-2"/>
    <n v="8.2011656529967683E-2"/>
  </r>
  <r>
    <x v="6"/>
    <s v="XLI"/>
    <n v="16"/>
    <n v="255.46"/>
    <n v="4785"/>
    <s v="CALEBE GUEDES SILVA"/>
    <s v="XLI16CALEBE GUEDES SILVA"/>
    <d v="2020-09-24T00:00:00"/>
    <n v="122200.09"/>
    <s v="ATIVO"/>
    <n v="66913.919999999998"/>
    <n v="0.54757668345416111"/>
    <n v="125184.32000000001"/>
    <n v="0.53452317350927014"/>
    <n v="0.4374581020191457"/>
    <n v="0.43340186591136559"/>
    <n v="0.43340186591136559"/>
  </r>
  <r>
    <x v="6"/>
    <s v="XLI"/>
    <n v="17"/>
    <n v="255.46"/>
    <n v="4863"/>
    <s v="LUCIMARA LOPES DA SILVA"/>
    <s v="XLI17LUCIMARA LOPES DA SILVA"/>
    <d v="2020-11-03T00:00:00"/>
    <n v="129531.6"/>
    <s v="ATIVO"/>
    <n v="128753.04000000001"/>
    <n v="0.99398942034221771"/>
    <n v="139972.34"/>
    <n v="0.9198463067774677"/>
    <n v="0.84173906576681135"/>
    <n v="0.83393422142598583"/>
    <n v="0.83393422142598583"/>
  </r>
  <r>
    <x v="6"/>
    <s v="XLI - A"/>
    <n v="2"/>
    <n v="255.45"/>
    <n v="4742"/>
    <s v="MATEUS HOFSTATTER"/>
    <s v="XLI - A2MATEUS HOFSTATTER"/>
    <d v="2020-08-19T00:00:00"/>
    <n v="122200"/>
    <s v="ATIVO"/>
    <n v="73660.320000000007"/>
    <n v="0.60278494271685767"/>
    <n v="125771.89"/>
    <n v="0.58566600215676179"/>
    <n v="0.48158238546234716"/>
    <n v="0.47711701643210847"/>
    <n v="0.47711701643210847"/>
  </r>
  <r>
    <x v="6"/>
    <s v="XLI - A"/>
    <n v="3"/>
    <n v="255.45"/>
    <n v="5199"/>
    <s v="HELTON ERNANI DE AGUIAR"/>
    <s v="XLI - A3HELTON ERNANI DE AGUIAR"/>
    <d v="2016-04-01T00:00:00"/>
    <n v="116730"/>
    <s v="ATIVO"/>
    <n v="80712.56"/>
    <n v="0.69144658613895316"/>
    <n v="198252.66"/>
    <n v="0.40711968253036301"/>
    <n v="0.52768908934379888"/>
    <n v="0.52279620582421493"/>
    <n v="0.52279620582421493"/>
  </r>
  <r>
    <x v="6"/>
    <s v="XLI - A"/>
    <n v="4"/>
    <n v="277.48"/>
    <n v="6385"/>
    <s v="RODRIGO LAFORE DOMENE"/>
    <s v="XLI - A4RODRIGO LAFORE DOMENE"/>
    <d v="2018-05-14T00:00:00"/>
    <n v="123140"/>
    <s v="ATIVO"/>
    <n v="124101.22"/>
    <n v="1.0078059119701153"/>
    <n v="179731.26"/>
    <n v="0.69048211201546128"/>
    <n v="0.74694266103739693"/>
    <n v="0.74001679595875991"/>
    <n v="0.74001679595875991"/>
  </r>
  <r>
    <x v="6"/>
    <s v="XLI - A"/>
    <n v="5"/>
    <n v="277.48"/>
    <n v="6252"/>
    <s v="BRUNO RODRIGUES CROCE"/>
    <s v="XLI - A5BRUNO RODRIGUES CROCE"/>
    <d v="2018-03-16T00:00:00"/>
    <n v="124140"/>
    <s v="ATIVO"/>
    <n v="130367.01000000001"/>
    <n v="1.0501611889801838"/>
    <n v="175902.54"/>
    <n v="0.74113204959973855"/>
    <n v="0.78465531088968299"/>
    <n v="0.77737976338124326"/>
    <n v="0.77737976338124326"/>
  </r>
  <r>
    <x v="6"/>
    <s v="XLI - A"/>
    <n v="6"/>
    <n v="277.48"/>
    <n v="6282"/>
    <s v="CRISTIANE CAROLINA CRUZES"/>
    <s v="XLI - A6CRISTIANE CAROLINA CRUZES"/>
    <d v="2018-03-28T00:00:00"/>
    <n v="123140"/>
    <s v="ATIVO"/>
    <n v="125483.95"/>
    <n v="1.0190348383953223"/>
    <n v="181657.26"/>
    <n v="0.69077310755430299"/>
    <n v="0.75526506129821813"/>
    <n v="0.74826202855418522"/>
    <n v="0.74826202855418522"/>
  </r>
  <r>
    <x v="6"/>
    <s v="XLI - A"/>
    <n v="7"/>
    <n v="277.48"/>
    <n v="3699"/>
    <s v="LUIZ GUILHERME DE GOES"/>
    <s v="XLI - A7LUIZ GUILHERME DE GOES"/>
    <d v="2020-01-15T00:00:00"/>
    <n v="122200.2"/>
    <s v="ATIVO"/>
    <n v="121811.39"/>
    <n v="0.99681825397994439"/>
    <n v="147037.63"/>
    <n v="0.82843684300406639"/>
    <n v="0.73316059093749564"/>
    <n v="0.72636251713788891"/>
    <n v="0.72636251713788891"/>
  </r>
  <r>
    <x v="6"/>
    <s v="XLI - A"/>
    <n v="9"/>
    <n v="376.97"/>
    <n v="5110"/>
    <s v="WESLEY ROQUE SIQUEIRA"/>
    <s v="XLI - A9WESLEY ROQUE SIQUEIRA"/>
    <d v="2021-03-15T00:00:00"/>
    <n v="220249.24"/>
    <s v="ATIVO"/>
    <n v="211387.68"/>
    <n v="0.95976576355042131"/>
    <n v="220759.42"/>
    <n v="0.95754772321833415"/>
    <n v="0.93651725217181725"/>
    <n v="0.92783359749429539"/>
    <n v="0.92783359749429539"/>
  </r>
  <r>
    <x v="6"/>
    <s v="XLII"/>
    <n v="1"/>
    <n v="275.16000000000003"/>
    <n v="6150"/>
    <s v="JEFFERSON MOREIRA FRANCA"/>
    <s v="XLII1JEFFERSON MOREIRA FRANCA"/>
    <d v="2018-01-29T00:00:00"/>
    <n v="129720"/>
    <s v="ATIVO"/>
    <n v="85348.24"/>
    <n v="0.65794202898550724"/>
    <n v="184009"/>
    <n v="0.46382644327179651"/>
    <n v="0.51802672840793296"/>
    <n v="0.51322343705073803"/>
    <n v="0.51322343705073803"/>
  </r>
  <r>
    <x v="6"/>
    <s v="XLII"/>
    <n v="2"/>
    <n v="262.92"/>
    <m/>
    <s v="EDNILSON APARECIDO DA SILVA"/>
    <s v="XLII2EDNILSON APARECIDO DA SILVA"/>
    <d v="2019-07-01T00:00:00"/>
    <n v="122200"/>
    <s v="ATIVO"/>
    <n v="121047.08"/>
    <n v="0.99056530278232402"/>
    <n v="154804.06"/>
    <n v="0.78193737296037324"/>
    <n v="0.7689066080856547"/>
    <n v="0.76177708703476488"/>
    <n v="0.76177708703476488"/>
  </r>
  <r>
    <x v="6"/>
    <s v="XLII"/>
    <n v="4"/>
    <n v="253.01"/>
    <n v="6524"/>
    <s v="LEONARDO NUNES BUONO"/>
    <s v="XLII4LEONARDO NUNES BUONO"/>
    <d v="2018-07-03T00:00:00"/>
    <n v="131600"/>
    <s v="INADIMPLENTE"/>
    <n v="187475.79"/>
    <n v="1.4245880699088147"/>
    <n v="198863.57"/>
    <n v="0.94273571574723314"/>
    <n v="1.2375148101998668"/>
    <n v="1.226040220441724"/>
    <n v="1.226040220441724"/>
  </r>
  <r>
    <x v="6"/>
    <s v="XLII"/>
    <n v="5"/>
    <n v="253.01"/>
    <m/>
    <s v="GIOVANO APARECIDO DE LIMA"/>
    <s v="XLII5GIOVANO APARECIDO DE LIMA"/>
    <d v="2018-11-23T00:00:00"/>
    <n v="272538.23"/>
    <s v="ATIVO"/>
    <n v="112927.77"/>
    <n v="0.41435570341819572"/>
    <n v="184456.7"/>
    <n v="0.61221831465053855"/>
    <n v="0.7454284516301769"/>
    <n v="0.7385166267324027"/>
    <n v="0.7385166267324027"/>
  </r>
  <r>
    <x v="6"/>
    <s v="XLII"/>
    <n v="6"/>
    <n v="253.01"/>
    <n v="6331"/>
    <s v="FRANCIELLE SANCHES CARNELOSSI"/>
    <s v="XLII6FRANCIELLE SANCHES CARNELOSSI"/>
    <d v="2018-04-25T00:00:00"/>
    <n v="141353.45000000001"/>
    <s v="ATRASO"/>
    <n v="143906.65"/>
    <n v="1.0180625234120566"/>
    <n v="203283.25"/>
    <n v="0.70791198979748693"/>
    <n v="0.9499179102605656"/>
    <n v="0.94111000086480512"/>
    <n v="0.94111000086480512"/>
  </r>
  <r>
    <x v="6"/>
    <s v="XLII"/>
    <n v="7"/>
    <n v="253.01"/>
    <n v="5530"/>
    <s v="RENAN VINICIUS GOUVEIA ANCIOTO"/>
    <s v="XLII7RENAN VINICIUS GOUVEIA ANCIOTO"/>
    <d v="2017-02-06T00:00:00"/>
    <n v="128212.23"/>
    <s v="ATRASO"/>
    <n v="128443.17"/>
    <n v="1.0018012322225422"/>
    <n v="199851.87"/>
    <n v="0.64269185972590603"/>
    <n v="0.84784454112191876"/>
    <n v="0.83998308507479191"/>
    <n v="0.83998308507479191"/>
  </r>
  <r>
    <x v="6"/>
    <s v="XLII"/>
    <n v="9"/>
    <n v="253.01"/>
    <n v="5349"/>
    <s v="CRISTINA DA SILVA GERMANI"/>
    <s v="XLII9CRISTINA DA SILVA GERMANI"/>
    <d v="2016-12-01T00:00:00"/>
    <n v="136395.99"/>
    <s v="ATIVO"/>
    <n v="128083.93000000001"/>
    <n v="0.93905935211145153"/>
    <n v="218977.86000000002"/>
    <n v="0.58491726058515692"/>
    <n v="0.84547322256171331"/>
    <n v="0.83763375405561624"/>
    <n v="0.83763375405561624"/>
  </r>
  <r>
    <x v="6"/>
    <s v="XLII"/>
    <n v="11"/>
    <n v="253.01"/>
    <n v="4811"/>
    <s v="DANIEL BRAGUETO MARTINS"/>
    <s v="XLII11DANIEL BRAGUETO MARTINS"/>
    <d v="2015-06-01T00:00:00"/>
    <n v="129699.4"/>
    <s v="INADIMPLENTE"/>
    <n v="212076.51"/>
    <n v="1.6351387130549564"/>
    <n v="230561.52000000002"/>
    <n v="0.91982612710048062"/>
    <n v="1.3999024728499618"/>
    <n v="1.3869221784365411"/>
    <n v="1.3869221784365411"/>
  </r>
  <r>
    <x v="6"/>
    <s v="XLII"/>
    <n v="12"/>
    <n v="253.01"/>
    <n v="3868"/>
    <s v="FELIPE MARTINS SCOTTON"/>
    <s v="XLII12FELIPE MARTINS SCOTTON"/>
    <d v="2014-08-08T00:00:00"/>
    <n v="102223.52"/>
    <s v="ATIVO"/>
    <n v="100190.21"/>
    <n v="0.98010917644002082"/>
    <n v="179727.17"/>
    <n v="0.55745722808632658"/>
    <n v="0.66134869314077727"/>
    <n v="0.65521647970920738"/>
    <n v="0.65521647970920738"/>
  </r>
  <r>
    <x v="6"/>
    <s v="XLII"/>
    <n v="15"/>
    <n v="272.5"/>
    <n v="4313"/>
    <s v="RODRIGO AUGUSTO MODESTO"/>
    <s v="XLII15RODRIGO AUGUSTO MODESTO"/>
    <d v="2014-12-17T00:00:00"/>
    <n v="134352.85"/>
    <s v="ATIVO"/>
    <n v="75808.94"/>
    <n v="0.56425256330624918"/>
    <n v="193401.44"/>
    <n v="0.39197712281769981"/>
    <n v="0.46461884083213884"/>
    <n v="0.46031076261884335"/>
    <n v="0.46031076261884335"/>
  </r>
  <r>
    <x v="6"/>
    <s v="XLII"/>
    <n v="16"/>
    <n v="272.5"/>
    <n v="4312"/>
    <s v="MARIA INEZ BUENO MODESTO"/>
    <s v="XLII16MARIA INEZ BUENO MODESTO"/>
    <d v="2014-12-17T00:00:00"/>
    <n v="134352.85"/>
    <s v="ATIVO"/>
    <n v="125209.93000000001"/>
    <n v="0.93194844768830731"/>
    <n v="218294.14"/>
    <n v="0.57358356023666046"/>
    <n v="0.76738828609492826"/>
    <n v="0.76027284335794687"/>
    <n v="0.76027284335794687"/>
  </r>
  <r>
    <x v="6"/>
    <s v="XLII"/>
    <n v="19"/>
    <n v="304.64"/>
    <m/>
    <s v="BENEDITA DE LOURDES CARDOSO"/>
    <s v="XLII19BENEDITA DE LOURDES CARDOSO"/>
    <d v="2019-08-23T00:00:00"/>
    <n v="154160.6"/>
    <s v="ATIVO"/>
    <n v="147993.18"/>
    <n v="0.95999353920521835"/>
    <n v="192614"/>
    <n v="0.76834072289657029"/>
    <n v="0.81133026156036114"/>
    <n v="0.80380737631241161"/>
    <n v="0.80380737631241161"/>
  </r>
  <r>
    <x v="6"/>
    <s v="XLIII"/>
    <n v="1"/>
    <n v="300.63"/>
    <m/>
    <s v="ROBERTO CARDOSO"/>
    <s v="XLIII1ROBERTO CARDOSO"/>
    <d v="2019-02-04T00:00:00"/>
    <n v="141000"/>
    <s v="ATIVO"/>
    <n v="133427.33000000002"/>
    <n v="0.94629312056737602"/>
    <n v="187577.58000000002"/>
    <n v="0.71131811168477599"/>
    <n v="0.74123407870308422"/>
    <n v="0.73436114522562634"/>
    <n v="0.73436114522562634"/>
  </r>
  <r>
    <x v="6"/>
    <s v="XLIII"/>
    <n v="2"/>
    <n v="265.06"/>
    <m/>
    <s v="GILBERTO MILLE"/>
    <s v="XLIII2GILBERTO MILLE"/>
    <d v="2018-11-28T00:00:00"/>
    <n v="117500"/>
    <s v="ATIVO"/>
    <n v="117768.98"/>
    <n v="1.0022891914893617"/>
    <n v="161215.05000000002"/>
    <n v="0.73050859705716054"/>
    <n v="0.74204393439391136"/>
    <n v="0.73516349170384532"/>
    <n v="0.73516349170384532"/>
  </r>
  <r>
    <x v="6"/>
    <s v="XLIII"/>
    <n v="6"/>
    <n v="253.77"/>
    <m/>
    <s v="LEO ANTONIO RAMOS"/>
    <s v="XLIII6LEO ANTONIO RAMOS"/>
    <d v="2019-06-03T00:00:00"/>
    <n v="122200.1"/>
    <s v="ATIVO"/>
    <n v="25945.02"/>
    <n v="0.21231586553529824"/>
    <n v="125218.39"/>
    <n v="0.20719815995078678"/>
    <n v="0.17074839479016898"/>
    <n v="0.16916516704539386"/>
    <n v="0.16916516704539386"/>
  </r>
  <r>
    <x v="6"/>
    <s v="XLIII"/>
    <n v="7"/>
    <n v="253.77"/>
    <n v="4681"/>
    <s v="WESLY APARECIDO WEBER"/>
    <s v="XLIII7WESLY APARECIDO WEBER"/>
    <d v="2020-08-03T00:00:00"/>
    <n v="122200"/>
    <s v="ATIVO"/>
    <n v="120931.79000000001"/>
    <n v="0.98962184942716869"/>
    <n v="136689.79999999999"/>
    <n v="0.88471700156119926"/>
    <n v="0.79587177121473829"/>
    <n v="0.78849222149177345"/>
    <n v="0.78849222149177345"/>
  </r>
  <r>
    <x v="6"/>
    <s v="XLIII"/>
    <n v="8"/>
    <n v="253.77"/>
    <n v="4795"/>
    <s v="KATIA MUNARETTO"/>
    <s v="XLIII8KATIA MUNARETTO"/>
    <d v="2020-09-30T00:00:00"/>
    <n v="122200"/>
    <s v="ATIVO"/>
    <n v="124491.75"/>
    <n v="1.0187540916530278"/>
    <n v="133989.48000000001"/>
    <n v="0.92911585297592014"/>
    <n v="0.81930044675698921"/>
    <n v="0.81170365968202807"/>
    <n v="0.81170365968202807"/>
  </r>
  <r>
    <x v="6"/>
    <s v="XLIII"/>
    <n v="9"/>
    <n v="251.25"/>
    <n v="3445"/>
    <s v="LEWI PETHRUS COSTA"/>
    <s v="XLIII9LEWI PETHRUS COSTA"/>
    <d v="2019-12-03T00:00:00"/>
    <n v="136299.75"/>
    <s v="INADIMPLENTE"/>
    <n v="135365.07"/>
    <n v="0.99314246724590471"/>
    <n v="164464.64000000001"/>
    <n v="0.82306488495034558"/>
    <n v="0.89979472163006102"/>
    <n v="0.8914515687141138"/>
    <n v="0.8914515687141138"/>
  </r>
  <r>
    <x v="6"/>
    <s v="XXXIX"/>
    <n v="1"/>
    <n v="332.84"/>
    <n v="4812"/>
    <s v="MARIA DAS GRACAS PICCININI"/>
    <s v="XXXIX1MARIA DAS GRACAS PICCININI"/>
    <d v="2015-06-01T00:00:00"/>
    <n v="174300"/>
    <s v="ATIVO"/>
    <n v="161207.79"/>
    <n v="0.92488691910499143"/>
    <n v="264813.26"/>
    <n v="0.60876026374208003"/>
    <n v="0.80889734574837258"/>
    <n v="0.80139701918871387"/>
    <n v="0.80139701918871387"/>
  </r>
  <r>
    <x v="6"/>
    <s v="XXXIX"/>
    <n v="3"/>
    <n v="250.5"/>
    <n v="4567"/>
    <s v="VALDEIR MAGALHAES"/>
    <s v="XXXIX3VALDEIR MAGALHAES"/>
    <d v="2020-07-20T00:00:00"/>
    <n v="141940"/>
    <s v="ATIVO"/>
    <n v="46288.88"/>
    <n v="0.3261158235874313"/>
    <n v="144512.73000000001"/>
    <n v="0.32031005157815506"/>
    <n v="0.3086113127981886"/>
    <n v="0.30574978081498017"/>
    <n v="0.30574978081498017"/>
  </r>
  <r>
    <x v="6"/>
    <s v="XXXIX"/>
    <n v="5"/>
    <n v="250.5"/>
    <n v="5165"/>
    <s v="GUILHERME GALAN CORDEIRO"/>
    <s v="XXXIX5GUILHERME GALAN CORDEIRO"/>
    <d v="2016-03-24T00:00:00"/>
    <n v="126990.9"/>
    <s v="INADIMPLENTE"/>
    <n v="192782.07"/>
    <n v="1.5180778307737013"/>
    <n v="239557.5"/>
    <n v="0.80474236874236882"/>
    <n v="1.2852920119616698"/>
    <n v="1.2733744183820861"/>
    <n v="1.2733744183820861"/>
  </r>
  <r>
    <x v="6"/>
    <s v="XXXIX"/>
    <n v="7"/>
    <n v="250.5"/>
    <n v="5526"/>
    <s v="CASSIA REGINA BACELAR"/>
    <s v="XXXIX7CASSIA REGINA BACELAR"/>
    <d v="2017-02-09T00:00:00"/>
    <n v="133280.68"/>
    <s v="ATIVO"/>
    <n v="132115.21"/>
    <n v="0.99125552180556098"/>
    <n v="219504.66"/>
    <n v="0.6018788393831821"/>
    <n v="0.8808216659964202"/>
    <n v="0.8726544366557385"/>
    <n v="0.8726544366557385"/>
  </r>
  <r>
    <x v="6"/>
    <s v="XXXIX"/>
    <n v="9"/>
    <n v="250.5"/>
    <n v="6158"/>
    <s v="CEZAR ALVES MOREIRA"/>
    <s v="XXXIX9CEZAR ALVES MOREIRA"/>
    <d v="2018-01-30T00:00:00"/>
    <n v="141000"/>
    <s v="ATIVO"/>
    <n v="142350.22"/>
    <n v="1.0095760283687942"/>
    <n v="211026.52000000002"/>
    <n v="0.67456080875522184"/>
    <n v="0.94905921835462359"/>
    <n v="0.94025927099476614"/>
    <n v="0.94025927099476614"/>
  </r>
  <r>
    <x v="6"/>
    <s v="XXXIX"/>
    <n v="10"/>
    <n v="250.5"/>
    <n v="5172"/>
    <s v="WALMI PEREIRA DE SOUZA"/>
    <s v="XXXIX10WALMI PEREIRA DE SOUZA"/>
    <d v="2016-04-04T00:00:00"/>
    <n v="141099.45000000001"/>
    <s v="ATIVO"/>
    <n v="122898.7"/>
    <n v="0.87100764744299131"/>
    <n v="234001.48"/>
    <n v="0.52520479784999652"/>
    <n v="0.81937452684512446"/>
    <n v="0.81177705287848845"/>
    <n v="0.81177705287848845"/>
  </r>
  <r>
    <x v="6"/>
    <s v="XXXIX"/>
    <n v="11"/>
    <n v="250.5"/>
    <n v="5164"/>
    <s v="FERNANDO JUNIOR DE SOUZA"/>
    <s v="XXXIX11FERNANDO JUNIOR DE SOUZA"/>
    <d v="2016-04-01T00:00:00"/>
    <n v="141099.45000000001"/>
    <s v="ATIVO"/>
    <n v="142156.04"/>
    <n v="1.0074882644829586"/>
    <n v="248062.17"/>
    <n v="0.57306617933722015"/>
    <n v="0.94776460624218639"/>
    <n v="0.93897666289453452"/>
    <n v="0.93897666289453452"/>
  </r>
  <r>
    <x v="6"/>
    <s v="XXXIX"/>
    <n v="12"/>
    <n v="250.5"/>
    <n v="4914"/>
    <s v="JOSE CARLOS OLIVEIRA"/>
    <s v="XXXIX12JOSE CARLOS OLIVEIRA"/>
    <d v="2020-12-01T00:00:00"/>
    <n v="159799.6"/>
    <s v="ATIVO"/>
    <n v="85692.73"/>
    <n v="0.53625121714947965"/>
    <n v="165074.23000000001"/>
    <n v="0.5191163393583601"/>
    <n v="0.57131963232985383"/>
    <n v="0.5660221939899448"/>
    <n v="0.5660221939899448"/>
  </r>
  <r>
    <x v="6"/>
    <s v="XXXIX"/>
    <n v="13"/>
    <n v="250.5"/>
    <n v="4813"/>
    <s v="EDUARDO GUIMARAES REZENDE JUNIOR"/>
    <s v="XXXIX13EDUARDO GUIMARAES REZENDE JUNIOR"/>
    <d v="2020-10-01T00:00:00"/>
    <n v="147580.4"/>
    <s v="ATRASO"/>
    <n v="115523.98"/>
    <n v="0.78278673861840731"/>
    <n v="158288.35"/>
    <n v="0.72983248609262774"/>
    <n v="0.77020673491066727"/>
    <n v="0.76306515871358638"/>
    <n v="0.76306515871358638"/>
  </r>
  <r>
    <x v="6"/>
    <s v="XXXIX"/>
    <n v="19"/>
    <n v="250.5"/>
    <n v="6631"/>
    <s v="CARLOS ROBERTO GOMES DOS SANTOS"/>
    <s v="XXXIX19CARLOS ROBERTO GOMES DOS SANTOS"/>
    <d v="2018-09-14T00:00:00"/>
    <n v="152082.60999999999"/>
    <s v="ATIVO"/>
    <n v="145400.79"/>
    <n v="0.9560645362411917"/>
    <n v="210102.77000000002"/>
    <n v="0.69204604013550131"/>
    <n v="0.96939758930857134"/>
    <n v="0.9604090587809635"/>
    <n v="0.9604090587809635"/>
  </r>
  <r>
    <x v="6"/>
    <s v="XXXIX"/>
    <n v="20"/>
    <n v="250.5"/>
    <n v="4734"/>
    <s v="MURILO COMAR ALENCAR"/>
    <s v="XXXIX20MURILO COMAR ALENCAR"/>
    <d v="2020-08-03T00:00:00"/>
    <n v="143820"/>
    <s v="ATIVO"/>
    <n v="137142.63"/>
    <n v="0.95357133917396752"/>
    <n v="150494.12"/>
    <n v="0.91128231455155861"/>
    <n v="0.91433983896124194"/>
    <n v="0.90586181957502387"/>
    <n v="0.90586181957502387"/>
  </r>
  <r>
    <x v="6"/>
    <s v="XXXIX"/>
    <n v="23"/>
    <n v="351.9"/>
    <n v="5115"/>
    <s v="PAULO HENRIQUE GOMES PERUSSI"/>
    <s v="XXXIX23PAULO HENRIQUE GOMES PERUSSI"/>
    <d v="2021-03-16T00:00:00"/>
    <n v="214320"/>
    <s v="ATIVO"/>
    <n v="153129.46"/>
    <n v="0.71448982829413954"/>
    <n v="214689.46"/>
    <n v="0.7132602597258384"/>
    <n v="0.7267455540570702"/>
    <n v="0.72000696230638883"/>
    <n v="0.72000696230638883"/>
  </r>
  <r>
    <x v="6"/>
    <s v="XXXIX"/>
    <n v="24"/>
    <n v="256.75"/>
    <n v="5962"/>
    <s v="DEIVIN BUSUTTIL"/>
    <s v="XXXIX24DEIVIN BUSUTTIL"/>
    <d v="2017-10-30T00:00:00"/>
    <n v="140999.6"/>
    <s v="ATIVO"/>
    <n v="131199.92000000001"/>
    <n v="0.93049852623695395"/>
    <n v="212237.04"/>
    <n v="0.6181763560215503"/>
    <n v="0.8534262902154639"/>
    <n v="0.84551307860108793"/>
    <n v="0.84551307860108793"/>
  </r>
  <r>
    <x v="6"/>
    <s v="XXXIX"/>
    <n v="25"/>
    <n v="256.75"/>
    <n v="5982"/>
    <s v="LEANDRO NOGUEIRA SILVA"/>
    <s v="XXXIX25LEANDRO NOGUEIRA SILVA"/>
    <d v="2017-11-07T00:00:00"/>
    <n v="133479.79999999999"/>
    <s v="ATIVO"/>
    <n v="114456.51000000001"/>
    <n v="0.85748188115355295"/>
    <n v="195704.82"/>
    <n v="0.58484257056111344"/>
    <n v="0.74451413324268145"/>
    <n v="0.73761078616538955"/>
    <n v="0.73761078616538955"/>
  </r>
  <r>
    <x v="6"/>
    <s v="XXXIX"/>
    <n v="31"/>
    <n v="256.75"/>
    <n v="5192"/>
    <s v="JOSE ORLANDO TAVARES CELESTINO"/>
    <s v="XXXIX31JOSE ORLANDO TAVARES CELESTINO"/>
    <d v="2016-04-15T00:00:00"/>
    <n v="145800.20000000001"/>
    <s v="INADIMPLENTE"/>
    <n v="237795.29"/>
    <n v="1.6309668299494788"/>
    <n v="270995.28999999998"/>
    <n v="0.87748864565136919"/>
    <n v="1.5468054567061504"/>
    <n v="1.5324630359891873"/>
    <n v="1.5324630359891873"/>
  </r>
  <r>
    <x v="6"/>
    <s v="XXXIX"/>
    <n v="34"/>
    <n v="256.75"/>
    <n v="5963"/>
    <s v="MARVIN PARREIRA BUSUTTIL"/>
    <s v="XXXIX34MARVIN PARREIRA BUSUTTIL"/>
    <d v="2017-10-30T00:00:00"/>
    <n v="140999.6"/>
    <s v="ATIVO"/>
    <n v="131199.92000000001"/>
    <n v="0.93049852623695395"/>
    <n v="212582.21"/>
    <n v="0.61717262229986236"/>
    <n v="0.8534262902154639"/>
    <n v="0.84551307860108793"/>
    <n v="0.84551307860108793"/>
  </r>
  <r>
    <x v="6"/>
    <s v="XXXIX"/>
    <n v="35"/>
    <n v="256.75"/>
    <n v="6072"/>
    <s v="SAMUEL ANTONIO VIANA"/>
    <s v="XXXIX35SAMUEL ANTONIO VIANA"/>
    <d v="2018-01-02T00:00:00"/>
    <n v="140999.6"/>
    <s v="ATIVO"/>
    <n v="69648.100000000006"/>
    <n v="0.49395955733207758"/>
    <n v="202402.12"/>
    <n v="0.34410756171921525"/>
    <n v="0.4530453951767322"/>
    <n v="0.44884462924761259"/>
    <n v="0.44884462924761259"/>
  </r>
  <r>
    <x v="6"/>
    <s v="XXXIX"/>
    <n v="36"/>
    <n v="256.75"/>
    <n v="6200"/>
    <s v="SILVANA SOARES DE SOUZA"/>
    <s v="XXXIX36SILVANA SOARES DE SOUZA"/>
    <d v="2018-02-19T00:00:00"/>
    <n v="152574.39000000001"/>
    <s v="INADIMPLENTE"/>
    <n v="165430.17000000001"/>
    <n v="1.0842590948585802"/>
    <n v="223845.45"/>
    <n v="0.73903744748888134"/>
    <n v="1.0760864509125732"/>
    <n v="1.0661086708757241"/>
    <n v="1.0661086708757241"/>
  </r>
  <r>
    <x v="6"/>
    <s v="XXXIX"/>
    <n v="37"/>
    <n v="256.75"/>
    <n v="5815"/>
    <s v="WELINGTON MARQUES MOREIRA JUNIOR"/>
    <s v="XXXIX37WELINGTON MARQUES MOREIRA JUNIOR"/>
    <d v="2017-09-04T00:00:00"/>
    <n v="124080"/>
    <s v="ATIVO"/>
    <n v="124865.78"/>
    <n v="1.0063328497743391"/>
    <n v="191606.5"/>
    <n v="0.65167820507133112"/>
    <n v="0.81222411873620237"/>
    <n v="0.80469294538995262"/>
    <n v="0.80469294538995262"/>
  </r>
  <r>
    <x v="6"/>
    <s v="XXXIX"/>
    <n v="38"/>
    <n v="256.75"/>
    <n v="5005"/>
    <s v="THIARA RAMOS DA SILVA"/>
    <s v="XXXIX38THIARA RAMOS DA SILVA"/>
    <d v="2021-01-26T00:00:00"/>
    <n v="187698.4"/>
    <s v="ATIVO"/>
    <n v="187277.63"/>
    <n v="0.99775826538745138"/>
    <n v="195264.83000000002"/>
    <n v="0.95909555243512101"/>
    <n v="1.218199317585287"/>
    <n v="1.2069038265756218"/>
    <n v="1.2069038265756218"/>
  </r>
  <r>
    <x v="6"/>
    <s v="XXXIX"/>
    <n v="39"/>
    <n v="256.75"/>
    <n v="4991"/>
    <s v="MARCOS VINICIUS MAGALHAES BELIATO"/>
    <s v="XXXIX39MARCOS VINICIUS MAGALHAES BELIATO"/>
    <d v="2021-01-22T00:00:00"/>
    <n v="177660"/>
    <s v="ATIVO"/>
    <n v="175386.64"/>
    <n v="0.98720387256557474"/>
    <n v="185015.75"/>
    <n v="0.94795518759889363"/>
    <n v="1.1408510731451291"/>
    <n v="1.1302727770863024"/>
    <n v="1.1302727770863024"/>
  </r>
  <r>
    <x v="6"/>
    <s v="XXXIX"/>
    <n v="40"/>
    <n v="256.75"/>
    <n v="5152"/>
    <s v="RAMON GUSTAVO DA SILVA"/>
    <s v="XXXIX40RAMON GUSTAVO DA SILVA"/>
    <d v="2016-03-04T00:00:00"/>
    <n v="131219.35"/>
    <s v="ATIVO"/>
    <n v="123211.07"/>
    <n v="0.93897028144096129"/>
    <n v="232547.47"/>
    <n v="0.52983190915816025"/>
    <n v="0.80146059832641536"/>
    <n v="0.79402922740680137"/>
    <n v="0.79402922740680137"/>
  </r>
  <r>
    <x v="6"/>
    <s v="XXXIX"/>
    <n v="41"/>
    <n v="256.75"/>
    <m/>
    <s v="KELEY REGIANE APARECIDA DOS SANTOS"/>
    <s v="XXXIX41KELEY REGIANE APARECIDA DOS SANTOS"/>
    <d v="2019-07-16T00:00:00"/>
    <n v="144807"/>
    <s v="ATIVO"/>
    <n v="28790.400000000001"/>
    <n v="0.19881911786032444"/>
    <n v="148121.59"/>
    <n v="0.19437004423190435"/>
    <n v="0.18727514670602918"/>
    <n v="0.1855386782107547"/>
    <n v="0.1855386782107547"/>
  </r>
  <r>
    <x v="6"/>
    <s v="XXXIX"/>
    <n v="43"/>
    <n v="256.75"/>
    <n v="5269"/>
    <s v="SABRINA APARECIDA DIZARRO SALES"/>
    <s v="XXXIX43SABRINA APARECIDA DIZARRO SALES"/>
    <d v="2016-08-26T00:00:00"/>
    <n v="137499.6"/>
    <s v="ATIVO"/>
    <n v="120166.28"/>
    <n v="0.87393912418654307"/>
    <n v="225485.79"/>
    <n v="0.53292174198649056"/>
    <n v="0.78165491678190568"/>
    <n v="0.77440718978213041"/>
    <n v="0.77440718978213041"/>
  </r>
  <r>
    <x v="6"/>
    <s v="XXXV"/>
    <n v="2"/>
    <n v="251.75"/>
    <n v="5124"/>
    <s v="SHEILA PINTO SILVA"/>
    <s v="XXXV2SHEILA PINTO SILVA"/>
    <d v="2016-02-03T00:00:00"/>
    <n v="130023.6"/>
    <s v="INADIMPLENTE"/>
    <n v="257243.48"/>
    <n v="1.9784368376202475"/>
    <n v="276021.52"/>
    <n v="0.93196892764013473"/>
    <n v="1.7065452027567496"/>
    <n v="1.6907216296213321"/>
    <n v="1.6907216296213321"/>
  </r>
  <r>
    <x v="6"/>
    <s v="XXXV"/>
    <n v="3"/>
    <n v="251.75"/>
    <n v="3955"/>
    <s v="PATRICIA FRANCISCO GONCALVES"/>
    <s v="XXXV3PATRICIA FRANCISCO GONCALVES"/>
    <d v="2014-10-03T00:00:00"/>
    <n v="113163.86"/>
    <s v="ATIVO"/>
    <n v="117408.86"/>
    <n v="1.037511975996577"/>
    <n v="193273.48"/>
    <n v="0.60747527286206049"/>
    <n v="0.77888670606593735"/>
    <n v="0.7716646467042928"/>
    <n v="0.7716646467042928"/>
  </r>
  <r>
    <x v="6"/>
    <s v="XXXV"/>
    <n v="8"/>
    <n v="251.75"/>
    <n v="5324"/>
    <s v="CAROLINA FONSECA DE ALMEIDA"/>
    <s v="XXXV8CAROLINA FONSECA DE ALMEIDA"/>
    <d v="2016-11-07T00:00:00"/>
    <n v="140980"/>
    <s v="ATIVO"/>
    <n v="118473.27"/>
    <n v="0.84035515675982408"/>
    <n v="221710.63"/>
    <n v="0.53435989965839703"/>
    <n v="0.7859479687236588"/>
    <n v="0.77866043532363993"/>
    <n v="0.77866043532363993"/>
  </r>
  <r>
    <x v="6"/>
    <s v="XXXV"/>
    <n v="9"/>
    <n v="251.75"/>
    <n v="5325"/>
    <s v="CAROLINA FONSECA DE ALMEIDA"/>
    <s v="XXXV9CAROLINA FONSECA DE ALMEIDA"/>
    <d v="2016-11-07T00:00:00"/>
    <n v="140980"/>
    <s v="ATIVO"/>
    <n v="118473.27"/>
    <n v="0.84035515675982408"/>
    <n v="221710.63"/>
    <n v="0.53435989965839703"/>
    <n v="0.7859479687236588"/>
    <n v="0.77866043532363993"/>
    <n v="0.77866043532363993"/>
  </r>
  <r>
    <x v="6"/>
    <s v="XXXV"/>
    <n v="10"/>
    <n v="251.75"/>
    <n v="5326"/>
    <s v="CAROLINA FONSECA DE ALMEIDA"/>
    <s v="XXXV10CAROLINA FONSECA DE ALMEIDA"/>
    <d v="2016-11-07T00:00:00"/>
    <n v="140980"/>
    <s v="ATIVO"/>
    <n v="118473.27"/>
    <n v="0.84035515675982408"/>
    <n v="221509.13"/>
    <n v="0.53484599032103097"/>
    <n v="0.7859479687236588"/>
    <n v="0.77866043532363993"/>
    <n v="0.77866043532363993"/>
  </r>
  <r>
    <x v="6"/>
    <s v="XXXV"/>
    <n v="14"/>
    <n v="251.75"/>
    <n v="5972"/>
    <s v="ADEL JUNIOR CONTINI LOPES"/>
    <s v="XXXV14ADEL JUNIOR CONTINI LOPES"/>
    <d v="2017-10-09T00:00:00"/>
    <n v="124080"/>
    <s v="ATIVO"/>
    <n v="115804.31"/>
    <n v="0.93330359445519018"/>
    <n v="190650.42"/>
    <n v="0.60741702011461596"/>
    <n v="0.76824217153746899"/>
    <n v="0.76111881133148218"/>
    <n v="0.76111881133148218"/>
  </r>
  <r>
    <x v="6"/>
    <s v="XXXV"/>
    <n v="16"/>
    <n v="251.75"/>
    <n v="4884"/>
    <s v="MARIA MAYUMI HOSHINO DE BARROS"/>
    <s v="XXXV16MARIA MAYUMI HOSHINO DE BARROS"/>
    <d v="2020-11-23T00:00:00"/>
    <n v="158860"/>
    <s v="ATIVO"/>
    <n v="161640.57"/>
    <n v="1.0175032733224223"/>
    <n v="170971.73"/>
    <n v="0.94542279007178553"/>
    <n v="1.0723184871560849"/>
    <n v="1.062375644752283"/>
    <n v="1.062375644752283"/>
  </r>
  <r>
    <x v="6"/>
    <s v="XXXV"/>
    <n v="17"/>
    <n v="251.75"/>
    <n v="5363"/>
    <s v="ALESSANDRO DALBELLO MENDES"/>
    <s v="XXXV17ALESSANDRO DALBELLO MENDES"/>
    <d v="2016-12-02T00:00:00"/>
    <n v="149921.14000000001"/>
    <s v="ATIVO"/>
    <n v="140657.61000000002"/>
    <n v="0.93821064861166348"/>
    <n v="243500.81"/>
    <n v="0.57764740084437505"/>
    <n v="0.93311818661732393"/>
    <n v="0.92446604904366003"/>
    <n v="0.92446604904366003"/>
  </r>
  <r>
    <x v="6"/>
    <s v="XXXV"/>
    <n v="18"/>
    <n v="267.82"/>
    <n v="5529"/>
    <s v="EMERSON JORGE BIM"/>
    <s v="XXXV18EMERSON JORGE BIM"/>
    <d v="2017-02-17T00:00:00"/>
    <n v="140926.67000000001"/>
    <s v="ATIVO"/>
    <n v="140108.97"/>
    <n v="0.99419769160798299"/>
    <n v="231380.34"/>
    <n v="0.60553532767736451"/>
    <n v="0.873707038024087"/>
    <n v="0.86560577754017476"/>
    <n v="0.86560577754017476"/>
  </r>
  <r>
    <x v="6"/>
    <s v="XXXV"/>
    <n v="20"/>
    <n v="267.82"/>
    <n v="5595"/>
    <s v="GUILHERME ANDRADE SALVADOR"/>
    <s v="XXXV20GUILHERME ANDRADE SALVADOR"/>
    <d v="2017-05-15T00:00:00"/>
    <n v="132671.67000000001"/>
    <s v="INADIMPLENTE"/>
    <n v="171152.68"/>
    <n v="1.290046925617202"/>
    <n v="216767.92"/>
    <n v="0.78956646352467641"/>
    <n v="1.0672928442246372"/>
    <n v="1.0573966010133735"/>
    <n v="1.0573966010133735"/>
  </r>
  <r>
    <x v="6"/>
    <s v="XXXV"/>
    <n v="23"/>
    <n v="267.82"/>
    <n v="6189"/>
    <s v="GILMAR AMARAL GOMES"/>
    <s v="XXXV23GILMAR AMARAL GOMES"/>
    <d v="2018-02-07T00:00:00"/>
    <n v="131599.6"/>
    <s v="ATIVO"/>
    <n v="54955.67"/>
    <n v="0.41759754588919717"/>
    <n v="180835.64"/>
    <n v="0.30389844612488998"/>
    <n v="0.34269865561305013"/>
    <n v="0.33952105607935917"/>
    <n v="0.33952105607935917"/>
  </r>
  <r>
    <x v="6"/>
    <s v="XXXV"/>
    <n v="24"/>
    <n v="267.82"/>
    <m/>
    <s v="LIVIA BEATRIZ LIMA LUIZETTO"/>
    <s v="XXXV24LIVIA BEATRIZ LIMA LUIZETTO"/>
    <d v="2019-07-18T00:00:00"/>
    <n v="131600.42000000001"/>
    <s v="INADIMPLENTE"/>
    <n v="164598.1"/>
    <n v="1.2507414490014546"/>
    <n v="171657.88"/>
    <n v="0.95887296289573187"/>
    <n v="1.0264190680681793"/>
    <n v="1.0169018181500831"/>
    <n v="1.0169018181500831"/>
  </r>
  <r>
    <x v="6"/>
    <s v="XXXV"/>
    <n v="25"/>
    <n v="267.82"/>
    <n v="7015"/>
    <s v="LEANDRO MARIA CLARO"/>
    <s v="XXXV25LEANDRO MARIA CLARO"/>
    <d v="2019-03-01T00:00:00"/>
    <n v="155371.26999999999"/>
    <s v="ATRASO"/>
    <n v="135846.79"/>
    <n v="0.87433661319753653"/>
    <n v="203806.32"/>
    <n v="0.66654846621046882"/>
    <n v="0.84712846376631112"/>
    <n v="0.83927364739236077"/>
    <n v="0.83927364739236077"/>
  </r>
  <r>
    <x v="6"/>
    <s v="XXXV"/>
    <n v="26"/>
    <n v="267.82"/>
    <n v="5956"/>
    <s v="ALINE CANDIDO DE OLIVEIRA"/>
    <s v="XXXV26ALINE CANDIDO DE OLIVEIRA"/>
    <d v="2017-10-30T00:00:00"/>
    <n v="126900"/>
    <s v="ATIVO"/>
    <n v="122623.54000000001"/>
    <n v="0.96630055161544526"/>
    <n v="194197.38"/>
    <n v="0.63143766409206969"/>
    <n v="0.76466945639118011"/>
    <n v="0.75757922341752082"/>
    <n v="0.75757922341752082"/>
  </r>
  <r>
    <x v="6"/>
    <s v="XXXV"/>
    <n v="27"/>
    <n v="267.82"/>
    <n v="6000"/>
    <s v="CARLOS ROBERTO DA SILVA JUNIOR"/>
    <s v="XXXV27CARLOS ROBERTO DA SILVA JUNIOR"/>
    <d v="2017-11-23T00:00:00"/>
    <n v="127839.63"/>
    <s v="ATIVO"/>
    <n v="111467.72"/>
    <n v="0.87193400043476343"/>
    <n v="190166.5"/>
    <n v="0.58615855053334842"/>
    <n v="0.69510275806394328"/>
    <n v="0.68865756732941863"/>
    <n v="0.68865756732941863"/>
  </r>
  <r>
    <x v="6"/>
    <s v="XXXVI"/>
    <n v="1"/>
    <n v="353.3"/>
    <n v="4980"/>
    <s v="CRISTIANO BETIOL"/>
    <s v="XXXVI1CRISTIANO BETIOL"/>
    <d v="2021-01-06T00:00:00"/>
    <n v="225600"/>
    <s v="ATIVO"/>
    <n v="183837.92"/>
    <n v="0.81488439716312067"/>
    <n v="229029.5"/>
    <n v="0.80268227455415142"/>
    <n v="0.86902918063531709"/>
    <n v="0.86097129457734378"/>
    <n v="0.86097129457734378"/>
  </r>
  <r>
    <x v="6"/>
    <s v="XXXVI"/>
    <n v="5"/>
    <n v="257"/>
    <n v="5806"/>
    <s v="ALEXANDRE FRANCO FERREIRA"/>
    <s v="XXXVI5ALEXANDRE FRANCO FERREIRA"/>
    <d v="2017-08-24T00:00:00"/>
    <n v="124079.4"/>
    <s v="ATIVO"/>
    <n v="117458.67"/>
    <n v="0.94664118298444389"/>
    <n v="190549.03"/>
    <n v="0.61642229299199269"/>
    <n v="0.76329928410194858"/>
    <n v="0.75622175575597317"/>
    <n v="0.75622175575597317"/>
  </r>
  <r>
    <x v="6"/>
    <s v="XXXVI"/>
    <n v="6"/>
    <n v="257"/>
    <n v="5795"/>
    <s v="ADRIANO TORRES UNZER DOS SANTOS"/>
    <s v="XXXVI6ADRIANO TORRES UNZER DOS SANTOS"/>
    <d v="2017-08-05T00:00:00"/>
    <n v="124080.6"/>
    <s v="ATIVO"/>
    <n v="110901.68000000001"/>
    <n v="0.89378742527034849"/>
    <n v="187507.05000000002"/>
    <n v="0.59145338801927716"/>
    <n v="0.72068901299242871"/>
    <n v="0.71400657921537092"/>
    <n v="0.71400657921537092"/>
  </r>
  <r>
    <x v="6"/>
    <s v="XXXVI"/>
    <n v="8"/>
    <n v="257"/>
    <n v="5791"/>
    <s v="EDSON FIALHO DA COSTA"/>
    <s v="XXXVI8EDSON FIALHO DA COSTA"/>
    <d v="2017-08-20T00:00:00"/>
    <n v="124079.46"/>
    <s v="ATIVO"/>
    <n v="103809.78"/>
    <n v="0.83663952115845763"/>
    <n v="186144.82"/>
    <n v="0.55768288368164098"/>
    <n v="0.67460265603876479"/>
    <n v="0.66834754808854313"/>
    <n v="0.66834754808854313"/>
  </r>
  <r>
    <x v="6"/>
    <s v="XXXVI"/>
    <n v="10"/>
    <n v="257"/>
    <n v="6318"/>
    <s v="LUCIANO CROCE"/>
    <s v="XXXVI10LUCIANO CROCE"/>
    <d v="2018-04-11T00:00:00"/>
    <n v="152573.47"/>
    <s v="INADIMPLENTE"/>
    <n v="158723.16"/>
    <n v="1.0403064176229329"/>
    <n v="218482.62"/>
    <n v="0.72647957077775804"/>
    <n v="1.0314545056435513"/>
    <n v="1.0218905657141892"/>
    <n v="1.0218905657141892"/>
  </r>
  <r>
    <x v="6"/>
    <s v="XXXVI"/>
    <n v="11"/>
    <n v="257"/>
    <n v="4883"/>
    <s v="FELIPE AKIO HOSHINO DE BARROS"/>
    <s v="XXXVI11FELIPE AKIO HOSHINO DE BARROS"/>
    <d v="2020-11-23T00:00:00"/>
    <n v="161748.62"/>
    <s v="ATIVO"/>
    <n v="164418.41"/>
    <n v="1.0165057977001597"/>
    <n v="174068.23"/>
    <n v="0.94456300268004101"/>
    <n v="1.06846480252314"/>
    <n v="1.0585576925807645"/>
    <n v="1.0585576925807645"/>
  </r>
  <r>
    <x v="6"/>
    <s v="XXXVI"/>
    <n v="12"/>
    <n v="257"/>
    <n v="4836"/>
    <s v="DIRLEY SOARES DOS SANTOS"/>
    <s v="XXXVI12DIRLEY SOARES DOS SANTOS"/>
    <d v="2020-10-13T00:00:00"/>
    <n v="147579.96"/>
    <s v="ATIVO"/>
    <n v="120438.35"/>
    <n v="0.81608878332803458"/>
    <n v="153138.57"/>
    <n v="0.7864664662860571"/>
    <n v="0.78266258534529576"/>
    <n v="0.7754055149556216"/>
    <n v="0.7754055149556216"/>
  </r>
  <r>
    <x v="6"/>
    <s v="XXXVI"/>
    <n v="14"/>
    <n v="257"/>
    <n v="6031"/>
    <s v="LOURIVAL RODRIGUES INACIO"/>
    <s v="XXXVI14LOURIVAL RODRIGUES INACIO"/>
    <d v="2017-12-05T00:00:00"/>
    <n v="126900.6"/>
    <s v="ATIVO"/>
    <n v="64613.060000000005"/>
    <n v="0.50916276203579813"/>
    <n v="192559.5"/>
    <n v="0.33554854473552331"/>
    <n v="0.41988473427833173"/>
    <n v="0.41599144344105077"/>
    <n v="0.41599144344105077"/>
  </r>
  <r>
    <x v="6"/>
    <s v="XXXVI"/>
    <n v="16"/>
    <n v="257"/>
    <n v="6033"/>
    <s v="VALDEMIRO APARECIDO GIROLDO"/>
    <s v="XXXVI16VALDEMIRO APARECIDO GIROLDO"/>
    <d v="2017-12-12T00:00:00"/>
    <n v="128779.28"/>
    <s v="ATIVO"/>
    <n v="99439.07"/>
    <n v="0.7721666870633227"/>
    <n v="188046.77"/>
    <n v="0.52879967042241682"/>
    <n v="0.64619981600986598"/>
    <n v="0.64020806728137758"/>
    <n v="0.64020806728137758"/>
  </r>
  <r>
    <x v="6"/>
    <s v="XXXVI"/>
    <n v="18"/>
    <n v="257"/>
    <n v="4964"/>
    <s v="MARCO ANTONIO GERALDA"/>
    <s v="XXXVI18MARCO ANTONIO GERALDA"/>
    <d v="2015-09-10T00:00:00"/>
    <n v="150900.29"/>
    <s v="ATIVO"/>
    <n v="134401.65"/>
    <n v="0.89066528632913822"/>
    <n v="226174.29"/>
    <n v="0.59423929218480132"/>
    <n v="0.87340239104632"/>
    <n v="0.86530395533594751"/>
    <n v="0.86530395533594751"/>
  </r>
  <r>
    <x v="6"/>
    <s v="XXXVI"/>
    <n v="21"/>
    <n v="338.85"/>
    <n v="4909"/>
    <s v="GIVANIA MARIA BERTIN MAZIERI"/>
    <s v="XXXVI21GIVANIA MARIA BERTIN MAZIERI"/>
    <d v="2020-12-01T00:00:00"/>
    <n v="222483.99"/>
    <s v="ATIVO"/>
    <n v="218560.9"/>
    <n v="0.9823668660383158"/>
    <n v="235775.14"/>
    <n v="0.92698874020390776"/>
    <n v="1.0772286113404381"/>
    <n v="1.0672402408668202"/>
    <n v="1.0672402408668202"/>
  </r>
  <r>
    <x v="6"/>
    <s v="XXXVII"/>
    <n v="2"/>
    <n v="255.5"/>
    <n v="3944"/>
    <s v="LUCAS FABRICIO SALAMON"/>
    <s v="XXXVII2LUCAS FABRICIO SALAMON"/>
    <d v="2014-10-02T00:00:00"/>
    <n v="112653.35"/>
    <s v="ATIVO"/>
    <n v="117864.53"/>
    <n v="1.0462585444640571"/>
    <n v="196744.72"/>
    <n v="0.59907340842488677"/>
    <n v="0.77043343820362209"/>
    <n v="0.76328975994904513"/>
    <n v="0.76328975994904513"/>
  </r>
  <r>
    <x v="6"/>
    <s v="XXXVII"/>
    <n v="7"/>
    <n v="255.5"/>
    <n v="4735"/>
    <s v="ELCIO LUIZ DOS SANTOS"/>
    <s v="XXXVII7ELCIO LUIZ DOS SANTOS"/>
    <d v="2020-08-03T00:00:00"/>
    <n v="146640"/>
    <s v="ATIVO"/>
    <n v="133400"/>
    <n v="0.90971085651936712"/>
    <n v="146640"/>
    <n v="0.90971085651936712"/>
    <n v="0.87198261136207134"/>
    <n v="0.86389734025327736"/>
    <n v="0.86389734025327736"/>
  </r>
  <r>
    <x v="6"/>
    <s v="XXXVII"/>
    <n v="11"/>
    <n v="255.5"/>
    <n v="3679"/>
    <s v="RAQUEL EUCANAS GOULART VIEIRA"/>
    <s v="XXXVII11RAQUEL EUCANAS GOULART VIEIRA"/>
    <d v="2014-04-01T00:00:00"/>
    <n v="104037.94"/>
    <s v="INADIMPLENTE"/>
    <n v="188981.89"/>
    <n v="1.8164708951369088"/>
    <n v="258386.02000000002"/>
    <n v="0.73139363344812536"/>
    <n v="1.2352992649350805"/>
    <n v="1.223845218343609"/>
    <n v="1.223845218343609"/>
  </r>
  <r>
    <x v="6"/>
    <s v="XXXVII"/>
    <n v="12"/>
    <n v="255.5"/>
    <n v="4828"/>
    <s v="ELCIO LUIS BASSI"/>
    <s v="XXXVII12ELCIO LUIS BASSI"/>
    <d v="2020-10-02T00:00:00"/>
    <n v="152279.9"/>
    <s v="ATIVO"/>
    <n v="53020.5"/>
    <n v="0.3481779276188125"/>
    <n v="154557.18"/>
    <n v="0.34304779629131432"/>
    <n v="0.3465738684087159"/>
    <n v="0.34336033679834249"/>
    <n v="0.34336033679834249"/>
  </r>
  <r>
    <x v="6"/>
    <s v="XXXVII"/>
    <n v="15"/>
    <n v="255.5"/>
    <n v="3909"/>
    <s v="RAFAEL FRANCISCO FRARE DE SIQUEIRA"/>
    <s v="XXXVII15RAFAEL FRANCISCO FRARE DE SIQUEIRA"/>
    <d v="2014-09-05T00:00:00"/>
    <n v="106295.01"/>
    <s v="INADIMPLENTE"/>
    <n v="201630.11000000002"/>
    <n v="1.8968915850330135"/>
    <n v="220762.97"/>
    <n v="0.91333301957298374"/>
    <n v="1.3179756360346455"/>
    <n v="1.3057549905845258"/>
    <n v="1.3057549905845258"/>
  </r>
  <r>
    <x v="6"/>
    <s v="XXXVII"/>
    <n v="16"/>
    <n v="255.5"/>
    <n v="3942"/>
    <s v="RAFAEL FRANCISCO FRARE DE SIQUEIRA"/>
    <s v="XXXVII16RAFAEL FRANCISCO FRARE DE SIQUEIRA"/>
    <d v="2014-10-01T00:00:00"/>
    <n v="106293.2"/>
    <s v="INADIMPLENTE"/>
    <n v="201765.38"/>
    <n v="1.8981964979885826"/>
    <n v="219582.03"/>
    <n v="0.91886107437844533"/>
    <n v="1.3188598420904096"/>
    <n v="1.3066309980299236"/>
    <n v="1.3066309980299236"/>
  </r>
  <r>
    <x v="6"/>
    <s v="XXXVII"/>
    <n v="20"/>
    <n v="255.5"/>
    <n v="4124"/>
    <s v="GILBERTO ZEQUIM MALDONADO"/>
    <s v="XXXVII20GILBERTO ZEQUIM MALDONADO"/>
    <d v="2014-11-01T00:00:00"/>
    <n v="127412.46"/>
    <s v="INADIMPLENTE"/>
    <n v="138569.06"/>
    <n v="1.087562864730812"/>
    <n v="187360.1"/>
    <n v="0.73958681704375684"/>
    <n v="0.90577069559810752"/>
    <n v="0.89737213174960118"/>
    <n v="0.89737213174960118"/>
  </r>
  <r>
    <x v="6"/>
    <s v="XXXVII"/>
    <n v="22"/>
    <n v="334.57"/>
    <n v="5155"/>
    <s v="LINDAMARA HUNKA"/>
    <s v="XXXVII22LINDAMARA HUNKA"/>
    <d v="2016-03-14T00:00:00"/>
    <n v="189899.7"/>
    <s v="ATIVO"/>
    <n v="6508.68"/>
    <n v="3.4274303750874806E-2"/>
    <n v="292243.13"/>
    <n v="2.2271455962027235E-2"/>
    <n v="3.2489933543019017E-2"/>
    <n v="3.2188677626239122E-2"/>
    <n v="3.2188677626239122E-2"/>
  </r>
  <r>
    <x v="6"/>
    <s v="XXXVII"/>
    <n v="25"/>
    <n v="254.5"/>
    <n v="3875"/>
    <s v="TEREZINHA ROSA DE SOUZA"/>
    <s v="XXXVII25TEREZINHA ROSA DE SOUZA"/>
    <d v="2014-08-12T00:00:00"/>
    <n v="103131.2"/>
    <s v="ATIVO"/>
    <n v="85713.56"/>
    <n v="0.83111182648897719"/>
    <n v="156787.14000000001"/>
    <n v="0.54668743877846093"/>
    <n v="0.56247684131844378"/>
    <n v="0.55726139585517487"/>
    <n v="0.55726139585517487"/>
  </r>
  <r>
    <x v="6"/>
    <s v="XXXVII"/>
    <n v="36"/>
    <n v="254.5"/>
    <n v="3757"/>
    <s v="HERMES RINALDIN"/>
    <s v="XXXVII36HERMES RINALDIN"/>
    <d v="2014-06-01T00:00:00"/>
    <n v="105373.52"/>
    <s v="ATIVO"/>
    <n v="89661.8"/>
    <n v="0.85089498765913862"/>
    <n v="176852.79"/>
    <n v="0.50698549906959345"/>
    <n v="0.58838631893163751"/>
    <n v="0.58293063341305074"/>
    <n v="0.58293063341305074"/>
  </r>
  <r>
    <x v="6"/>
    <s v="XXXVII"/>
    <n v="38"/>
    <n v="254.5"/>
    <n v="4290"/>
    <s v="LUIS GUSTAVO DOS SANTOS SAMPAIO"/>
    <s v="XXXVII38LUIS GUSTAVO DOS SANTOS SAMPAIO"/>
    <d v="2020-06-19T00:00:00"/>
    <n v="161679.6"/>
    <s v="ATIVO"/>
    <n v="151964.47"/>
    <n v="0.93991121947357614"/>
    <n v="182613.07"/>
    <n v="0.83216644898418279"/>
    <n v="0.99723421916242205"/>
    <n v="0.98798757947507787"/>
    <n v="0.98798757947507787"/>
  </r>
  <r>
    <x v="6"/>
    <s v="XXXVII"/>
    <n v="39"/>
    <n v="254.5"/>
    <n v="3748"/>
    <s v="AGUSTINHO FERREIRA CHAVES"/>
    <s v="XXXVII39AGUSTINHO FERREIRA CHAVES"/>
    <d v="2014-05-08T00:00:00"/>
    <n v="103642.57"/>
    <s v="ATIVO"/>
    <n v="104094.37"/>
    <n v="1.0043592126285559"/>
    <n v="185915.59"/>
    <n v="0.55990124335457825"/>
    <n v="0.68309696198166747"/>
    <n v="0.6767630924076079"/>
    <n v="0.6767630924076079"/>
  </r>
  <r>
    <x v="6"/>
    <s v="XXXVII"/>
    <n v="41"/>
    <n v="254.5"/>
    <n v="3750"/>
    <s v="HELEN BERNARDO DA SILVA BENTO"/>
    <s v="XXXVII41HELEN BERNARDO DA SILVA BENTO"/>
    <d v="2014-05-22T00:00:00"/>
    <n v="103642.57"/>
    <s v="INADIMPLENTE"/>
    <n v="46701.950000000004"/>
    <n v="0.45060586591011781"/>
    <n v="152453.88"/>
    <n v="0.30633493880247586"/>
    <n v="0.3064715235187046"/>
    <n v="0.3036298322710968"/>
    <n v="0.3036298322710968"/>
  </r>
  <r>
    <x v="6"/>
    <s v="XXXVII"/>
    <n v="42"/>
    <n v="353.3"/>
    <m/>
    <s v="EWERTON MITSUSTOCHI SUZUKI"/>
    <s v="XXXVII42EWERTON MITSUSTOCHI SUZUKI"/>
    <d v="2019-02-11T00:00:00"/>
    <n v="117660"/>
    <s v="ATIVO"/>
    <n v="35527.200000000004"/>
    <n v="0.30194798572157067"/>
    <n v="176605.80000000002"/>
    <n v="0.20116666610043385"/>
    <n v="0.1679423565402994"/>
    <n v="0.16638514718132261"/>
    <n v="0.16638514718132261"/>
  </r>
  <r>
    <x v="6"/>
    <s v="XXXVIII"/>
    <n v="1"/>
    <n v="343.2"/>
    <n v="5545"/>
    <s v="PAULO FERNANDO DOS SANTOS"/>
    <s v="XXXVIII1PAULO FERNANDO DOS SANTOS"/>
    <d v="2017-03-05T00:00:00"/>
    <n v="184805.89"/>
    <s v="ATRASO"/>
    <n v="200963.36000000002"/>
    <n v="1.087429410393792"/>
    <n v="311391.76"/>
    <n v="0.64537147675327056"/>
    <n v="0.97794066068252883"/>
    <n v="0.96887291636411832"/>
    <n v="0.96887291636411832"/>
  </r>
  <r>
    <x v="6"/>
    <s v="XXXVIII"/>
    <n v="3"/>
    <n v="253.75"/>
    <n v="5131"/>
    <s v="DEBORA SALES RODRIGUES MACHADO"/>
    <s v="XXXVIII3DEBORA SALES RODRIGUES MACHADO"/>
    <d v="2016-03-01T00:00:00"/>
    <n v="130050"/>
    <s v="ATRASO"/>
    <n v="90623.63"/>
    <n v="0.69683683198769708"/>
    <n v="214561.38"/>
    <n v="0.42236692362810119"/>
    <n v="0.59645585031393689"/>
    <n v="0.59092534180221157"/>
    <n v="0.59092534180221157"/>
  </r>
  <r>
    <x v="6"/>
    <s v="XXXVIII"/>
    <n v="6"/>
    <n v="253.75"/>
    <n v="4827"/>
    <s v="RAFAEL COMAR ALENCAR"/>
    <s v="XXXVIII6RAFAEL COMAR ALENCAR"/>
    <d v="2020-10-13T00:00:00"/>
    <n v="152280"/>
    <s v="ATIVO"/>
    <n v="121825.53"/>
    <n v="0.80001004728132386"/>
    <n v="157429.33000000002"/>
    <n v="0.77384265054040424"/>
    <n v="0.80181681186348441"/>
    <n v="0.79438213803050683"/>
    <n v="0.79438213803050683"/>
  </r>
  <r>
    <x v="6"/>
    <s v="XXXVIII"/>
    <n v="12"/>
    <n v="253.75"/>
    <n v="4291"/>
    <s v="ROBERTSON RODRIGUES"/>
    <s v="XXXVIII12ROBERTSON RODRIGUES"/>
    <d v="2020-06-18T00:00:00"/>
    <n v="150400.4"/>
    <s v="ATIVO"/>
    <n v="152070.9"/>
    <n v="1.011107018332398"/>
    <n v="171236.12"/>
    <n v="0.88807723510670533"/>
    <n v="1.0008821978054252"/>
    <n v="0.99160173302117705"/>
    <n v="0.99160173302117705"/>
  </r>
  <r>
    <x v="6"/>
    <s v="XXXVIII"/>
    <n v="14"/>
    <n v="253.75"/>
    <n v="4910"/>
    <s v="CARLOS JUNIO RIBEIRO SILVA"/>
    <s v="XXXVIII14CARLOS JUNIO RIBEIRO SILVA"/>
    <d v="2015-08-04T00:00:00"/>
    <n v="142800.75"/>
    <s v="INADIMPLENTE"/>
    <n v="172350.05000000002"/>
    <n v="1.2069267843481215"/>
    <n v="213893.64"/>
    <n v="0.80577454289898476"/>
    <n v="1.1343531000071345"/>
    <n v="1.1238350550058331"/>
    <n v="1.1238350550058331"/>
  </r>
  <r>
    <x v="6"/>
    <s v="XXXVIII"/>
    <n v="16"/>
    <n v="253.75"/>
    <n v="4477"/>
    <s v="FELIPE PEREIRA SIMOES"/>
    <s v="XXXVIII16FELIPE PEREIRA SIMOES"/>
    <d v="2015-03-01T00:00:00"/>
    <n v="132999.9"/>
    <s v="ATIVO"/>
    <n v="121693.41"/>
    <n v="0.91498873307423545"/>
    <n v="210170.76"/>
    <n v="0.57902160129220637"/>
    <n v="0.80094724013099616"/>
    <n v="0.79352062921477184"/>
    <n v="0.79352062921477184"/>
  </r>
  <r>
    <x v="6"/>
    <s v="XXXVIII"/>
    <n v="19"/>
    <n v="253.75"/>
    <n v="4792"/>
    <s v="ANA PAULA GRACINDO"/>
    <s v="XXXVIII19ANA PAULA GRACINDO"/>
    <d v="2020-09-21T00:00:00"/>
    <n v="155041.67000000001"/>
    <s v="ATIVO"/>
    <n v="156243.96"/>
    <n v="1.0077546249340579"/>
    <n v="172011.2"/>
    <n v="0.90833596882063483"/>
    <n v="1.0283479487437961"/>
    <n v="1.0188128136947403"/>
    <n v="1.0188128136947403"/>
  </r>
  <r>
    <x v="6"/>
    <s v="XXXVIII"/>
    <n v="21"/>
    <n v="366.62"/>
    <n v="5314"/>
    <s v="ZENILDO BEZERRA DA SILVA"/>
    <s v="XXXVIII21ZENILDO BEZERRA DA SILVA"/>
    <d v="2016-10-15T00:00:00"/>
    <n v="208973.4"/>
    <s v="ATRASO"/>
    <n v="94872"/>
    <n v="0.45399079500070344"/>
    <n v="315745.15000000002"/>
    <n v="0.30047017349276778"/>
    <n v="0.43218013657572824"/>
    <n v="0.42817283926667737"/>
    <n v="0.42817283926667737"/>
  </r>
  <r>
    <x v="6"/>
    <s v="XXXVIII"/>
    <n v="22"/>
    <n v="365.62"/>
    <n v="4737"/>
    <s v="HERCULES MARCIO IDALINO"/>
    <s v="XXXVIII22HERCULES MARCIO IDALINO"/>
    <d v="2020-08-21T00:00:00"/>
    <n v="223393.96"/>
    <s v="ATIVO"/>
    <n v="229646.13"/>
    <n v="1.0279871935660212"/>
    <n v="250231.91"/>
    <n v="0.91773319397993647"/>
    <n v="1.0489917827929895"/>
    <n v="1.0392652322353697"/>
    <n v="1.0392652322353697"/>
  </r>
  <r>
    <x v="6"/>
    <s v="XXXVIII"/>
    <n v="26"/>
    <n v="255.25"/>
    <n v="5084"/>
    <s v="DANIEL FORCATO SANDOLI"/>
    <s v="XXXVIII26DANIEL FORCATO SANDOLI"/>
    <d v="2016-02-01T00:00:00"/>
    <n v="137000"/>
    <s v="ATIVO"/>
    <n v="86934.88"/>
    <n v="0.63456116788321171"/>
    <n v="228869.22"/>
    <n v="0.37984522339876026"/>
    <n v="0.56881521894655251"/>
    <n v="0.56354100224077774"/>
    <n v="0.56354100224077774"/>
  </r>
  <r>
    <x v="6"/>
    <s v="XXXVIII"/>
    <n v="27"/>
    <n v="255.25"/>
    <n v="4099"/>
    <s v="CELIA GUERRA BICUDO"/>
    <s v="XXXVIII27CELIA GUERRA BICUDO"/>
    <d v="2014-11-01T00:00:00"/>
    <n v="127291.14"/>
    <s v="ATRASO"/>
    <n v="113112.74"/>
    <n v="0.88861440002815595"/>
    <n v="198491.99"/>
    <n v="0.56986047648572624"/>
    <n v="0.74009704699361711"/>
    <n v="0.73323465639799024"/>
    <n v="0.73323465639799024"/>
  </r>
  <r>
    <x v="6"/>
    <s v="XXXVIII"/>
    <n v="30"/>
    <n v="255.25"/>
    <n v="3765"/>
    <s v="THIAGO PASQUETTO BURANELLO"/>
    <s v="XXXVIII30THIAGO PASQUETTO BURANELLO"/>
    <d v="2020-02-03T00:00:00"/>
    <n v="144172.48000000001"/>
    <s v="ATIVO"/>
    <n v="43068.14"/>
    <n v="0.29872649759510272"/>
    <n v="147138.5"/>
    <n v="0.29270476455856215"/>
    <n v="0.28179498819945198"/>
    <n v="0.27918210481507688"/>
    <n v="0.27918210481507688"/>
  </r>
  <r>
    <x v="6"/>
    <s v="XXXVIII"/>
    <n v="39"/>
    <n v="255.25"/>
    <n v="3307"/>
    <s v="WELLINGTON CORONADO FABRI"/>
    <s v="XXXVIII39WELLINGTON CORONADO FABRI"/>
    <d v="2019-11-19T00:00:00"/>
    <n v="144172.5"/>
    <s v="ATIVO"/>
    <n v="37783.06"/>
    <n v="0.26206842497702404"/>
    <n v="147719.80000000002"/>
    <n v="0.25577519059733356"/>
    <n v="0.24721469157570272"/>
    <n v="0.24492244654991688"/>
    <n v="0.24492244654991688"/>
  </r>
  <r>
    <x v="6"/>
    <s v="XXXVIII"/>
    <n v="40"/>
    <n v="255.25"/>
    <n v="5042"/>
    <s v="LUCILENE MARIA RODRIGUES"/>
    <s v="XXXVIII40LUCILENE MARIA RODRIGUES"/>
    <d v="2015-12-01T00:00:00"/>
    <n v="136999.70000000001"/>
    <s v="ATIVO"/>
    <n v="133387.95000000001"/>
    <n v="0.97363680358424143"/>
    <n v="247760.44"/>
    <n v="0.53837468968007973"/>
    <n v="0.87275781578213263"/>
    <n v="0.86466535675718137"/>
    <n v="0.86466535675718137"/>
  </r>
  <r>
    <x v="6"/>
    <s v="XXXVIII"/>
    <n v="41"/>
    <n v="255.25"/>
    <n v="4925"/>
    <s v="EDER VASSOLER"/>
    <s v="XXXVIII41EDER VASSOLER"/>
    <d v="2020-12-10T00:00:00"/>
    <n v="172959.2"/>
    <s v="ATIVO"/>
    <n v="137487.41"/>
    <n v="0.79491238396107289"/>
    <n v="181319.99"/>
    <n v="0.75825842478813288"/>
    <n v="0.89958059666665935"/>
    <n v="0.8912394291783543"/>
    <n v="0.8912394291783543"/>
  </r>
  <r>
    <x v="7"/>
    <s v="X"/>
    <n v="1"/>
    <n v="334.04"/>
    <m/>
    <s v="CLEBIO SELMO MARQUES"/>
    <s v="X1CLEBIO SELMO MARQUES"/>
    <d v="2019-02-13T00:00:00"/>
    <n v="156999.4"/>
    <s v="ATIVO"/>
    <n v="138226.82"/>
    <n v="0.88042896979224128"/>
    <n v="208668.18"/>
    <n v="0.66242404567864643"/>
    <n v="0.69109339343814635"/>
    <n v="0.75046299317860654"/>
    <n v="0.75046299317860654"/>
  </r>
  <r>
    <x v="7"/>
    <s v="X"/>
    <n v="2"/>
    <n v="252.5"/>
    <n v="3470"/>
    <s v="PAULO SERGIO BARBOSA"/>
    <s v="X2PAULO SERGIO BARBOSA"/>
    <d v="2019-12-10T00:00:00"/>
    <n v="122200"/>
    <s v="ATRASO"/>
    <n v="124392.59"/>
    <n v="1.01794263502455"/>
    <n v="149777.63"/>
    <n v="0.83051514435099549"/>
    <n v="0.82276541424185345"/>
    <n v="0.89344653171111599"/>
    <n v="0.89344653171111599"/>
  </r>
  <r>
    <x v="7"/>
    <s v="X"/>
    <n v="23"/>
    <n v="252.5"/>
    <n v="5121"/>
    <s v="ROSEMARY MARIKO HIRAYAMA"/>
    <s v="X23ROSEMARY MARIKO HIRAYAMA"/>
    <d v="2021-03-16T00:00:00"/>
    <n v="143726"/>
    <s v="ATIVO"/>
    <n v="137943"/>
    <n v="0.95976371707276342"/>
    <n v="144059"/>
    <n v="0.9575451724640599"/>
    <n v="0.91239140158400112"/>
    <n v="0.99077199794478488"/>
    <n v="0.99077199794478488"/>
  </r>
  <r>
    <x v="7"/>
    <s v="X"/>
    <n v="24"/>
    <n v="252.5"/>
    <n v="5126"/>
    <s v="LUCAS DONIZETTI BUENO DE CAMARGO"/>
    <s v="X24LUCAS DONIZETTI BUENO DE CAMARGO"/>
    <d v="2021-03-25T00:00:00"/>
    <n v="143312.4"/>
    <s v="ATIVO"/>
    <n v="141749.26"/>
    <n v="0.98909277913146398"/>
    <n v="144798.46"/>
    <n v="0.9789417649883847"/>
    <n v="0.93756700959740613"/>
    <n v="1.0181103610722892"/>
    <n v="1.0181103610722892"/>
  </r>
  <r>
    <x v="7"/>
    <s v="X"/>
    <n v="25"/>
    <n v="252.5"/>
    <n v="5127"/>
    <s v="LUCAS DONIZETTI BUENO DE CAMARGO"/>
    <s v="X25LUCAS DONIZETTI BUENO DE CAMARGO"/>
    <d v="2021-03-25T00:00:00"/>
    <n v="143312.4"/>
    <s v="ATIVO"/>
    <n v="141749.26"/>
    <n v="0.98909277913146398"/>
    <n v="144798.46"/>
    <n v="0.9789417649883847"/>
    <n v="0.93756700959740613"/>
    <n v="1.0181103610722892"/>
    <n v="1.0181103610722892"/>
  </r>
  <r>
    <x v="7"/>
    <s v="X"/>
    <n v="26"/>
    <n v="252.5"/>
    <n v="5128"/>
    <s v="LUCAS DONIZETTI BUENO DE CAMARGO"/>
    <s v="X26LUCAS DONIZETTI BUENO DE CAMARGO"/>
    <d v="2021-03-25T00:00:00"/>
    <n v="143312.4"/>
    <s v="ATIVO"/>
    <n v="141749.26"/>
    <n v="0.98909277913146398"/>
    <n v="144798.46"/>
    <n v="0.9789417649883847"/>
    <n v="0.93756700959740613"/>
    <n v="1.0181103610722892"/>
    <n v="1.0181103610722892"/>
  </r>
  <r>
    <x v="7"/>
    <s v="X"/>
    <n v="27"/>
    <n v="252.5"/>
    <n v="3136"/>
    <s v="THAIS FERNANDA VASCONCELOS DOS SANTOS"/>
    <s v="X27THAIS FERNANDA VASCONCELOS DOS SANTOS"/>
    <d v="2019-10-24T00:00:00"/>
    <n v="105280"/>
    <s v="ATIVO"/>
    <n v="107668.31"/>
    <n v="1.0226853153495441"/>
    <n v="131169.68"/>
    <n v="0.82083229904959742"/>
    <n v="0.71214661321763861"/>
    <n v="0.77332482702303462"/>
    <n v="0.77332482702303462"/>
  </r>
  <r>
    <x v="7"/>
    <s v="X"/>
    <n v="28"/>
    <n v="439.76"/>
    <n v="3137"/>
    <s v="THAIS FERNANDA VASCONCELOS DOS SANTOS"/>
    <s v="X28THAIS FERNANDA VASCONCELOS DOS SANTOS"/>
    <d v="2019-10-24T00:00:00"/>
    <n v="164500"/>
    <s v="ATIVO"/>
    <n v="168231.57"/>
    <n v="1.0226843161094226"/>
    <n v="204959.76"/>
    <n v="0.82080292248585773"/>
    <n v="0.63890262637135342"/>
    <n v="0.69378868599940124"/>
    <n v="0.69378868599940124"/>
  </r>
  <r>
    <x v="7"/>
    <s v="XIV"/>
    <n v="1"/>
    <n v="279.54000000000002"/>
    <n v="7103"/>
    <s v="BRUNO BORTOLETO CORA"/>
    <s v="XIV1BRUNO BORTOLETO CORA"/>
    <d v="2019-04-10T00:00:00"/>
    <n v="135325.26"/>
    <s v="ATIVO"/>
    <n v="92115"/>
    <n v="0.68069331623674689"/>
    <n v="164060.39000000001"/>
    <n v="0.56147007818279593"/>
    <n v="0.55033773872226777"/>
    <n v="0.59761547510383439"/>
    <n v="0.59761547510383439"/>
  </r>
  <r>
    <x v="7"/>
    <s v="XIV"/>
    <n v="2"/>
    <n v="257"/>
    <n v="7250"/>
    <s v="KAIO HENRIQUE ALBANO CAVALARI"/>
    <s v="XIV2KAIO HENRIQUE ALBANO CAVALARI"/>
    <d v="2019-05-24T00:00:00"/>
    <n v="112800"/>
    <s v="ATIVO"/>
    <n v="112216.37"/>
    <n v="0.99482597517730498"/>
    <n v="143942.69"/>
    <n v="0.77959061345873137"/>
    <n v="0.72923246011145348"/>
    <n v="0.7918784638001618"/>
    <n v="0.7918784638001618"/>
  </r>
  <r>
    <x v="7"/>
    <s v="XIV"/>
    <n v="3"/>
    <n v="257"/>
    <n v="6886"/>
    <s v="ANDREA BRENZAN ALVIM"/>
    <s v="XIV3ANDREA BRENZAN ALVIM"/>
    <d v="2019-01-22T00:00:00"/>
    <n v="120790"/>
    <s v="ATIVO"/>
    <n v="122898.57"/>
    <n v="1.0174564947429423"/>
    <n v="164700.73000000001"/>
    <n v="0.74619323180899078"/>
    <n v="0.7986502017956888"/>
    <n v="0.86725965930671844"/>
    <n v="0.86725965930671844"/>
  </r>
  <r>
    <x v="7"/>
    <s v="XIV"/>
    <n v="4"/>
    <n v="257"/>
    <n v="6881"/>
    <s v="ANDREA BRENZAN ALVIM"/>
    <s v="XIV4ANDREA BRENZAN ALVIM"/>
    <d v="2019-01-18T00:00:00"/>
    <n v="120790"/>
    <s v="ATIVO"/>
    <n v="122898.57"/>
    <n v="1.0174564947429423"/>
    <n v="164700.73000000001"/>
    <n v="0.74619323180899078"/>
    <n v="0.7986502017956888"/>
    <n v="0.86725965930671844"/>
    <n v="0.86725965930671844"/>
  </r>
  <r>
    <x v="7"/>
    <s v="XIV"/>
    <n v="6"/>
    <n v="257"/>
    <n v="5116"/>
    <s v="BRUNO SCUPINARI"/>
    <s v="XIV6BRUNO SCUPINARI"/>
    <d v="2021-03-01T00:00:00"/>
    <n v="131599.9"/>
    <s v="ATIVO"/>
    <n v="124610.55"/>
    <n v="0.94688939733236888"/>
    <n v="132210.54999999999"/>
    <n v="0.94251593386458199"/>
    <n v="0.80977541808152664"/>
    <n v="0.87934060696575067"/>
    <n v="0.87934060696575067"/>
  </r>
  <r>
    <x v="7"/>
    <s v="XIV"/>
    <n v="7"/>
    <n v="257"/>
    <n v="5118"/>
    <s v="BRUNO SCUPINARI"/>
    <s v="XIV7BRUNO SCUPINARI"/>
    <d v="2021-03-01T00:00:00"/>
    <n v="131599.9"/>
    <s v="ATIVO"/>
    <n v="124610.55"/>
    <n v="0.94688939733236888"/>
    <n v="132210.54999999999"/>
    <n v="0.94251593386458199"/>
    <n v="0.80977541808152664"/>
    <n v="0.87934060696575067"/>
    <n v="0.87934060696575067"/>
  </r>
  <r>
    <x v="7"/>
    <s v="XIV"/>
    <n v="9"/>
    <n v="257"/>
    <n v="5108"/>
    <s v="VIVIANE HELENA DA SILVA ALMEIDA"/>
    <s v="XIV9VIVIANE HELENA DA SILVA ALMEIDA"/>
    <d v="2021-03-03T00:00:00"/>
    <n v="143312.4"/>
    <s v="ATIVO"/>
    <n v="138692.53"/>
    <n v="0.96776364082940491"/>
    <n v="144790.93"/>
    <n v="0.95788133966678712"/>
    <n v="0.90128645981848787"/>
    <n v="0.97871306652458867"/>
    <n v="0.97871306652458867"/>
  </r>
  <r>
    <x v="7"/>
    <s v="XIV"/>
    <n v="10"/>
    <n v="257"/>
    <n v="4769"/>
    <s v="GABRIELLA MIDORI UENO MAZETI"/>
    <s v="XIV10GABRIELLA MIDORI UENO MAZETI"/>
    <d v="2020-09-02T00:00:00"/>
    <n v="124080"/>
    <s v="ATIVO"/>
    <n v="113842.93000000001"/>
    <n v="0.91749621212121213"/>
    <n v="136512.9"/>
    <n v="0.83393532772360712"/>
    <n v="0.73980257880553435"/>
    <n v="0.8033566272274657"/>
    <n v="0.8033566272274657"/>
  </r>
  <r>
    <x v="7"/>
    <s v="XIV"/>
    <n v="11"/>
    <n v="257"/>
    <n v="4682"/>
    <s v="BRUNO BARBALHO SILVA"/>
    <s v="XIV11BRUNO BARBALHO SILVA"/>
    <d v="2020-08-07T00:00:00"/>
    <n v="119380"/>
    <s v="ATIVO"/>
    <n v="116722.44"/>
    <n v="0.97773864969006541"/>
    <n v="133391.69"/>
    <n v="0.87503531891679309"/>
    <n v="0.75851493032087502"/>
    <n v="0.82367649638111229"/>
    <n v="0.82367649638111229"/>
  </r>
  <r>
    <x v="7"/>
    <s v="XIV"/>
    <n v="12"/>
    <n v="257"/>
    <n v="4667"/>
    <s v="SIDNEY ROEDA GARDENGUE"/>
    <s v="XIV12SIDNEY ROEDA GARDENGUE"/>
    <d v="2020-08-07T00:00:00"/>
    <n v="122200"/>
    <s v="ATIVO"/>
    <n v="109126.44"/>
    <n v="0.89301505728314245"/>
    <n v="127485.35"/>
    <n v="0.85599200221829408"/>
    <n v="0.70915270476495473"/>
    <n v="0.77007372157182175"/>
    <n v="0.77007372157182175"/>
  </r>
  <r>
    <x v="7"/>
    <s v="XIV"/>
    <n v="14"/>
    <n v="257"/>
    <n v="4676"/>
    <s v="GUSTAVO SHINJI YAMASHIRO SATO"/>
    <s v="XIV14GUSTAVO SHINJI YAMASHIRO SATO"/>
    <d v="2020-08-12T00:00:00"/>
    <n v="117876"/>
    <s v="ATRASO"/>
    <n v="118633.65000000001"/>
    <n v="1.0064275170518173"/>
    <n v="131969.69"/>
    <n v="0.89894618984101582"/>
    <n v="0.77093483278331976"/>
    <n v="0.83716335252161578"/>
    <n v="0.83716335252161578"/>
  </r>
  <r>
    <x v="7"/>
    <s v="XIV"/>
    <n v="15"/>
    <n v="257"/>
    <n v="4784"/>
    <s v="MARCELO HENRIQUE PELEGRINI ROCHA"/>
    <s v="XIV15MARCELO HENRIQUE PELEGRINI ROCHA"/>
    <d v="2020-09-24T00:00:00"/>
    <n v="124080"/>
    <s v="ATIVO"/>
    <n v="119394.24000000001"/>
    <n v="0.96223597678916828"/>
    <n v="136972.76999999999"/>
    <n v="0.87166405410360037"/>
    <n v="0.77587748880432783"/>
    <n v="0.84253061614618108"/>
    <n v="0.84253061614618108"/>
  </r>
  <r>
    <x v="7"/>
    <s v="XIV"/>
    <n v="16"/>
    <n v="257"/>
    <n v="7135"/>
    <s v="NILTON CESAR GONCALVES CAMARGO"/>
    <s v="XIV16NILTON CESAR GONCALVES CAMARGO"/>
    <d v="2019-04-22T00:00:00"/>
    <n v="111971.39"/>
    <s v="ATIVO"/>
    <n v="92299.66"/>
    <n v="0.82431467538270276"/>
    <n v="140868.95000000001"/>
    <n v="0.65521649731896203"/>
    <n v="0.59980471770073052"/>
    <n v="0.65133200236362343"/>
    <n v="0.65133200236362343"/>
  </r>
  <r>
    <x v="7"/>
    <s v="XIV"/>
    <n v="17"/>
    <n v="257"/>
    <n v="4311"/>
    <s v="GABRIELLA MIDORI UENO MAZETI"/>
    <s v="XIV17GABRIELLA MIDORI UENO MAZETI"/>
    <d v="2020-06-01T00:00:00"/>
    <n v="124080"/>
    <s v="ATIVO"/>
    <n v="72905.070000000007"/>
    <n v="0.58756503868471954"/>
    <n v="127942.49"/>
    <n v="0.56982688081183974"/>
    <n v="0.47376994595973593"/>
    <n v="0.51446999074059574"/>
    <n v="0.51446999074059574"/>
  </r>
  <r>
    <x v="7"/>
    <s v="XIV"/>
    <n v="18"/>
    <n v="257"/>
    <n v="7102"/>
    <s v="APARECIDO FRANCESCHINI"/>
    <s v="XIV18APARECIDO FRANCESCHINI"/>
    <d v="2019-04-08T00:00:00"/>
    <n v="99530.91"/>
    <s v="INADIMPLENTE"/>
    <n v="103273.86"/>
    <n v="1.0376059055423084"/>
    <n v="127728.69"/>
    <n v="0.80854082195628874"/>
    <n v="0.67112000676020656"/>
    <n v="0.72877375740734596"/>
    <n v="0.72877375740734596"/>
  </r>
  <r>
    <x v="7"/>
    <s v="XIV"/>
    <n v="19"/>
    <n v="257"/>
    <n v="7243"/>
    <s v="WILSON LOPES DE SOUSA JUNIOR"/>
    <s v="XIV19WILSON LOPES DE SOUSA JUNIOR"/>
    <d v="2019-05-10T00:00:00"/>
    <n v="99531.16"/>
    <s v="ATIVO"/>
    <n v="105537.17"/>
    <n v="1.0603430121782966"/>
    <n v="128606.92"/>
    <n v="0.82061812848017823"/>
    <n v="0.68582801343779598"/>
    <n v="0.74474528140071294"/>
    <n v="0.74474528140071294"/>
  </r>
  <r>
    <x v="7"/>
    <s v="XIV"/>
    <n v="20"/>
    <n v="257"/>
    <n v="6814"/>
    <s v="MARCOS JOSE DE MOURA"/>
    <s v="XIV20MARCOS JOSE DE MOURA"/>
    <d v="2018-12-21T00:00:00"/>
    <n v="94000"/>
    <s v="ATIVO"/>
    <n v="13320.48"/>
    <n v="0.1417072340425532"/>
    <n v="95744.35"/>
    <n v="0.13912549408920735"/>
    <n v="8.6562472126530329E-2"/>
    <n v="9.3998774327495885E-2"/>
    <n v="9.3998774327495885E-2"/>
  </r>
  <r>
    <x v="7"/>
    <s v="XIV"/>
    <n v="21"/>
    <n v="257"/>
    <n v="6808"/>
    <s v="MARCOS JOSE DE MOURA"/>
    <s v="XIV21MARCOS JOSE DE MOURA"/>
    <d v="2018-12-21T00:00:00"/>
    <n v="94000"/>
    <s v="ATIVO"/>
    <n v="13320.48"/>
    <n v="0.1417072340425532"/>
    <n v="95745.14"/>
    <n v="0.13912434615480221"/>
    <n v="8.6562472126530329E-2"/>
    <n v="9.3998774327495885E-2"/>
    <n v="9.3998774327495885E-2"/>
  </r>
  <r>
    <x v="7"/>
    <s v="XIV"/>
    <n v="22"/>
    <n v="257"/>
    <n v="6834"/>
    <s v="JOAO BATISTA DA SILVA JUNIOR"/>
    <s v="XIV22JOAO BATISTA DA SILVA JUNIOR"/>
    <d v="2019-01-14T00:00:00"/>
    <n v="96632"/>
    <s v="ATIVO"/>
    <n v="63823.99"/>
    <n v="0.66048503601291497"/>
    <n v="125903.65000000001"/>
    <n v="0.50692724158513269"/>
    <n v="0.41475700240373847"/>
    <n v="0.45038743594002273"/>
    <n v="0.45038743594002273"/>
  </r>
  <r>
    <x v="7"/>
    <s v="XIV"/>
    <n v="23"/>
    <n v="261.19"/>
    <n v="3230"/>
    <s v="PATRICIA DE PAULA PADILHA"/>
    <s v="XIV23PATRICIA DE PAULA PADILHA"/>
    <d v="2019-11-04T00:00:00"/>
    <n v="101153.4"/>
    <s v="ATIVO"/>
    <n v="84909.55"/>
    <n v="0.83941370235701429"/>
    <n v="121925.29000000001"/>
    <n v="0.69640638131760846"/>
    <n v="0.5429288169740345"/>
    <n v="0.58957007683466001"/>
    <n v="0.58957007683466001"/>
  </r>
  <r>
    <x v="7"/>
    <s v="XIV"/>
    <n v="24"/>
    <n v="254.95"/>
    <n v="6777"/>
    <s v="WASHINGTON DE OLIVEIRA DRUMOND"/>
    <s v="XIV24WASHINGTON DE OLIVEIRA DRUMOND"/>
    <d v="2018-12-05T00:00:00"/>
    <n v="91068.14"/>
    <s v="ATIVO"/>
    <n v="62634.25"/>
    <n v="0.68777346281586516"/>
    <n v="118229.36"/>
    <n v="0.52976900154073403"/>
    <n v="0.41029834440720164"/>
    <n v="0.44554574904587613"/>
    <n v="0.44554574904587613"/>
  </r>
  <r>
    <x v="7"/>
    <s v="XIV"/>
    <n v="25"/>
    <n v="254.95"/>
    <n v="3135"/>
    <s v="EMERSON SOUZA DE ALMEIDA"/>
    <s v="XIV25EMERSON SOUZA DE ALMEIDA"/>
    <d v="2019-10-22T00:00:00"/>
    <n v="93800.35"/>
    <s v="ATIVO"/>
    <n v="93872.69"/>
    <n v="1.0007712124741539"/>
    <n v="115481.86"/>
    <n v="0.81287823039912932"/>
    <n v="0.61493207457661703"/>
    <n v="0.66775890157543727"/>
    <n v="0.66775890157543727"/>
  </r>
  <r>
    <x v="7"/>
    <s v="XIV"/>
    <n v="26"/>
    <n v="532.03"/>
    <n v="3101"/>
    <s v="ANDERSON FRANCO GIL"/>
    <s v="XIV26ANDERSON FRANCO GIL"/>
    <d v="2019-09-20T00:00:00"/>
    <n v="195802"/>
    <s v="ATIVO"/>
    <n v="174693.88"/>
    <n v="0.89219660677623314"/>
    <n v="239213.93"/>
    <n v="0.73028305667650717"/>
    <n v="0.54838361262720936"/>
    <n v="0.59549347635189998"/>
    <n v="0.59549347635189998"/>
  </r>
  <r>
    <x v="7"/>
    <s v="XVII"/>
    <n v="2"/>
    <n v="265.01"/>
    <n v="3227"/>
    <s v="BRUNO FERREIRA DA SILVA"/>
    <s v="XVII2BRUNO FERREIRA DA SILVA"/>
    <d v="2019-11-05T00:00:00"/>
    <n v="89300"/>
    <s v="ATIVO"/>
    <n v="76148.69"/>
    <n v="0.85272889137737962"/>
    <n v="108390.3"/>
    <n v="0.70254155584032885"/>
    <n v="0.47989151788589735"/>
    <n v="0.52111744712534047"/>
    <n v="0.52111744712534047"/>
  </r>
  <r>
    <x v="7"/>
    <s v="XVII"/>
    <n v="4"/>
    <n v="265.01"/>
    <n v="5093"/>
    <s v="IZABELA DE OLIVEIRA AMERICO"/>
    <s v="XVII4IZABELA DE OLIVEIRA AMERICO"/>
    <d v="2021-03-01T00:00:00"/>
    <n v="117453"/>
    <s v="ATIVO"/>
    <n v="113509.14"/>
    <n v="0.96642180276365863"/>
    <n v="118507.14"/>
    <n v="0.9578253259677012"/>
    <n v="0.71533828734969473"/>
    <n v="0.77679068756393399"/>
    <n v="0.77679068756393399"/>
  </r>
  <r>
    <x v="7"/>
    <s v="XVII"/>
    <n v="11"/>
    <n v="265.01"/>
    <m/>
    <s v="GUILHERME ROCHA HIDALGO MORENO"/>
    <s v="XVII11GUILHERME ROCHA HIDALGO MORENO"/>
    <d v="2019-02-18T00:00:00"/>
    <n v="76916.350000000006"/>
    <s v="ATRASO"/>
    <n v="67340.36"/>
    <n v="0.87550124258366391"/>
    <n v="100617.21"/>
    <n v="0.66927278146551661"/>
    <n v="0.4243811361086155"/>
    <n v="0.46083834786522776"/>
    <n v="0.46083834786522776"/>
  </r>
  <r>
    <x v="7"/>
    <s v="XVII"/>
    <n v="14"/>
    <n v="264.81"/>
    <n v="5050"/>
    <s v="JEFFERSON GONCALVES BUSONI"/>
    <s v="XVII14JEFFERSON GONCALVES BUSONI"/>
    <d v="2021-02-22T00:00:00"/>
    <n v="103635"/>
    <s v="ATIVO"/>
    <n v="99997.2"/>
    <n v="0.96489795918367349"/>
    <n v="105587.37"/>
    <n v="0.94705645192223276"/>
    <n v="0.63066155559188664"/>
    <n v="0.68483965146531711"/>
    <n v="0.68483965146531711"/>
  </r>
  <r>
    <x v="7"/>
    <s v="XVII"/>
    <n v="15"/>
    <n v="264.81"/>
    <n v="7016"/>
    <s v="WILSON ALESSANDRO DOS SANTOS"/>
    <s v="XVII15WILSON ALESSANDRO DOS SANTOS"/>
    <d v="2019-02-14T00:00:00"/>
    <n v="74676.42"/>
    <s v="ATIVO"/>
    <n v="68483.490000000005"/>
    <n v="0.91706980597088084"/>
    <n v="99302.87"/>
    <n v="0.68964260549569223"/>
    <n v="0.43191113686944654"/>
    <n v="0.46901522665363166"/>
    <n v="0.46901522665363166"/>
  </r>
  <r>
    <x v="7"/>
    <s v="XVII"/>
    <n v="16"/>
    <n v="264.81"/>
    <n v="3076"/>
    <s v="JUVENAL TENORIO DA ROCHA"/>
    <s v="XVII16JUVENAL TENORIO DA ROCHA"/>
    <d v="2019-09-02T00:00:00"/>
    <n v="73131.649999999994"/>
    <s v="ATIVO"/>
    <n v="71390.53"/>
    <n v="0.97619197707148686"/>
    <n v="90929.49"/>
    <n v="0.78511965700016573"/>
    <n v="0.450245233909842"/>
    <n v="0.48892434671295065"/>
    <n v="0.48892434671295065"/>
  </r>
  <r>
    <x v="7"/>
    <s v="XVII"/>
    <n v="17"/>
    <n v="372.89"/>
    <m/>
    <s v="PRISCILA JESSILYN DA ROCHA"/>
    <s v="XVII17PRISCILA JESSILYN DA ROCHA"/>
    <d v="2019-02-15T00:00:00"/>
    <n v="105154.98"/>
    <s v="ATIVO"/>
    <n v="79289.31"/>
    <n v="0.75402334725373921"/>
    <n v="131958.62"/>
    <n v="0.60086495296783193"/>
    <n v="0.35512136482749795"/>
    <n v="0.38562869348854312"/>
    <n v="0.38562869348854312"/>
  </r>
  <r>
    <x v="8"/>
    <s v="L"/>
    <n v="1"/>
    <n v="382.45"/>
    <n v="4973"/>
    <s v="SIDNEY RUFINO BELARDI"/>
    <s v="L1SIDNEY RUFINO BELARDI"/>
    <d v="2021-01-06T00:00:00"/>
    <n v="183300"/>
    <s v="ATIVO"/>
    <n v="162958.72"/>
    <n v="0.88902738679759952"/>
    <n v="186338.63"/>
    <n v="0.8745299887629312"/>
    <n v="0.711616220689678"/>
    <n v="0.83262835638103427"/>
    <n v="0.83262835638103427"/>
  </r>
  <r>
    <x v="8"/>
    <s v="L"/>
    <n v="2"/>
    <n v="255.91"/>
    <m/>
    <s v="GUILHERME NEVES BORGES"/>
    <s v="L2GUILHERME NEVES BORGES"/>
    <d v="2019-08-14T00:00:00"/>
    <n v="101520"/>
    <s v="ATIVO"/>
    <n v="102097.23"/>
    <n v="1.0056858747044917"/>
    <n v="125783.98"/>
    <n v="0.8116870685758234"/>
    <n v="0.66629967589611239"/>
    <n v="0.77960561868716127"/>
    <n v="0.77960561868716127"/>
  </r>
  <r>
    <x v="8"/>
    <s v="L"/>
    <n v="3"/>
    <n v="252.96"/>
    <n v="4213"/>
    <s v="VANESSA FRAGA DE ALMEIDA"/>
    <s v="L3VANESSA FRAGA DE ALMEIDA"/>
    <d v="2020-06-10T00:00:00"/>
    <n v="101520"/>
    <s v="ATIVO"/>
    <n v="100727.26000000001"/>
    <n v="0.99219129235618608"/>
    <n v="115702.63"/>
    <n v="0.87057018496468064"/>
    <n v="0.66502514599532492"/>
    <n v="0.77811435175760391"/>
    <n v="0.77811435175760391"/>
  </r>
  <r>
    <x v="8"/>
    <s v="L"/>
    <n v="5"/>
    <n v="266.76"/>
    <n v="3737"/>
    <s v="THIAGO RUFINO DE OLIVEIRA GOMES"/>
    <s v="L5THIAGO RUFINO DE OLIVEIRA GOMES"/>
    <d v="2020-02-03T00:00:00"/>
    <n v="101519.4"/>
    <s v="ATIVO"/>
    <n v="79062.400000000009"/>
    <n v="0.77879104880446504"/>
    <n v="116668.87"/>
    <n v="0.67766491609972745"/>
    <n v="0.49498516632954326"/>
    <n v="0.57915864407155793"/>
    <n v="0.57915864407155793"/>
  </r>
  <r>
    <x v="8"/>
    <s v="L"/>
    <n v="6"/>
    <n v="266.76"/>
    <n v="3818"/>
    <s v="ALEXANDRE MARTINS MOREIRA"/>
    <s v="L6ALEXANDRE MARTINS MOREIRA"/>
    <d v="2020-03-17T00:00:00"/>
    <n v="101520"/>
    <s v="ATIVO"/>
    <n v="79821.150000000009"/>
    <n v="0.78626034278959822"/>
    <n v="116926.71"/>
    <n v="0.68265967630492641"/>
    <n v="0.49973546476410308"/>
    <n v="0.58471674275297025"/>
    <n v="0.58471674275297025"/>
  </r>
  <r>
    <x v="8"/>
    <s v="L"/>
    <n v="7"/>
    <n v="266.76"/>
    <n v="3229"/>
    <s v="DIEGO RODRIGUES"/>
    <s v="L7DIEGO RODRIGUES"/>
    <d v="2019-11-04T00:00:00"/>
    <n v="101520"/>
    <s v="ATIVO"/>
    <n v="101303.14"/>
    <n v="0.99786386918833725"/>
    <n v="124937.08"/>
    <n v="0.8108332610302722"/>
    <n v="0.63422754182272489"/>
    <n v="0.74207953720847331"/>
    <n v="0.74207953720847331"/>
  </r>
  <r>
    <x v="8"/>
    <s v="L"/>
    <n v="8"/>
    <n v="266.76"/>
    <n v="3102"/>
    <s v="LUCIVANA DOS SANTOS"/>
    <s v="L8LUCIVANA DOS SANTOS"/>
    <d v="2019-09-27T00:00:00"/>
    <n v="101520"/>
    <s v="ATIVO"/>
    <n v="100091.77"/>
    <n v="0.98593154058313637"/>
    <n v="126625.01000000001"/>
    <n v="0.79045814093124256"/>
    <n v="0.62664352994177241"/>
    <n v="0.73320584495186381"/>
    <n v="0.73320584495186381"/>
  </r>
  <r>
    <x v="8"/>
    <s v="L"/>
    <n v="9"/>
    <n v="266.76"/>
    <n v="4186"/>
    <s v="MARCELLE ZACARIAS SILVA TOLENTINO BEZERRA"/>
    <s v="L9MARCELLE ZACARIAS SILVA TOLENTINO BEZERRA"/>
    <d v="2020-06-15T00:00:00"/>
    <n v="101520"/>
    <s v="ATIVO"/>
    <n v="90533.01"/>
    <n v="0.89177511820330968"/>
    <n v="114218.85"/>
    <n v="0.79262757417011287"/>
    <n v="0.56679909809421669"/>
    <n v="0.66318471631669151"/>
    <n v="0.66318471631669151"/>
  </r>
  <r>
    <x v="8"/>
    <s v="L"/>
    <n v="11"/>
    <n v="266.76"/>
    <n v="4678"/>
    <s v="ALEXANDRE CASSIO BENITES DA SILVA"/>
    <s v="L11ALEXANDRE CASSIO BENITES DA SILVA"/>
    <d v="2020-08-14T00:00:00"/>
    <n v="108100"/>
    <s v="ATIVO"/>
    <n v="107474.67"/>
    <n v="0.99421526364477331"/>
    <n v="120939.99"/>
    <n v="0.88866114508526084"/>
    <n v="0.6728655771411286"/>
    <n v="0.78728806802270279"/>
    <n v="0.78728806802270279"/>
  </r>
  <r>
    <x v="8"/>
    <s v="L"/>
    <n v="12"/>
    <n v="266.76"/>
    <n v="4395"/>
    <s v="THIAGO AUGUSTO RIGONI"/>
    <s v="L12THIAGO AUGUSTO RIGONI"/>
    <d v="2020-07-05T00:00:00"/>
    <n v="101520.1"/>
    <s v="ATIVO"/>
    <n v="82759.040000000008"/>
    <n v="0.81519856658927647"/>
    <n v="105817.72"/>
    <n v="0.78209056101378871"/>
    <n v="0.51812868290961722"/>
    <n v="0.60623777410075874"/>
    <n v="0.60623777410075874"/>
  </r>
  <r>
    <x v="8"/>
    <s v="L"/>
    <n v="15"/>
    <n v="266.76"/>
    <n v="4166"/>
    <s v="MARCIO MERINO DE  LIMA"/>
    <s v="L15MARCIO MERINO DE  LIMA"/>
    <d v="2020-06-10T00:00:00"/>
    <n v="101520"/>
    <s v="ATIVO"/>
    <n v="100679.92"/>
    <n v="0.99172498029944833"/>
    <n v="115748.36"/>
    <n v="0.8698172483826121"/>
    <n v="0.63032575468547758"/>
    <n v="0.73751424131360699"/>
    <n v="0.73751424131360699"/>
  </r>
  <r>
    <x v="8"/>
    <s v="LI"/>
    <n v="1"/>
    <n v="396.16"/>
    <n v="5073"/>
    <s v="VICTORIA FERNANDA LIMA MENDES"/>
    <s v="LI1VICTORIA FERNANDA LIMA MENDES"/>
    <d v="2021-03-01T00:00:00"/>
    <n v="218660.73"/>
    <s v="ATIVO"/>
    <n v="211571.23"/>
    <n v="0.9675776258498725"/>
    <n v="220875.91"/>
    <n v="0.95787372194640874"/>
    <n v="0.89192613011174182"/>
    <n v="1.0436004213176699"/>
    <n v="1.0436004213176699"/>
  </r>
  <r>
    <x v="8"/>
    <s v="LI"/>
    <n v="8"/>
    <n v="267.08"/>
    <n v="6793"/>
    <s v="PRISCILA GARCIA NEGRELI"/>
    <s v="LI8PRISCILA GARCIA NEGRELI"/>
    <d v="2018-12-05T00:00:00"/>
    <n v="125527.55"/>
    <s v="INADIMPLENTE"/>
    <n v="146021.46"/>
    <n v="1.1632622480085049"/>
    <n v="169705.94"/>
    <n v="0.8604381201977962"/>
    <n v="0.91309973827833324"/>
    <n v="1.0683746550321838"/>
    <n v="1.0683746550321838"/>
  </r>
  <r>
    <x v="8"/>
    <s v="LI"/>
    <n v="14"/>
    <n v="349"/>
    <n v="5004"/>
    <s v="ANDERSON BATISTA DA SILVA"/>
    <s v="LI14ANDERSON BATISTA DA SILVA"/>
    <d v="2021-01-20T00:00:00"/>
    <n v="182074.2"/>
    <s v="ATIVO"/>
    <n v="177393.99"/>
    <n v="0.97429504015395907"/>
    <n v="189342.01"/>
    <n v="0.9368971524069063"/>
    <n v="0.84889968920743886"/>
    <n v="0.99325722546365358"/>
    <n v="0.99325722546365358"/>
  </r>
  <r>
    <x v="8"/>
    <s v="XLIV"/>
    <n v="2"/>
    <n v="302.08"/>
    <n v="4808"/>
    <s v="GUILHERME SOUZA MIGUELETE"/>
    <s v="XLIV2GUILHERME SOUZA MIGUELETE"/>
    <d v="2020-10-07T00:00:00"/>
    <n v="147698.46"/>
    <s v="ATIVO"/>
    <n v="94542.430000000008"/>
    <n v="0.64010437211058269"/>
    <n v="158380.15"/>
    <n v="0.59693358037607624"/>
    <n v="0.52269420775220088"/>
    <n v="0.61157967797418789"/>
    <n v="0.61157967797418789"/>
  </r>
  <r>
    <x v="8"/>
    <s v="XLIV"/>
    <n v="3"/>
    <n v="302.08"/>
    <n v="3802"/>
    <s v="FABRICIO DELFINO DOS SANTOS"/>
    <s v="XLIV3FABRICIO DELFINO DOS SANTOS"/>
    <d v="2020-03-06T00:00:00"/>
    <n v="171000"/>
    <s v="ATIVO"/>
    <n v="82953.900000000009"/>
    <n v="0.48511052631578955"/>
    <n v="175905.77"/>
    <n v="0.47158146091512526"/>
    <n v="0.45862501144147977"/>
    <n v="0.5366153530081994"/>
    <n v="0.5366153530081994"/>
  </r>
  <r>
    <x v="8"/>
    <s v="XLIV"/>
    <n v="4"/>
    <n v="321.25"/>
    <n v="4266"/>
    <s v="NELSON LEITE DOS SANTOS FILHO"/>
    <s v="XLIV4NELSON LEITE DOS SANTOS FILHO"/>
    <d v="2020-06-19T00:00:00"/>
    <n v="172020"/>
    <s v="ATIVO"/>
    <n v="82318.040000000008"/>
    <n v="0.47853761190559241"/>
    <n v="185476.72"/>
    <n v="0.44381871751883473"/>
    <n v="0.42795172804647336"/>
    <n v="0.50072600029889536"/>
    <n v="0.50072600029889536"/>
  </r>
  <r>
    <x v="8"/>
    <s v="XLIV"/>
    <n v="5"/>
    <n v="302.08"/>
    <n v="3902"/>
    <s v="LEANDRO DA SILVA CREPALDI"/>
    <s v="XLIV5LEANDRO DA SILVA CREPALDI"/>
    <d v="2020-05-30T00:00:00"/>
    <n v="182360"/>
    <s v="ATIVO"/>
    <n v="193594.80000000002"/>
    <n v="1.0616078087299847"/>
    <n v="206560.23"/>
    <n v="0.93723172171138658"/>
    <n v="1.0703224003333296"/>
    <n v="1.2523334278744191"/>
    <n v="1.2523334278744191"/>
  </r>
  <r>
    <x v="8"/>
    <s v="XLIX"/>
    <n v="1"/>
    <n v="333.9"/>
    <n v="5001"/>
    <s v="JULIANO CEZAR GOUVEIA"/>
    <s v="XLIX1JULIANO CEZAR GOUVEIA"/>
    <d v="2021-01-15T00:00:00"/>
    <n v="169200"/>
    <s v="ATIVO"/>
    <n v="164751.42000000001"/>
    <n v="0.97370815602836891"/>
    <n v="176219.58000000002"/>
    <n v="0.93492119320679345"/>
    <n v="0.82405395265545578"/>
    <n v="0.9641864086569425"/>
    <n v="0.9641864086569425"/>
  </r>
  <r>
    <x v="8"/>
    <s v="XLIX"/>
    <n v="3"/>
    <n v="250.41"/>
    <n v="4839"/>
    <s v="PAULO MENDONÇA FELIX PESSOA"/>
    <s v="XLIX3PAULO MENDONÇA FELIX PESSOA"/>
    <d v="2020-10-19T00:00:00"/>
    <n v="126532.68"/>
    <s v="ATIVO"/>
    <n v="126145.45"/>
    <n v="0.99693968388245635"/>
    <n v="138401.76"/>
    <n v="0.91144397296681767"/>
    <n v="0.84132311583438957"/>
    <n v="0.98439223665200415"/>
    <n v="0.98439223665200415"/>
  </r>
  <r>
    <x v="8"/>
    <s v="XLIX"/>
    <n v="4"/>
    <n v="250.41"/>
    <n v="4520"/>
    <s v="AUGUSTO CESAR DA SILVA MOREIRA"/>
    <s v="XLIX4AUGUSTO CESAR DA SILVA MOREIRA"/>
    <d v="2020-07-06T00:00:00"/>
    <n v="108100"/>
    <s v="ATIVO"/>
    <n v="107506.06"/>
    <n v="0.99450564292321919"/>
    <n v="122141.40000000001"/>
    <n v="0.88017707345748442"/>
    <n v="0.71700828979783926"/>
    <n v="0.83893736046004475"/>
    <n v="0.83893736046004475"/>
  </r>
  <r>
    <x v="8"/>
    <s v="XLIX"/>
    <n v="5"/>
    <n v="256.73"/>
    <n v="7118"/>
    <s v="INGRID RODRIGUES PAULINO"/>
    <s v="XLIX5INGRID RODRIGUES PAULINO"/>
    <d v="2019-04-09T00:00:00"/>
    <n v="120554.72"/>
    <s v="ATIVO"/>
    <n v="127343.17"/>
    <n v="1.0563101137806965"/>
    <n v="159432.12"/>
    <n v="0.79872970390157272"/>
    <n v="0.82840351948828461"/>
    <n v="0.96927563031560249"/>
    <n v="0.96927563031560249"/>
  </r>
  <r>
    <x v="8"/>
    <s v="XLIX"/>
    <n v="6"/>
    <n v="256.73"/>
    <n v="4793"/>
    <s v="VALDEMIR RICCI"/>
    <s v="XLIX6VALDEMIR RICCI"/>
    <d v="2020-09-24T00:00:00"/>
    <n v="108100"/>
    <s v="ATIVO"/>
    <n v="56197.26"/>
    <n v="0.519863644773358"/>
    <n v="110787.2"/>
    <n v="0.50725408711475695"/>
    <n v="0.36557915096348081"/>
    <n v="0.42774680894554296"/>
    <n v="0.42774680894554296"/>
  </r>
  <r>
    <x v="8"/>
    <s v="XLIX"/>
    <n v="7"/>
    <n v="256.73"/>
    <n v="6872"/>
    <s v="RYANDER ALVES PEREIRA CRIVILIM"/>
    <s v="XLIX7RYANDER ALVES PEREIRA CRIVILIM"/>
    <d v="2019-01-17T00:00:00"/>
    <n v="104635.72"/>
    <s v="ATIVO"/>
    <n v="3186.92"/>
    <n v="3.0457285523528676E-2"/>
    <n v="107560.47"/>
    <n v="2.9629100728176438E-2"/>
    <n v="2.0731820515600515E-2"/>
    <n v="2.4257318957627644E-2"/>
    <n v="2.4257318957627644E-2"/>
  </r>
  <r>
    <x v="8"/>
    <s v="XLIX"/>
    <n v="8"/>
    <n v="256.73"/>
    <n v="5096"/>
    <s v="MICHELLI GUERMANI"/>
    <s v="XLIX8MICHELLI GUERMANI"/>
    <d v="2021-03-03T00:00:00"/>
    <n v="134177.16"/>
    <s v="ATIVO"/>
    <n v="92966.03"/>
    <n v="0.69286031989349006"/>
    <n v="134401.53"/>
    <n v="0.69170365843305504"/>
    <n v="0.60477045172390054"/>
    <n v="0.70761319453716454"/>
    <n v="0.70761319453716454"/>
  </r>
  <r>
    <x v="8"/>
    <s v="XLIX"/>
    <n v="9"/>
    <n v="256.73"/>
    <n v="3138"/>
    <s v="KARLA CAROLINA CARNIETTO TEODORO"/>
    <s v="XLIX9KARLA CAROLINA CARNIETTO TEODORO"/>
    <d v="2019-10-23T00:00:00"/>
    <n v="106220.55"/>
    <s v="ATIVO"/>
    <n v="38950.68"/>
    <n v="0.36669627487336487"/>
    <n v="127483.68000000001"/>
    <n v="0.30553463784540891"/>
    <n v="0.25338524554133479"/>
    <n v="0.29647404653285553"/>
    <n v="0.29647404653285553"/>
  </r>
  <r>
    <x v="8"/>
    <s v="XLIX"/>
    <n v="10"/>
    <n v="256.73"/>
    <n v="4521"/>
    <s v="FRANCISCO FERNANDES JUNIOR"/>
    <s v="XLIX10FRANCISCO FERNANDES JUNIOR"/>
    <d v="2020-07-17T00:00:00"/>
    <n v="103400"/>
    <s v="ATIVO"/>
    <n v="34716.660000000003"/>
    <n v="0.33575106382978726"/>
    <n v="105194.96"/>
    <n v="0.33002208470824079"/>
    <n v="0.22584174187652276"/>
    <n v="0.26424670050189947"/>
    <n v="0.26424670050189947"/>
  </r>
  <r>
    <x v="8"/>
    <s v="XLIX"/>
    <n v="11"/>
    <n v="256.73"/>
    <n v="4519"/>
    <s v="DOUGLAS DUARTE VIEIRA"/>
    <s v="XLIX11DOUGLAS DUARTE VIEIRA"/>
    <d v="2020-07-17T00:00:00"/>
    <n v="103400"/>
    <s v="ATIVO"/>
    <n v="46288.88"/>
    <n v="0.44766808510638295"/>
    <n v="105792.79000000001"/>
    <n v="0.43754286090762889"/>
    <n v="0.3011223225020303"/>
    <n v="0.35232893400253257"/>
    <n v="0.35232893400253257"/>
  </r>
  <r>
    <x v="8"/>
    <s v="XLIX"/>
    <n v="12"/>
    <n v="256.73"/>
    <n v="4581"/>
    <s v="CLEONILDO DA SILVA POGGIAN"/>
    <s v="XLIX12CLEONILDO DA SILVA POGGIAN"/>
    <d v="2020-07-22T00:00:00"/>
    <n v="101520"/>
    <s v="ATIVO"/>
    <n v="62069.24"/>
    <n v="0.61139913317572891"/>
    <n v="104736.45"/>
    <n v="0.59262310303624"/>
    <n v="0.40377805003568717"/>
    <n v="0.47244152728576183"/>
    <n v="0.47244152728576183"/>
  </r>
  <r>
    <x v="8"/>
    <s v="XLIX"/>
    <n v="13"/>
    <n v="256.73"/>
    <n v="3763"/>
    <s v="MARCELO NAVARRO MODESTO"/>
    <s v="XLIX13MARCELO NAVARRO MODESTO"/>
    <d v="2020-02-04T00:00:00"/>
    <n v="108099.75"/>
    <s v="ATIVO"/>
    <n v="95202.2"/>
    <n v="0.88068843822488019"/>
    <n v="126571.33"/>
    <n v="0.75216243678564487"/>
    <n v="0.61931737322879243"/>
    <n v="0.72463385678581782"/>
    <n v="0.72463385678581782"/>
  </r>
  <r>
    <x v="8"/>
    <s v="XLIX"/>
    <n v="14"/>
    <n v="256.73"/>
    <n v="4648"/>
    <s v="GUILHERME RODRIGUES SPOLADOR"/>
    <s v="XLIX14GUILHERME RODRIGUES SPOLADOR"/>
    <d v="2020-08-03T00:00:00"/>
    <n v="103399.8"/>
    <s v="ATIVO"/>
    <n v="4620.55"/>
    <n v="4.4686256646531232E-2"/>
    <n v="107006.43000000001"/>
    <n v="4.3180115437922745E-2"/>
    <n v="3.0057991190038647E-2"/>
    <n v="3.5169428510808683E-2"/>
    <n v="3.5169428510808683E-2"/>
  </r>
  <r>
    <x v="8"/>
    <s v="XLIX"/>
    <n v="15"/>
    <n v="256.73"/>
    <n v="4670"/>
    <s v="VINICIUS NOGUEIRA DE PAULA"/>
    <s v="XLIX15VINICIUS NOGUEIRA DE PAULA"/>
    <d v="2020-08-21T00:00:00"/>
    <n v="108100.6"/>
    <s v="ATIVO"/>
    <n v="96420.59"/>
    <n v="0.89195240359442951"/>
    <n v="119447.92"/>
    <n v="0.80721866065143699"/>
    <n v="0.62724334651899194"/>
    <n v="0.73390766185302503"/>
    <n v="0.73390766185302503"/>
  </r>
  <r>
    <x v="8"/>
    <s v="XLIX"/>
    <n v="16"/>
    <n v="256.73"/>
    <m/>
    <s v="WILLIAM EVANGELISTA TEODORO"/>
    <s v="XLIX16WILLIAM EVANGELISTA TEODORO"/>
    <d v="2019-08-14T00:00:00"/>
    <n v="108100"/>
    <s v="ATRASO"/>
    <n v="108711.35"/>
    <n v="1.0056554116558742"/>
    <n v="133222.83000000002"/>
    <n v="0.81601141486035078"/>
    <n v="0.70719823409706806"/>
    <n v="0.82745908000963131"/>
    <n v="0.82745908000963131"/>
  </r>
  <r>
    <x v="8"/>
    <s v="XLIX"/>
    <n v="17"/>
    <n v="256.73"/>
    <n v="4952"/>
    <s v="BRUNO HENRIQUE FAGUNDES DE SOUZA"/>
    <s v="XLIX17BRUNO HENRIQUE FAGUNDES DE SOUZA"/>
    <d v="2020-12-18T00:00:00"/>
    <n v="134176.66"/>
    <s v="ATIVO"/>
    <n v="89252.71"/>
    <n v="0.66518804388184949"/>
    <n v="136636.97"/>
    <n v="0.65321054762850794"/>
    <n v="0.58061424957355168"/>
    <n v="0.67934916919867538"/>
    <n v="0.67934916919867538"/>
  </r>
  <r>
    <x v="8"/>
    <s v="XLIX"/>
    <n v="26"/>
    <n v="263.97000000000003"/>
    <m/>
    <s v="MARCOS RIBEIRO MORGAN"/>
    <s v="XLIX26MARCOS RIBEIRO MORGAN"/>
    <d v="2019-06-20T00:00:00"/>
    <n v="117500"/>
    <s v="ATRASO"/>
    <n v="14087.15"/>
    <n v="0.11989063829787233"/>
    <n v="111154.86"/>
    <n v="0.12673444957782323"/>
    <n v="8.912744687584527E-2"/>
    <n v="0.10428379433053218"/>
    <n v="0.10428379433053218"/>
  </r>
  <r>
    <x v="8"/>
    <s v="XLIX"/>
    <n v="27"/>
    <n v="263.97000000000003"/>
    <n v="3786"/>
    <s v="MARCOS RIBEIRO MORGAN"/>
    <s v="XLIX27MARCOS RIBEIRO MORGAN"/>
    <d v="2020-02-06T00:00:00"/>
    <n v="117500"/>
    <s v="ATRASO"/>
    <n v="77108.5"/>
    <n v="0.65624255319148939"/>
    <n v="110381.96"/>
    <n v="0.69856070684013938"/>
    <n v="0.487854799404146"/>
    <n v="0.57081574024098858"/>
    <n v="0.57081574024098858"/>
  </r>
  <r>
    <x v="8"/>
    <s v="XLV"/>
    <n v="1"/>
    <n v="274.93"/>
    <n v="5088"/>
    <s v="HEVELIN MIKA MIYA"/>
    <s v="XLV1HEVELIN MIKA MIYA"/>
    <d v="2021-03-03T00:00:00"/>
    <n v="171834.46"/>
    <s v="ATIVO"/>
    <n v="146595.84"/>
    <n v="0.85312247613197034"/>
    <n v="172188.22"/>
    <n v="0.8513697394630132"/>
    <n v="0.89051740833153026"/>
    <n v="1.0419521428406577"/>
    <n v="1.0419521428406577"/>
  </r>
  <r>
    <x v="8"/>
    <s v="XLV"/>
    <n v="2"/>
    <n v="263.04000000000002"/>
    <n v="4993"/>
    <s v="RENATO ZANIN"/>
    <s v="XLV2RENATO ZANIN"/>
    <d v="2021-01-26T00:00:00"/>
    <n v="159471.6"/>
    <s v="ATIVO"/>
    <n v="154867.45000000001"/>
    <n v="0.97112871508155685"/>
    <n v="166081.91"/>
    <n v="0.93247633050462875"/>
    <n v="0.98328915906893632"/>
    <n v="1.1504999641090015"/>
    <n v="1.1504999641090015"/>
  </r>
  <r>
    <x v="8"/>
    <s v="XLV"/>
    <n v="3"/>
    <n v="268.16000000000003"/>
    <n v="5020"/>
    <s v="SILAS ODA"/>
    <s v="XLV3SILAS ODA"/>
    <d v="2021-02-09T00:00:00"/>
    <n v="164500.1"/>
    <s v="ATIVO"/>
    <n v="136264.6"/>
    <n v="0.82835572744332675"/>
    <n v="167369.92000000001"/>
    <n v="0.81415226822119524"/>
    <n v="0.84865651225826055"/>
    <n v="0.99297269566006419"/>
    <n v="0.99297269566006419"/>
  </r>
  <r>
    <x v="8"/>
    <s v="XLV"/>
    <n v="5"/>
    <n v="268.16000000000003"/>
    <n v="5122"/>
    <s v="LUIZ FERNANDO PORTELLO"/>
    <s v="XLV5LUIZ FERNANDO PORTELLO"/>
    <d v="2021-03-03T00:00:00"/>
    <n v="154160"/>
    <s v="ATIVO"/>
    <n v="33000"/>
    <n v="0.2140633108458744"/>
    <n v="154160"/>
    <n v="0.2140633108458744"/>
    <n v="0.20552414129952018"/>
    <n v="0.24047404062964348"/>
    <n v="0.24047404062964348"/>
  </r>
  <r>
    <x v="8"/>
    <s v="XLV"/>
    <n v="7"/>
    <n v="268.16000000000003"/>
    <n v="5094"/>
    <s v="JOSE MARCELO TEIXEIRA COSTA"/>
    <s v="XLV7JOSE MARCELO TEIXEIRA COSTA"/>
    <d v="2021-03-04T00:00:00"/>
    <n v="155100"/>
    <s v="ATIVO"/>
    <n v="110000"/>
    <n v="0.70921985815602839"/>
    <n v="155100"/>
    <n v="0.70921985815602839"/>
    <n v="0.68508047099840064"/>
    <n v="0.8015801354321449"/>
    <n v="0.8015801354321449"/>
  </r>
  <r>
    <x v="8"/>
    <s v="XLV"/>
    <n v="8"/>
    <n v="268.16000000000003"/>
    <n v="5117"/>
    <s v="ROBERTO HIROYUKI HIRAYAMA"/>
    <s v="XLV8ROBERTO HIROYUKI HIRAYAMA"/>
    <d v="2021-03-11T00:00:00"/>
    <n v="143726.1"/>
    <s v="ATIVO"/>
    <n v="107289"/>
    <n v="0.74648237167779541"/>
    <n v="143985"/>
    <n v="0.74514011876237107"/>
    <n v="0.66819635139043099"/>
    <n v="0.78182482863981262"/>
    <n v="0.78182482863981262"/>
  </r>
  <r>
    <x v="8"/>
    <s v="XLV"/>
    <n v="11"/>
    <n v="268.16000000000003"/>
    <n v="3819"/>
    <s v="ALEX CAETANO DA SILVA"/>
    <s v="XLV11ALEX CAETANO DA SILVA"/>
    <d v="2020-03-10T00:00:00"/>
    <n v="129815.67999999999"/>
    <s v="ATIVO"/>
    <n v="125364.38"/>
    <n v="0.96571061369474021"/>
    <n v="151826.12"/>
    <n v="0.82571022693591856"/>
    <n v="0.78076989542565889"/>
    <n v="0.91354178817060805"/>
    <n v="0.91354178817060805"/>
  </r>
  <r>
    <x v="8"/>
    <s v="XLV"/>
    <n v="12"/>
    <n v="268.16000000000003"/>
    <n v="4885"/>
    <s v="ANGELO MOZZAQUATRO"/>
    <s v="XLV12ANGELO MOZZAQUATRO"/>
    <d v="2020-11-12T00:00:00"/>
    <n v="137604.69"/>
    <s v="ATIVO"/>
    <n v="132708.62"/>
    <n v="0.96441930867327263"/>
    <n v="148293.07"/>
    <n v="0.8949077660877881"/>
    <n v="0.82650985359225237"/>
    <n v="0.96705994175102772"/>
    <n v="0.96705994175102772"/>
  </r>
  <r>
    <x v="8"/>
    <s v="XLV"/>
    <n v="13"/>
    <n v="268.16000000000003"/>
    <n v="5047"/>
    <s v="EDUARDO AKIRA HIROTA"/>
    <s v="XLV13EDUARDO AKIRA HIROTA"/>
    <d v="2021-02-08T00:00:00"/>
    <n v="138179.9"/>
    <s v="ATIVO"/>
    <n v="94228.540000000008"/>
    <n v="0.68192653200646414"/>
    <n v="138665.21"/>
    <n v="0.67953987882036171"/>
    <n v="0.5868557505881058"/>
    <n v="0.68665205322521172"/>
    <n v="0.68665205322521172"/>
  </r>
  <r>
    <x v="8"/>
    <s v="XLV"/>
    <n v="19"/>
    <n v="295.02999999999997"/>
    <n v="4867"/>
    <s v="MATHEUS ASTH DA SILVA"/>
    <s v="XLV19MATHEUS ASTH DA SILVA"/>
    <d v="2020-11-03T00:00:00"/>
    <n v="148519.79999999999"/>
    <s v="ATIVO"/>
    <n v="132170.57"/>
    <n v="0.88991885257049919"/>
    <n v="158952.4"/>
    <n v="0.83151037669138694"/>
    <n v="0.74818928298220833"/>
    <n v="0.87542076029073967"/>
    <n v="0.87542076029073967"/>
  </r>
  <r>
    <x v="8"/>
    <s v="XLVI"/>
    <n v="1"/>
    <n v="275.70999999999998"/>
    <n v="3149"/>
    <s v="ROBERTO LUIZ REYS LOPEZ"/>
    <s v="XLVI1ROBERTO LUIZ REYS LOPEZ"/>
    <d v="2019-10-23T00:00:00"/>
    <n v="194694.97"/>
    <s v="ATIVO"/>
    <n v="55401.96"/>
    <n v="0.28455773664825545"/>
    <n v="200899.80000000002"/>
    <n v="0.27576911475272747"/>
    <n v="0.33559502231308352"/>
    <n v="0.39266380348579977"/>
    <n v="0.39266380348579977"/>
  </r>
  <r>
    <x v="8"/>
    <s v="XLVI"/>
    <n v="2"/>
    <n v="275.70999999999998"/>
    <n v="4849"/>
    <s v="RENATO ZUNTINI MUNIZ MEIBORG"/>
    <s v="XLVI2RENATO ZUNTINI MUNIZ MEIBORG"/>
    <d v="2020-10-29T00:00:00"/>
    <n v="146640"/>
    <s v="ATIVO"/>
    <n v="105629.16"/>
    <n v="0.72032978723404262"/>
    <n v="150466.07"/>
    <n v="0.70201315153642274"/>
    <n v="0.63984415546150841"/>
    <n v="0.74865127018268129"/>
    <n v="0.74865127018268129"/>
  </r>
  <r>
    <x v="8"/>
    <s v="XLVI"/>
    <n v="3"/>
    <n v="252.75"/>
    <n v="4912"/>
    <s v="PEDRO LUIS ALVES DE OLIVEIRA"/>
    <s v="XLVI3PEDRO LUIS ALVES DE OLIVEIRA"/>
    <d v="2020-12-01T00:00:00"/>
    <n v="153043.28"/>
    <s v="ATIVO"/>
    <n v="150345.4"/>
    <n v="0.98237178398162917"/>
    <n v="162223.09"/>
    <n v="0.92678175468116164"/>
    <n v="0.9934405433576774"/>
    <n v="1.162377616935879"/>
    <n v="1.162377616935879"/>
  </r>
  <r>
    <x v="8"/>
    <s v="XLVI"/>
    <n v="4"/>
    <n v="252.75"/>
    <m/>
    <s v="PAULO MASSAYOSHI TANNO"/>
    <s v="XLVI4PAULO MASSAYOSHI TANNO"/>
    <d v="2019-02-18T00:00:00"/>
    <n v="136300"/>
    <s v="INADIMPLENTE"/>
    <n v="92827.09"/>
    <n v="0.68104981658107111"/>
    <n v="166666.05000000002"/>
    <n v="0.55696460076902277"/>
    <n v="0.6133755653841888"/>
    <n v="0.71768162950973136"/>
    <n v="0.71768162950973136"/>
  </r>
  <r>
    <x v="8"/>
    <s v="XLVI"/>
    <n v="5"/>
    <n v="252.75"/>
    <n v="4683"/>
    <s v="GIOVANNA NATALIE RIBEIRO DE CASTRO"/>
    <s v="XLVI5GIOVANNA NATALIE RIBEIRO DE CASTRO"/>
    <d v="2020-08-14T00:00:00"/>
    <n v="137240"/>
    <s v="ATIVO"/>
    <n v="139342.47"/>
    <n v="1.0153196589915476"/>
    <n v="153632.46"/>
    <n v="0.90698586743973253"/>
    <n v="0.92073624540292465"/>
    <n v="1.0773097694812028"/>
    <n v="1.0773097694812028"/>
  </r>
  <r>
    <x v="8"/>
    <s v="XLVI"/>
    <n v="6"/>
    <n v="252.75"/>
    <n v="4518"/>
    <s v="RAFAELA MAICHAK DE CARVALHO"/>
    <s v="XLVI6RAFAELA MAICHAK DE CARVALHO"/>
    <d v="2020-07-03T00:00:00"/>
    <n v="138604.53"/>
    <s v="ATIVO"/>
    <n v="105510.90000000001"/>
    <n v="0.76123702450417752"/>
    <n v="153757.09"/>
    <n v="0.68621811195828442"/>
    <n v="0.69718665038077376"/>
    <n v="0.81574500119564586"/>
    <n v="0.81574500119564586"/>
  </r>
  <r>
    <x v="8"/>
    <s v="XLVI"/>
    <n v="7"/>
    <n v="252.75"/>
    <n v="4878"/>
    <s v="JOAO BATISTA DE LIMA"/>
    <s v="XLVI7JOAO BATISTA DE LIMA"/>
    <d v="2020-11-27T00:00:00"/>
    <n v="141000"/>
    <s v="ATIVO"/>
    <n v="95866.26"/>
    <n v="0.67990255319148929"/>
    <n v="144438.51"/>
    <n v="0.66371676085553633"/>
    <n v="0.63345755456481123"/>
    <n v="0.74117861167255783"/>
    <n v="0.74117861167255783"/>
  </r>
  <r>
    <x v="8"/>
    <s v="XLVI"/>
    <n v="8"/>
    <n v="252.75"/>
    <n v="4879"/>
    <s v="JOAO BATISTA DE LIMA"/>
    <s v="XLVI8JOAO BATISTA DE LIMA"/>
    <d v="2020-11-27T00:00:00"/>
    <n v="141000"/>
    <s v="ATIVO"/>
    <n v="95866.26"/>
    <n v="0.67990255319148929"/>
    <n v="144438.51"/>
    <n v="0.66371676085553633"/>
    <n v="0.63345755456481123"/>
    <n v="0.74117861167255783"/>
    <n v="0.74117861167255783"/>
  </r>
  <r>
    <x v="8"/>
    <s v="XLVI"/>
    <n v="9"/>
    <n v="252.75"/>
    <n v="4880"/>
    <s v="JOAO BATISTA DE LIMA"/>
    <s v="XLVI9JOAO BATISTA DE LIMA"/>
    <d v="2020-11-27T00:00:00"/>
    <n v="141000"/>
    <s v="ATIVO"/>
    <n v="95866.26"/>
    <n v="0.67990255319148929"/>
    <n v="144438.51"/>
    <n v="0.66371676085553633"/>
    <n v="0.63345755456481123"/>
    <n v="0.74117861167255783"/>
    <n v="0.74117861167255783"/>
  </r>
  <r>
    <x v="8"/>
    <s v="XLVI"/>
    <n v="10"/>
    <n v="252.75"/>
    <n v="4882"/>
    <s v="JOAO BATISTA DE LIMA"/>
    <s v="XLVI10JOAO BATISTA DE LIMA"/>
    <d v="2020-11-27T00:00:00"/>
    <n v="141000"/>
    <s v="ATIVO"/>
    <n v="95866.26"/>
    <n v="0.67990255319148929"/>
    <n v="144438.51"/>
    <n v="0.66371676085553633"/>
    <n v="0.63345755456481123"/>
    <n v="0.74117861167255783"/>
    <n v="0.74117861167255783"/>
  </r>
  <r>
    <x v="8"/>
    <s v="XLVI"/>
    <n v="11"/>
    <n v="252.75"/>
    <n v="5003"/>
    <s v="ROBSON SAKAMOTO BATILANI"/>
    <s v="XLVI11ROBSON SAKAMOTO BATILANI"/>
    <d v="2021-01-19T00:00:00"/>
    <n v="159800"/>
    <s v="ATIVO"/>
    <n v="155691.53"/>
    <n v="0.97428992490613264"/>
    <n v="166190.98000000001"/>
    <n v="0.93682298521857199"/>
    <n v="1.028766281904123"/>
    <n v="1.2037105865460529"/>
    <n v="1.2037105865460529"/>
  </r>
  <r>
    <x v="8"/>
    <s v="XLVI"/>
    <n v="12"/>
    <n v="252.75"/>
    <n v="4977"/>
    <s v="ALESSANDRO LUIS LEITE"/>
    <s v="XLVI12ALESSANDRO LUIS LEITE"/>
    <d v="2021-01-12T00:00:00"/>
    <n v="160694.46"/>
    <s v="ATIVO"/>
    <n v="157618.30000000002"/>
    <n v="0.98085708741919309"/>
    <n v="167370.67000000001"/>
    <n v="0.94173190559612385"/>
    <n v="1.0414978416041556"/>
    <n v="1.2186071801297844"/>
    <n v="1.2186071801297844"/>
  </r>
  <r>
    <x v="8"/>
    <s v="XLVI"/>
    <n v="13"/>
    <n v="252.75"/>
    <n v="5008"/>
    <s v="ELIZEU ABEL TRINDADE"/>
    <s v="XLVI13ELIZEU ABEL TRINDADE"/>
    <d v="2021-02-01T00:00:00"/>
    <n v="155874.56"/>
    <s v="ATIVO"/>
    <n v="150640.34"/>
    <n v="0.96642030617440078"/>
    <n v="159084.16"/>
    <n v="0.94692230829266721"/>
    <n v="0.99538942475915637"/>
    <n v="1.1646579105420622"/>
    <n v="1.1646579105420622"/>
  </r>
  <r>
    <x v="8"/>
    <s v="XLVI"/>
    <n v="14"/>
    <n v="252.75"/>
    <n v="5044"/>
    <s v="RODRIGO CLIVATI SCERBO"/>
    <s v="XLVI14RODRIGO CLIVATI SCERBO"/>
    <d v="2021-02-11T00:00:00"/>
    <n v="160694.75"/>
    <s v="ATIVO"/>
    <n v="156086.04"/>
    <n v="0.9713200960205608"/>
    <n v="164215.37"/>
    <n v="0.95049592495513668"/>
    <n v="1.0313730941428749"/>
    <n v="1.2067606937901545"/>
    <n v="1.2067606937901545"/>
  </r>
  <r>
    <x v="8"/>
    <s v="XLVI"/>
    <n v="21"/>
    <n v="252.75"/>
    <n v="5046"/>
    <s v="RENAN CAMPANA MARTINS"/>
    <s v="XLVI21RENAN CAMPANA MARTINS"/>
    <d v="2021-02-18T00:00:00"/>
    <n v="156039.79999999999"/>
    <s v="ATIVO"/>
    <n v="147135.98000000001"/>
    <n v="0.94293878869365388"/>
    <n v="158912.48000000001"/>
    <n v="0.92589317088248824"/>
    <n v="0.97223358957882566"/>
    <n v="1.1375643671035174"/>
    <n v="1.1375643671035174"/>
  </r>
  <r>
    <x v="8"/>
    <s v="XLVI"/>
    <n v="22"/>
    <n v="252.75"/>
    <n v="5119"/>
    <s v="LUCAS DONIZETTI BUENO DE CAMARGO"/>
    <s v="XLVI22LUCAS DONIZETTI BUENO DE CAMARGO"/>
    <d v="2021-03-18T00:00:00"/>
    <n v="199751.74"/>
    <s v="ATIVO"/>
    <n v="194979.4"/>
    <n v="0.97610864365937444"/>
    <n v="200291.9"/>
    <n v="0.97347621146936048"/>
    <n v="1.2883695881586927"/>
    <n v="1.5074600907216817"/>
    <n v="1.5074600907216817"/>
  </r>
  <r>
    <x v="8"/>
    <s v="XLVII"/>
    <n v="1"/>
    <n v="351.33"/>
    <n v="5109"/>
    <s v="LAURA PEREIRA DE OLIVEIRA"/>
    <s v="XLVII1LAURA PEREIRA DE OLIVEIRA"/>
    <d v="2021-03-01T00:00:00"/>
    <n v="227157.61"/>
    <s v="ATIVO"/>
    <n v="219101.71"/>
    <n v="0.96453607695555521"/>
    <n v="228768.02000000002"/>
    <n v="0.95774623568451556"/>
    <n v="1.0415339498883072"/>
    <n v="1.2186494287188563"/>
    <n v="1.2186494287188563"/>
  </r>
  <r>
    <x v="8"/>
    <s v="XLVII"/>
    <n v="2"/>
    <n v="261.33999999999997"/>
    <n v="4829"/>
    <s v="ROMILDA PEREIRA PINHO"/>
    <s v="XLVII2ROMILDA PEREIRA PINHO"/>
    <d v="2020-10-09T00:00:00"/>
    <n v="143312.4"/>
    <s v="ATIVO"/>
    <n v="119478.75"/>
    <n v="0.83369443258224696"/>
    <n v="148424.18"/>
    <n v="0.80498170850598605"/>
    <n v="0.76353277305927969"/>
    <n v="0.89337344960920262"/>
    <n v="0.89337344960920262"/>
  </r>
  <r>
    <x v="8"/>
    <s v="XLVII"/>
    <n v="3"/>
    <n v="261.33999999999997"/>
    <n v="4830"/>
    <s v="ROMILDA PEREIRA PINHO"/>
    <s v="XLVII3ROMILDA PEREIRA PINHO"/>
    <d v="2020-10-09T00:00:00"/>
    <n v="143312.4"/>
    <s v="ATIVO"/>
    <n v="119478.75"/>
    <n v="0.83369443258224696"/>
    <n v="148422.16"/>
    <n v="0.80499266416820769"/>
    <n v="0.76353277305927969"/>
    <n v="0.89337344960920262"/>
    <n v="0.89337344960920262"/>
  </r>
  <r>
    <x v="8"/>
    <s v="XLVII"/>
    <n v="4"/>
    <n v="261.33999999999997"/>
    <n v="3738"/>
    <s v="NATANY CARDOZO RODRIGUES"/>
    <s v="XLVII4NATANY CARDOZO RODRIGUES"/>
    <d v="2020-02-03T00:00:00"/>
    <n v="151818.43"/>
    <s v="ATIVO"/>
    <n v="149449.34"/>
    <n v="0.98439524107843823"/>
    <n v="179748.27"/>
    <n v="0.83143687558161206"/>
    <n v="0.95506078697742591"/>
    <n v="1.117471286045582"/>
    <n v="1.117471286045582"/>
  </r>
  <r>
    <x v="8"/>
    <s v="XLVII"/>
    <n v="6"/>
    <n v="257.64"/>
    <n v="4783"/>
    <s v="LUIZ NOGUEIRA MONTEIRO NETTO"/>
    <s v="XLVII6LUIZ NOGUEIRA MONTEIRO NETTO"/>
    <d v="2020-09-25T00:00:00"/>
    <n v="143934.10999999999"/>
    <s v="ATIVO"/>
    <n v="63708.75"/>
    <n v="0.44262440640373574"/>
    <n v="146825.23000000001"/>
    <n v="0.43390873625738569"/>
    <n v="0.41297968912484878"/>
    <n v="0.4832079283430547"/>
    <n v="0.4832079283430547"/>
  </r>
  <r>
    <x v="8"/>
    <s v="XLVII"/>
    <n v="7"/>
    <n v="257.64"/>
    <n v="4886"/>
    <s v="DAVID CANDIDO DO NASCIMENTO"/>
    <s v="XLVII7DAVID CANDIDO DO NASCIMENTO"/>
    <d v="2020-11-18T00:00:00"/>
    <n v="158648.32999999999"/>
    <s v="ATIVO"/>
    <n v="119347.91"/>
    <n v="0.75227964895691002"/>
    <n v="158749.89000000001"/>
    <n v="0.75179837919887693"/>
    <n v="0.77364981685404965"/>
    <n v="0.90521092225437394"/>
    <n v="0.90521092225437394"/>
  </r>
  <r>
    <x v="8"/>
    <s v="XLVII"/>
    <n v="8"/>
    <n v="257.64"/>
    <n v="4912"/>
    <s v="FLAVIO GONCALVES DA COSTA"/>
    <s v="XLVII8FLAVIO GONCALVES DA COSTA"/>
    <d v="2020-12-01T00:00:00"/>
    <n v="155100.79999999999"/>
    <s v="ATIVO"/>
    <n v="107812.83"/>
    <n v="0.69511459644308737"/>
    <n v="164082.78"/>
    <n v="0.65706364799523753"/>
    <n v="0.6988758846637263"/>
    <n v="0.81772149403499428"/>
    <n v="0.81772149403499428"/>
  </r>
  <r>
    <x v="8"/>
    <s v="XLVII"/>
    <n v="9"/>
    <n v="257.64"/>
    <n v="2958"/>
    <s v="BRUNO CESAR BOZELLI"/>
    <s v="XLVII9BRUNO CESAR BOZELLI"/>
    <d v="2019-09-09T00:00:00"/>
    <n v="141000.6"/>
    <s v="ATIVO"/>
    <n v="133901.54"/>
    <n v="0.94965227098324401"/>
    <n v="174272.71"/>
    <n v="0.76834485445254175"/>
    <n v="0.86799091745699786"/>
    <n v="1.0155949652966771"/>
    <n v="1.0155949652966771"/>
  </r>
  <r>
    <x v="8"/>
    <s v="XLVII"/>
    <n v="10"/>
    <n v="311.27999999999997"/>
    <n v="4924"/>
    <s v="VANESSA VALERO MOREIRA"/>
    <s v="XLVII10VANESSA VALERO MOREIRA"/>
    <d v="2020-12-11T00:00:00"/>
    <n v="191677.63"/>
    <s v="ATIVO"/>
    <n v="89100.22"/>
    <n v="0.46484412395958774"/>
    <n v="202260.59"/>
    <n v="0.44052190295697252"/>
    <n v="0.47804684687654991"/>
    <n v="0.55933992061366056"/>
    <n v="0.55933992061366056"/>
  </r>
  <r>
    <x v="8"/>
    <s v="XLVII"/>
    <n v="19"/>
    <n v="253.57"/>
    <n v="4948"/>
    <s v="MARIANY SOUZA CARVALHO"/>
    <s v="XLVII19MARIANY SOUZA CARVALHO"/>
    <d v="2020-12-09T00:00:00"/>
    <n v="156141.54"/>
    <s v="ATIVO"/>
    <n v="153872.6"/>
    <n v="0.98546869718333763"/>
    <n v="165946.1"/>
    <n v="0.92724444864929034"/>
    <n v="1.0134593200957127"/>
    <n v="1.1858006372205978"/>
    <n v="1.1858006372205978"/>
  </r>
  <r>
    <x v="8"/>
    <s v="XLVII"/>
    <n v="20"/>
    <n v="253.57"/>
    <n v="4913"/>
    <s v="DANIEL REBOLO"/>
    <s v="XLVII20DANIEL REBOLO"/>
    <d v="2020-12-01T00:00:00"/>
    <n v="152280"/>
    <s v="ATIVO"/>
    <n v="141507.5"/>
    <n v="0.92925860257420545"/>
    <n v="161087.92000000001"/>
    <n v="0.87844886196308192"/>
    <n v="0.93201840183661067"/>
    <n v="1.0905104851123184"/>
    <n v="1.0905104851123184"/>
  </r>
  <r>
    <x v="8"/>
    <s v="XLVII"/>
    <n v="22"/>
    <n v="253.57"/>
    <n v="4739"/>
    <s v="KAUANA TORRES DE SOUSA"/>
    <s v="XLVII22KAUANA TORRES DE SOUSA"/>
    <d v="2020-08-19T00:00:00"/>
    <n v="147303.56"/>
    <s v="ATIVO"/>
    <n v="121034.34"/>
    <n v="0.82166608872182045"/>
    <n v="162076.48000000001"/>
    <n v="0.74677300494186438"/>
    <n v="0.79717493513876614"/>
    <n v="0.93273654632192138"/>
    <n v="0.93273654632192138"/>
  </r>
  <r>
    <x v="8"/>
    <s v="XLVII"/>
    <n v="23"/>
    <n v="251.38"/>
    <n v="4736"/>
    <s v="MARCO ANTONIO DE OLIVEIRA"/>
    <s v="XLVII23MARCO ANTONIO DE OLIVEIRA"/>
    <d v="2020-08-21T00:00:00"/>
    <n v="145700"/>
    <s v="ATIVO"/>
    <n v="144630.12"/>
    <n v="0.99265696636925183"/>
    <n v="162722.23999999999"/>
    <n v="0.8888159356705021"/>
    <n v="0.96088391638151671"/>
    <n v="1.1242846533125945"/>
    <n v="1.1242846533125945"/>
  </r>
  <r>
    <x v="8"/>
    <s v="XLVII"/>
    <n v="24"/>
    <n v="254.49"/>
    <n v="4671"/>
    <s v="SIMEIRE ANTONIELI DOS SANTOS FALEIROS"/>
    <s v="XLVII24SIMEIRE ANTONIELI DOS SANTOS FALEIROS"/>
    <d v="2020-08-14T00:00:00"/>
    <n v="140530.9"/>
    <s v="ATIVO"/>
    <n v="143133.9"/>
    <n v="1.0185226167341133"/>
    <n v="157779.51999999999"/>
    <n v="0.90717667286603487"/>
    <n v="0.9393224073316343"/>
    <n v="1.0990565551898464"/>
    <n v="1.0990565551898464"/>
  </r>
  <r>
    <x v="8"/>
    <s v="XLVII"/>
    <n v="25"/>
    <n v="254.49"/>
    <n v="4811"/>
    <s v="ARIEL LUCCHESI DELIBERADOR"/>
    <s v="XLVII25ARIEL LUCCHESI DELIBERADOR"/>
    <d v="2020-10-01T00:00:00"/>
    <n v="140999.6"/>
    <s v="ATIVO"/>
    <n v="133775.64000000001"/>
    <n v="0.94876609579034277"/>
    <n v="153896.37"/>
    <n v="0.8692579298654024"/>
    <n v="0.87790842146500647"/>
    <n v="1.0271989659103611"/>
    <n v="1.0271989659103611"/>
  </r>
  <r>
    <x v="8"/>
    <s v="XLVIII"/>
    <n v="3"/>
    <n v="254.31"/>
    <n v="3228"/>
    <s v="LUCCAS PACHECO SILVEIRA"/>
    <s v="XLVIII3LUCCAS PACHECO SILVEIRA"/>
    <d v="2019-11-08T00:00:00"/>
    <n v="122200"/>
    <s v="ATIVO"/>
    <n v="117151.62"/>
    <n v="0.95868756137479538"/>
    <n v="150336.26"/>
    <n v="0.77926389814406705"/>
    <n v="0.76935673512350811"/>
    <n v="0.9001877911323124"/>
    <n v="0.9001877911323124"/>
  </r>
  <r>
    <x v="8"/>
    <s v="XLVIII"/>
    <n v="4"/>
    <n v="254.31"/>
    <n v="7045"/>
    <s v="BRUNO ADRIANO DA SILVA"/>
    <s v="XLVIII4BRUNO ADRIANO DA SILVA"/>
    <d v="2019-03-08T00:00:00"/>
    <n v="121102.67"/>
    <s v="ATIVO"/>
    <n v="16299.54"/>
    <n v="0.13459273854160278"/>
    <n v="124983.57"/>
    <n v="0.13041346154538552"/>
    <n v="0.10704214656540836"/>
    <n v="0.12524493395031816"/>
    <n v="0.12524493395031816"/>
  </r>
  <r>
    <x v="8"/>
    <s v="XLVIII"/>
    <n v="6"/>
    <n v="256.60000000000002"/>
    <n v="3226"/>
    <s v="BRUNO FERREIRA DA SILVA"/>
    <s v="XLVIII6BRUNO FERREIRA DA SILVA"/>
    <d v="2019-11-05T00:00:00"/>
    <n v="122200"/>
    <s v="ATIVO"/>
    <n v="73407"/>
    <n v="0.60071194762684121"/>
    <n v="128451.5"/>
    <n v="0.57147639381400761"/>
    <n v="0.47777533211963674"/>
    <n v="0.5590222340865566"/>
    <n v="0.5590222340865566"/>
  </r>
  <r>
    <x v="8"/>
    <s v="XLVIII"/>
    <n v="7"/>
    <n v="256.60000000000002"/>
    <n v="3697"/>
    <s v="VAGNER RODRIGO CREPALDI"/>
    <s v="XLVIII7VAGNER RODRIGO CREPALDI"/>
    <d v="2020-01-14T00:00:00"/>
    <n v="135700"/>
    <s v="ATIVO"/>
    <n v="122837.92"/>
    <n v="0.90521680176860719"/>
    <n v="147965.16"/>
    <n v="0.83018137512911816"/>
    <n v="0.79950042945339495"/>
    <n v="0.93545749681836488"/>
    <n v="0.93545749681836488"/>
  </r>
  <r>
    <x v="8"/>
    <s v="XLVIII"/>
    <n v="8"/>
    <n v="256.60000000000002"/>
    <n v="6873"/>
    <s v="RAPHAEL AUGUSTO FERREIRA"/>
    <s v="XLVIII8RAPHAEL AUGUSTO FERREIRA"/>
    <d v="2019-01-22T00:00:00"/>
    <n v="127838.12"/>
    <s v="ATIVO"/>
    <n v="55196.04"/>
    <n v="0.43176511043810722"/>
    <n v="140240.11000000002"/>
    <n v="0.39358240663102728"/>
    <n v="0.35924784206804194"/>
    <n v="0.42033884498114543"/>
    <n v="0.42033884498114543"/>
  </r>
  <r>
    <x v="8"/>
    <s v="XLVIII"/>
    <n v="9"/>
    <n v="256.60000000000002"/>
    <m/>
    <s v="DERIQUE APARECIDO BORTHOLAZZI"/>
    <s v="XLVIII9DERIQUE APARECIDO BORTHOLAZZI"/>
    <d v="2019-08-01T00:00:00"/>
    <n v="122199.6"/>
    <s v="ATIVO"/>
    <n v="117091.15000000001"/>
    <n v="0.95819585334158219"/>
    <n v="152429.88"/>
    <n v="0.76816402400894102"/>
    <n v="0.76209711716212625"/>
    <n v="0.89169365680063373"/>
    <n v="0.89169365680063373"/>
  </r>
  <r>
    <x v="8"/>
    <s v="XLVIII"/>
    <n v="10"/>
    <n v="256.60000000000002"/>
    <n v="4947"/>
    <s v="DIEGO FRANCISCO PAES"/>
    <s v="XLVIII10DIEGO FRANCISCO PAES"/>
    <d v="2020-12-07T00:00:00"/>
    <n v="129532"/>
    <s v="ATIVO"/>
    <n v="92083.34"/>
    <n v="0.71089259796806958"/>
    <n v="132070.58000000002"/>
    <n v="0.69722825477104733"/>
    <n v="0.59933178513200958"/>
    <n v="0.7012496689546226"/>
    <n v="0.7012496689546226"/>
  </r>
  <r>
    <x v="8"/>
    <s v="XLVIII"/>
    <n v="11"/>
    <n v="256.60000000000002"/>
    <n v="3700"/>
    <s v="EMERSON FERREIRA DA CUNHA"/>
    <s v="XLVIII11EMERSON FERREIRA DA CUNHA"/>
    <d v="2020-01-09T00:00:00"/>
    <n v="122200.2"/>
    <s v="ATIVO"/>
    <n v="83224.69"/>
    <n v="0.6810519950049182"/>
    <n v="141927.23000000001"/>
    <n v="0.586389870358211"/>
    <n v="0.54167455290781275"/>
    <n v="0.63378767876307585"/>
    <n v="0.63378767876307585"/>
  </r>
  <r>
    <x v="8"/>
    <s v="XLVIII"/>
    <n v="12"/>
    <n v="256.60000000000002"/>
    <n v="4951"/>
    <s v="JOAO HENRIQUE ALVES"/>
    <s v="XLVIII12JOAO HENRIQUE ALVES"/>
    <d v="2020-12-14T00:00:00"/>
    <n v="130567.98"/>
    <s v="ATIVO"/>
    <n v="79786.5"/>
    <n v="0.61107248499976796"/>
    <n v="132791.69"/>
    <n v="0.60083955554748947"/>
    <n v="0.51929681823481955"/>
    <n v="0.60760455378842682"/>
    <n v="0.60760455378842682"/>
  </r>
  <r>
    <x v="8"/>
    <s v="XLVIII"/>
    <n v="13"/>
    <n v="256.60000000000002"/>
    <n v="6788"/>
    <s v="ANTONIO DONIZETI GARCIA"/>
    <s v="XLVIII13ANTONIO DONIZETI GARCIA"/>
    <d v="2018-12-05T00:00:00"/>
    <n v="122668.19"/>
    <s v="ATIVO"/>
    <n v="108701.42"/>
    <n v="0.88614187590116067"/>
    <n v="162584.49"/>
    <n v="0.66858419274802905"/>
    <n v="0.70749188827191034"/>
    <n v="0.82780267081860182"/>
    <n v="0.82780267081860182"/>
  </r>
  <r>
    <x v="8"/>
    <s v="XLVIII"/>
    <n v="14"/>
    <n v="256.60000000000002"/>
    <n v="6789"/>
    <s v="AILTON HORACIO GARCIA"/>
    <s v="XLVIII14AILTON HORACIO GARCIA"/>
    <d v="2018-12-05T00:00:00"/>
    <n v="122668.19"/>
    <s v="ATIVO"/>
    <n v="108701.42"/>
    <n v="0.88614187590116067"/>
    <n v="162537.75"/>
    <n v="0.66877645347004"/>
    <n v="0.70749188827191034"/>
    <n v="0.82780267081860182"/>
    <n v="0.82780267081860182"/>
  </r>
  <r>
    <x v="8"/>
    <s v="XLVIII"/>
    <n v="15"/>
    <n v="256.60000000000002"/>
    <n v="4938"/>
    <s v="ANDERSON NOVAES CORDEIRO"/>
    <s v="XLVIII15ANDERSON NOVAES CORDEIRO"/>
    <d v="2020-12-11T00:00:00"/>
    <n v="129532"/>
    <s v="ATIVO"/>
    <n v="83252.680000000008"/>
    <n v="0.6427190192384894"/>
    <n v="131827.46"/>
    <n v="0.63152760433979394"/>
    <n v="0.54185672806203555"/>
    <n v="0.63400083326240264"/>
    <n v="0.63400083326240264"/>
  </r>
  <r>
    <x v="8"/>
    <s v="XLVIII"/>
    <n v="16"/>
    <n v="256.60000000000002"/>
    <n v="4868"/>
    <s v="CARLOS HENRIQUE ANDRADE BARBOSA"/>
    <s v="XLVIII16CARLOS HENRIQUE ANDRADE BARBOSA"/>
    <d v="2020-11-12T00:00:00"/>
    <n v="129532.6"/>
    <s v="ATIVO"/>
    <n v="125500.32"/>
    <n v="0.96887053915385013"/>
    <n v="139328.41"/>
    <n v="0.90075182800119524"/>
    <n v="0.81682887284755801"/>
    <n v="0.9557326857789824"/>
    <n v="0.9557326857789824"/>
  </r>
  <r>
    <x v="8"/>
    <s v="XLVIII"/>
    <n v="17"/>
    <n v="256.60000000000002"/>
    <n v="4950"/>
    <s v="RONALDO ALEXANDRE FERIATO"/>
    <s v="XLVIII17RONALDO ALEXANDRE FERIATO"/>
    <d v="2020-12-09T00:00:00"/>
    <n v="129532"/>
    <s v="ATIVO"/>
    <n v="128426.22"/>
    <n v="0.99146326776395022"/>
    <n v="137343.76999999999"/>
    <n v="0.93507131775980823"/>
    <n v="0.83587232707193504"/>
    <n v="0.97801452749317663"/>
    <n v="0.97801452749317663"/>
  </r>
  <r>
    <x v="8"/>
    <s v="XLVIII"/>
    <n v="18"/>
    <n v="256.60000000000002"/>
    <n v="4848"/>
    <s v="ADRIANO RODRIGO MOLEIRO"/>
    <s v="XLVIII18ADRIANO RODRIGO MOLEIRO"/>
    <s v="28/102020"/>
    <n v="129531.9"/>
    <s v="ATIVO"/>
    <n v="88872.35"/>
    <n v="0.686103963579628"/>
    <n v="133311.11000000002"/>
    <n v="0.66665373951203311"/>
    <n v="0.57843279983520102"/>
    <n v="0.6767967584225264"/>
    <n v="0.6767967584225264"/>
  </r>
  <r>
    <x v="8"/>
    <s v="XLVIII"/>
    <n v="19"/>
    <n v="330.17"/>
    <n v="4974"/>
    <s v="MARCELO MIRANDA FERREIRA"/>
    <s v="XLVIII19MARCELO MIRANDA FERREIRA"/>
    <d v="2021-01-14T00:00:00"/>
    <n v="188570.43"/>
    <s v="ATIVO"/>
    <n v="173789.28"/>
    <n v="0.92161469855056277"/>
    <n v="195961"/>
    <n v="0.88685646633768966"/>
    <n v="0.87907974526206745"/>
    <n v="1.0285694762775808"/>
    <n v="1.0285694762775808"/>
  </r>
  <r>
    <x v="8"/>
    <s v="XLVIII"/>
    <n v="21"/>
    <n v="250.07"/>
    <n v="4680"/>
    <s v="RODOLFO ALEXANDRE HILDEBRANDT"/>
    <s v="XLVIII21RODOLFO ALEXANDRE HILDEBRANDT"/>
    <d v="2020-08-07T00:00:00"/>
    <n v="126507.02"/>
    <s v="ATIVO"/>
    <n v="128755.48"/>
    <n v="1.0177734010333972"/>
    <n v="141580.47"/>
    <n v="0.90941554297707861"/>
    <n v="0.85989817566586335"/>
    <n v="1.0061260323237358"/>
    <n v="1.0061260323237358"/>
  </r>
  <r>
    <x v="8"/>
    <s v="XLVIII"/>
    <n v="31"/>
    <n v="250.07"/>
    <n v="5014"/>
    <s v="RAFAEL STELLATO LIU"/>
    <s v="XLVIII31RAFAEL STELLATO LIU"/>
    <d v="2021-02-03T00:00:00"/>
    <n v="148211.69"/>
    <s v="ATIVO"/>
    <n v="143460.26"/>
    <n v="0.96794159758923204"/>
    <n v="151454.07"/>
    <n v="0.94721957620551234"/>
    <n v="0.95810458595277215"/>
    <n v="1.1210326907245545"/>
    <n v="1.1210326907245545"/>
  </r>
  <r>
    <x v="8"/>
    <s v="XLVIII"/>
    <n v="32"/>
    <n v="250.07"/>
    <n v="5125"/>
    <s v="GISELE MIYUKI KAWABATA"/>
    <s v="XLVIII32GISELE MIYUKI KAWABATA"/>
    <d v="2021-03-25T00:00:00"/>
    <n v="150000"/>
    <s v="ATIVO"/>
    <n v="153300"/>
    <n v="1.022"/>
    <n v="153300"/>
    <n v="1"/>
    <n v="1.0238196489157343"/>
    <n v="1.1979227661240415"/>
    <n v="1.1979227661240415"/>
  </r>
  <r>
    <x v="8"/>
    <s v="XLVIII"/>
    <n v="33"/>
    <n v="250.07"/>
    <n v="4862"/>
    <s v="RAUL RANGEL DE OLIVEIRA"/>
    <s v="XLVIII33RAUL RANGEL DE OLIVEIRA"/>
    <d v="2020-11-06T00:00:00"/>
    <n v="131599.9"/>
    <s v="ATIVO"/>
    <n v="37309.950000000004"/>
    <n v="0.28351047379215338"/>
    <n v="132938.58000000002"/>
    <n v="0.28065554784773539"/>
    <n v="0.24917586373166084"/>
    <n v="0.29154884871460984"/>
    <n v="0.29154884871460984"/>
  </r>
  <r>
    <x v="8"/>
    <s v="XLVIII"/>
    <n v="36"/>
    <n v="254.95"/>
    <n v="5124"/>
    <s v="RENATA PACHECO ABREU"/>
    <s v="XLVIII36RENATA PACHECO ABREU"/>
    <d v="2021-03-01T00:00:00"/>
    <n v="151104.97"/>
    <s v="ATIVO"/>
    <n v="146206.03"/>
    <n v="0.96757922654694939"/>
    <n v="152636.01999999999"/>
    <n v="0.95787370504026514"/>
    <n v="0.9577522210507774"/>
    <n v="1.1206204052809905"/>
    <n v="1.12062040528099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14EB3B-3DB4-4544-98D9-792A3F9FA198}" name="Tabela dinâmica5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51:D61" firstHeaderRow="1" firstDataRow="2" firstDataCol="1"/>
  <pivotFields count="10">
    <pivotField axis="axisRow" showAll="0">
      <items count="9">
        <item x="5"/>
        <item x="2"/>
        <item x="0"/>
        <item x="1"/>
        <item x="4"/>
        <item x="3"/>
        <item x="7"/>
        <item x="6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numFmtId="1" showAll="0"/>
    <pivotField showAll="0"/>
    <pivotField showAll="0"/>
    <pivotField dataField="1" numFmtId="43" showAll="0"/>
    <pivotField numFmtId="9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oma de SALDO DEVEDOR" fld="8" baseField="0" baseItem="0" numFmtId="43"/>
  </dataFields>
  <formats count="1">
    <format dxfId="7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063A3C-A3AA-479E-9038-8A307EB397C6}" name="Tabela dinâmica3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29:B38" firstHeaderRow="1" firstDataRow="1" firstDataCol="1" rowPageCount="1" colPageCount="1"/>
  <pivotFields count="11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43" showAll="0"/>
    <pivotField axis="axisPage" multipleItemSelectionAllowed="1" showAll="0">
      <items count="4">
        <item x="0"/>
        <item x="2"/>
        <item x="1"/>
        <item t="default"/>
      </items>
    </pivotField>
    <pivotField numFmtId="43" showAll="0"/>
    <pivotField numFmtId="9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8" hier="-1"/>
  </pageFields>
  <dataFields count="1">
    <dataField name="Soma de VALOR DO CONTRATO" fld="7" baseField="0" baseItem="0"/>
  </dataFields>
  <formats count="1">
    <format dxfId="7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2D010B-119C-480B-A6C5-BDF3DC62AF44}" name="Tabela dinâmica2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6:B25" firstHeaderRow="1" firstDataRow="1" firstDataCol="1" rowPageCount="1" colPageCount="1"/>
  <pivotFields count="11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numFmtId="43" showAll="0"/>
    <pivotField axis="axisPage" multipleItemSelectionAllowed="1" showAll="0">
      <items count="4">
        <item x="0"/>
        <item x="2"/>
        <item x="1"/>
        <item t="default"/>
      </items>
    </pivotField>
    <pivotField dataField="1" numFmtId="43" showAll="0"/>
    <pivotField numFmtId="9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8" hier="-1"/>
  </pageFields>
  <dataFields count="1">
    <dataField name="Soma de SALDO DEVEDOR" fld="9" baseField="0" baseItem="0" numFmtId="43"/>
  </dataFields>
  <formats count="1">
    <format dxfId="7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209088-0603-48E5-9BE4-D4C378169DDD}" name="Tabela dinâ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2" firstHeaderRow="1" firstDataRow="1" firstDataCol="1" rowPageCount="1" colPageCount="1"/>
  <pivotFields count="11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numFmtId="43" showAll="0"/>
    <pivotField axis="axisPage" multipleItemSelectionAllowed="1" showAll="0">
      <items count="4">
        <item x="0"/>
        <item x="2"/>
        <item x="1"/>
        <item t="default"/>
      </items>
    </pivotField>
    <pivotField dataField="1" numFmtId="43" showAll="0"/>
    <pivotField numFmtId="9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8" hier="-1"/>
  </pageFields>
  <dataFields count="1">
    <dataField name="Contagem de SALDO DEVEDOR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93942E-73D1-4028-A656-0302EC5337B8}" name="Tabela dinâmica4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0:B49" firstHeaderRow="1" firstDataRow="1" firstDataCol="1"/>
  <pivotFields count="10">
    <pivotField axis="axisRow" showAll="0">
      <items count="9">
        <item x="5"/>
        <item x="2"/>
        <item x="0"/>
        <item x="1"/>
        <item x="4"/>
        <item x="3"/>
        <item x="7"/>
        <item x="6"/>
        <item t="default"/>
      </items>
    </pivotField>
    <pivotField showAll="0"/>
    <pivotField showAll="0"/>
    <pivotField showAll="0"/>
    <pivotField showAll="0"/>
    <pivotField numFmtId="1" showAll="0"/>
    <pivotField showAll="0"/>
    <pivotField dataField="1" showAll="0"/>
    <pivotField numFmtId="43" showAll="0"/>
    <pivotField numFmtId="9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a de VALOR EM ATRASO" fld="7" baseField="0" baseItem="0" numFmtId="43"/>
  </dataFields>
  <formats count="1">
    <format dxfId="7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4BB381-421C-4416-9BDA-4122ECC2C3D4}" name="Tabela dinâmica1" cacheId="1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Z24:AB32" firstHeaderRow="0" firstDataRow="1" firstDataCol="1"/>
  <pivotFields count="8">
    <pivotField axis="axisRow" showAll="0">
      <items count="8">
        <item x="1"/>
        <item x="0"/>
        <item x="2"/>
        <item x="4"/>
        <item x="3"/>
        <item x="6"/>
        <item x="5"/>
        <item t="default"/>
      </items>
    </pivotField>
    <pivotField showAll="0"/>
    <pivotField showAll="0"/>
    <pivotField dataField="1" numFmtId="43" showAll="0"/>
    <pivotField showAll="0"/>
    <pivotField showAll="0"/>
    <pivotField numFmtId="14" showAll="0"/>
    <pivotField dataField="1" numFmtId="43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VALOR DO CONTRATO" fld="7" subtotal="average" baseField="0" baseItem="0" numFmtId="43"/>
    <dataField name="Média de METRAGEM" fld="3" subtotal="average" baseField="0" baseItem="0"/>
  </dataFields>
  <formats count="4">
    <format dxfId="7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5D73C5-F78F-4A61-A003-69B7EDAFB18B}" name="Tabela dinâmica1" cacheId="22" applyNumberFormats="0" applyBorderFormats="0" applyFontFormats="0" applyPatternFormats="0" applyAlignmentFormats="0" applyWidthHeightFormats="1" dataCaption="Valores" updatedVersion="6" minRefreshableVersion="3" useAutoFormatting="1" itemPrintTitles="1" createdVersion="4" indent="0" outline="1" outlineData="1" multipleFieldFilters="0">
  <location ref="A527:D537" firstHeaderRow="0" firstDataRow="1" firstDataCol="1"/>
  <pivotFields count="17">
    <pivotField axis="axisRow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numFmtId="10" showAll="0"/>
    <pivotField dataField="1" numFmtId="43" showAll="0"/>
    <pivotField numFmtId="10" showAll="0"/>
    <pivotField numFmtId="10" showAll="0"/>
    <pivotField numFmtId="10" showAll="0"/>
    <pivotField numFmtId="10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SALDO DEVEDOR" fld="10" baseField="0" baseItem="0"/>
    <dataField name="Soma de VALOR COMPRA ATUALIZADO" fld="12" baseField="0" baseItem="0" numFmtId="43"/>
    <dataField name="Média de LTV Compra" fld="11" subtotal="average" baseField="0" baseItem="2"/>
  </dataFields>
  <formats count="1">
    <format dxfId="6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1000000}" name="Tabela dinâmica2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25:F35" firstHeaderRow="1" firstDataRow="2" firstDataCol="1"/>
  <pivotFields count="10">
    <pivotField axis="axisRow" showAll="0">
      <items count="9">
        <item x="5"/>
        <item x="0"/>
        <item x="1"/>
        <item x="2"/>
        <item x="4"/>
        <item x="3"/>
        <item x="7"/>
        <item x="6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x="3"/>
        <item x="2"/>
        <item x="1"/>
        <item x="0"/>
        <item t="default"/>
      </items>
    </pivotField>
    <pivotField dataField="1" showAll="0"/>
    <pivotField numFmtId="43" showAll="0"/>
    <pivotField numFmtId="9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oma de VALOR EM ATRASO" fld="7" baseField="0" baseItem="0" numFmtId="44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ela dinâmica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I12" firstHeaderRow="1" firstDataRow="3" firstDataCol="1"/>
  <pivotFields count="11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numFmtId="43" showAll="0"/>
    <pivotField showAll="0"/>
    <pivotField dataField="1" showAll="0"/>
    <pivotField numFmtId="14" showAll="0"/>
    <pivotField numFmtId="43" showAll="0"/>
    <pivotField axis="axisCol" showAll="0">
      <items count="4">
        <item x="0"/>
        <item x="2"/>
        <item x="1"/>
        <item t="default"/>
      </items>
    </pivotField>
    <pivotField dataField="1" numFmtId="43" showAll="0"/>
    <pivotField numFmtId="9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8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Contagem de CLIENTE" fld="5" subtotal="count" baseField="0" baseItem="0"/>
    <dataField name="Soma de SALDO DEVEDOR" fld="9" baseField="0" baseItem="0"/>
  </dataFields>
  <formats count="2">
    <format dxfId="6">
      <pivotArea outline="0" collapsedLevelsAreSubtotals="1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format>
    <format dxfId="5">
      <pivotArea outline="0" collapsedLevelsAreSubtotals="1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3000000}" name="Tabela dinâmica5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52:F62" firstHeaderRow="1" firstDataRow="2" firstDataCol="1"/>
  <pivotFields count="10">
    <pivotField axis="axisRow" showAll="0">
      <items count="9">
        <item x="5"/>
        <item x="0"/>
        <item x="1"/>
        <item x="2"/>
        <item x="4"/>
        <item x="3"/>
        <item x="7"/>
        <item x="6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axis="axisCol" showAll="0">
      <items count="5">
        <item x="3"/>
        <item x="2"/>
        <item x="1"/>
        <item x="0"/>
        <item t="default"/>
      </items>
    </pivotField>
    <pivotField showAll="0"/>
    <pivotField dataField="1" numFmtId="43" showAll="0"/>
    <pivotField numFmtId="9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oma de SALDO DEVEDOR" fld="8" baseField="0" baseItem="0" numFmtId="4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2000000}" name="Tabela dinâmica4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8:F48" firstHeaderRow="1" firstDataRow="2" firstDataCol="1"/>
  <pivotFields count="10">
    <pivotField axis="axisRow" showAll="0">
      <items count="9">
        <item x="5"/>
        <item x="0"/>
        <item x="1"/>
        <item x="2"/>
        <item x="4"/>
        <item x="3"/>
        <item x="7"/>
        <item x="6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5">
        <item x="3"/>
        <item x="2"/>
        <item x="1"/>
        <item x="0"/>
        <item t="default"/>
      </items>
    </pivotField>
    <pivotField showAll="0"/>
    <pivotField numFmtId="43" showAll="0"/>
    <pivotField numFmtId="9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ntagem de CLIENTE" fld="3" subtotal="count" baseField="0" baseItem="0"/>
  </dataFields>
  <formats count="6">
    <format dxfId="13">
      <pivotArea outline="0" collapsedLevelsAreSubtotals="1" fieldPosition="0"/>
    </format>
    <format dxfId="12">
      <pivotArea dataOnly="0" labelOnly="1" fieldPosition="0">
        <references count="1">
          <reference field="6" count="0"/>
        </references>
      </pivotArea>
    </format>
    <format dxfId="11">
      <pivotArea dataOnly="0" labelOnly="1" grandCol="1" outline="0" fieldPosition="0"/>
    </format>
    <format dxfId="10">
      <pivotArea outline="0" collapsedLevelsAreSubtotals="1" fieldPosition="0"/>
    </format>
    <format dxfId="9">
      <pivotArea dataOnly="0" labelOnly="1" fieldPosition="0">
        <references count="1">
          <reference field="6" count="0"/>
        </references>
      </pivotArea>
    </format>
    <format dxfId="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7:D13" totalsRowShown="0" headerRowDxfId="79" dataDxfId="78">
  <tableColumns count="3">
    <tableColumn id="1" xr3:uid="{00000000-0010-0000-0000-000001000000}" name=" " dataDxfId="77"/>
    <tableColumn id="3" xr3:uid="{00000000-0010-0000-0000-000003000000}" name="Quantidade" dataDxfId="76"/>
    <tableColumn id="4" xr3:uid="{00000000-0010-0000-0000-000004000000}" name="Valor" dataDxfId="7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W83" totalsRowCount="1" headerRowDxfId="65" dataDxfId="63" totalsRowDxfId="61" headerRowBorderDxfId="64" tableBorderDxfId="62" totalsRowBorderDxfId="60">
  <autoFilter ref="A1:W82" xr:uid="{00000000-0009-0000-0100-000002000000}"/>
  <tableColumns count="23">
    <tableColumn id="24" xr3:uid="{00000000-0010-0000-0100-000018000000}" name="Identificação" dataDxfId="59" totalsRowDxfId="58" dataCellStyle="Normal 3"/>
    <tableColumn id="2" xr3:uid="{00000000-0010-0000-0100-000002000000}" name="Sequência" dataDxfId="57" totalsRowDxfId="56"/>
    <tableColumn id="3" xr3:uid="{00000000-0010-0000-0100-000003000000}" name="Venci_x000a_mento" dataDxfId="55" totalsRowDxfId="54"/>
    <tableColumn id="4" xr3:uid="{00000000-0010-0000-0100-000004000000}" name="Data_x000a_Baixa" dataDxfId="53" totalsRowDxfId="52"/>
    <tableColumn id="5" xr3:uid="{00000000-0010-0000-0100-000005000000}" name="Movimento" dataDxfId="51" totalsRowDxfId="50"/>
    <tableColumn id="6" xr3:uid="{00000000-0010-0000-0100-000006000000}" name="Valor _x000a_Nominal" dataDxfId="49" totalsRowDxfId="48"/>
    <tableColumn id="7" xr3:uid="{00000000-0010-0000-0100-000007000000}" name="Valor_x000a_Correção" dataDxfId="47" totalsRowDxfId="46"/>
    <tableColumn id="8" xr3:uid="{00000000-0010-0000-0100-000008000000}" name="Valor _x000a_Juros" dataDxfId="45" totalsRowDxfId="44"/>
    <tableColumn id="9" xr3:uid="{00000000-0010-0000-0100-000009000000}" name="Valor _x000a_Base" dataDxfId="43" totalsRowDxfId="42"/>
    <tableColumn id="10" xr3:uid="{00000000-0010-0000-0100-00000A000000}" name="Valor_x000a_Dif. _x000a_P x R" dataDxfId="41" totalsRowDxfId="40"/>
    <tableColumn id="11" xr3:uid="{00000000-0010-0000-0100-00000B000000}" name=" Valor_x000a_Taxas_x000a_Adicionais" dataDxfId="39" totalsRowDxfId="38"/>
    <tableColumn id="12" xr3:uid="{00000000-0010-0000-0100-00000C000000}" name="Valor_x000a_Multa" dataDxfId="37" totalsRowDxfId="36"/>
    <tableColumn id="13" xr3:uid="{00000000-0010-0000-0100-00000D000000}" name="Valor _x000a_Mora" dataDxfId="35" totalsRowDxfId="34"/>
    <tableColumn id="14" xr3:uid="{00000000-0010-0000-0100-00000E000000}" name="Valor _x000a_Desconto" dataDxfId="33" totalsRowDxfId="32"/>
    <tableColumn id="15" xr3:uid="{00000000-0010-0000-0100-00000F000000}" name="Juros TP/SAC_x000a_não cob." dataDxfId="31" totalsRowDxfId="30"/>
    <tableColumn id="16" xr3:uid="{00000000-0010-0000-0100-000010000000}" name="VM Juros_x000a_TP/SAC_x000a_não cob." dataDxfId="29" totalsRowDxfId="28"/>
    <tableColumn id="17" xr3:uid="{00000000-0010-0000-0100-000011000000}" name="Valor_x000a_Pago" totalsRowFunction="custom" dataDxfId="27" totalsRowDxfId="26">
      <totalsRowFormula>SUM(Tabela2[Valor
Pago])</totalsRowFormula>
    </tableColumn>
    <tableColumn id="18" xr3:uid="{00000000-0010-0000-0100-000012000000}" name="Valor _x000a_Pago a Maior" dataDxfId="25" totalsRowDxfId="24"/>
    <tableColumn id="19" xr3:uid="{00000000-0010-0000-0100-000013000000}" name="Valor _x000a_Amortização" dataDxfId="23" totalsRowDxfId="22"/>
    <tableColumn id="20" xr3:uid="{00000000-0010-0000-0100-000014000000}" name="Valor_x000a_Juros TP/SAC" dataDxfId="21" totalsRowDxfId="20"/>
    <tableColumn id="21" xr3:uid="{00000000-0010-0000-0100-000015000000}" name="Valor_x000a_Descontos Adicionais" dataDxfId="19" totalsRowDxfId="18"/>
    <tableColumn id="22" xr3:uid="{00000000-0010-0000-0100-000016000000}" name="recuperado" dataDxfId="17" totalsRowDxfId="16">
      <calculatedColumnFormula>IF(Tabela2[[#This Row],[Colunas1]]="ATIVO","SIM","NÃO")</calculatedColumnFormula>
    </tableColumn>
    <tableColumn id="23" xr3:uid="{00000000-0010-0000-0100-000017000000}" name="Colunas1" dataDxfId="15" totalsRowDxfId="14">
      <calculatedColumnFormula>VLOOKUP(Tabela2[[#This Row],[Identificação]],Recebíveis!$G$5:$J$442,4,0)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7.xm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3:J26"/>
  <sheetViews>
    <sheetView showGridLines="0" workbookViewId="0">
      <selection activeCell="A5" sqref="A5"/>
    </sheetView>
  </sheetViews>
  <sheetFormatPr defaultColWidth="9.140625" defaultRowHeight="15"/>
  <cols>
    <col min="1" max="1" width="9.140625" style="5"/>
    <col min="2" max="2" width="29.28515625" style="5" customWidth="1"/>
    <col min="3" max="3" width="11.140625" style="5" customWidth="1"/>
    <col min="4" max="4" width="16.42578125" style="5" customWidth="1"/>
    <col min="5" max="5" width="14.42578125" style="5" customWidth="1"/>
    <col min="6" max="6" width="11.140625" style="5" customWidth="1"/>
    <col min="7" max="7" width="9.140625" style="5"/>
    <col min="8" max="8" width="11.28515625" style="5" customWidth="1"/>
    <col min="9" max="9" width="13.85546875" style="5" customWidth="1"/>
    <col min="10" max="10" width="11.42578125" style="5" customWidth="1"/>
    <col min="11" max="16384" width="9.140625" style="5"/>
  </cols>
  <sheetData>
    <row r="3" spans="1:10">
      <c r="A3" s="523" t="s">
        <v>558</v>
      </c>
      <c r="B3" s="523"/>
      <c r="C3" s="523"/>
      <c r="D3" s="523"/>
      <c r="E3" s="523"/>
    </row>
    <row r="4" spans="1:10">
      <c r="A4" s="522" t="s">
        <v>898</v>
      </c>
      <c r="B4" s="522"/>
      <c r="C4" s="522"/>
      <c r="D4" s="522"/>
      <c r="E4" s="522"/>
    </row>
    <row r="6" spans="1:10">
      <c r="H6" s="525" t="s">
        <v>572</v>
      </c>
      <c r="I6" s="526"/>
      <c r="J6" s="527"/>
    </row>
    <row r="7" spans="1:10">
      <c r="B7" s="5" t="s">
        <v>26</v>
      </c>
      <c r="C7" s="5" t="s">
        <v>24</v>
      </c>
      <c r="D7" s="5" t="s">
        <v>25</v>
      </c>
      <c r="H7" s="65"/>
      <c r="I7" s="65" t="s">
        <v>573</v>
      </c>
      <c r="J7" s="65" t="s">
        <v>579</v>
      </c>
    </row>
    <row r="8" spans="1:10">
      <c r="B8" s="5" t="s">
        <v>17</v>
      </c>
      <c r="C8" s="6">
        <f>Recebíveis!Q9</f>
        <v>717</v>
      </c>
      <c r="D8" s="9">
        <f>Recebíveis!R9</f>
        <v>56213860.519999996</v>
      </c>
      <c r="H8" s="65" t="s">
        <v>574</v>
      </c>
      <c r="I8" s="65">
        <v>522</v>
      </c>
      <c r="J8" s="66" t="e">
        <f>I8-J11-J12+J10+J13</f>
        <v>#REF!</v>
      </c>
    </row>
    <row r="9" spans="1:10">
      <c r="B9" s="5" t="s">
        <v>18</v>
      </c>
      <c r="C9" s="56" t="e">
        <f>Vendas!#REF!</f>
        <v>#REF!</v>
      </c>
      <c r="D9" s="9" t="e">
        <f>Vendas!#REF!</f>
        <v>#REF!</v>
      </c>
      <c r="H9" s="65" t="s">
        <v>575</v>
      </c>
      <c r="I9" s="66" t="e">
        <f>Vendas!#REF!</f>
        <v>#REF!</v>
      </c>
      <c r="J9" s="66" t="e">
        <f>I9+J12-J10-J13</f>
        <v>#REF!</v>
      </c>
    </row>
    <row r="10" spans="1:10">
      <c r="B10" s="5" t="s">
        <v>19</v>
      </c>
      <c r="C10" s="56" t="e">
        <f>Vendas!#REF!</f>
        <v>#REF!</v>
      </c>
      <c r="D10" s="9">
        <v>0</v>
      </c>
      <c r="H10" s="65" t="s">
        <v>576</v>
      </c>
      <c r="I10" s="65">
        <v>0</v>
      </c>
      <c r="J10" s="66" t="e">
        <f>Vendas!#REF!</f>
        <v>#REF!</v>
      </c>
    </row>
    <row r="11" spans="1:10">
      <c r="B11" s="5" t="s">
        <v>560</v>
      </c>
      <c r="C11" s="9">
        <v>0</v>
      </c>
      <c r="D11" s="9">
        <v>0</v>
      </c>
      <c r="H11" s="65" t="s">
        <v>580</v>
      </c>
      <c r="I11" s="65">
        <v>0</v>
      </c>
      <c r="J11" s="65">
        <f>Recebíveis!Q5</f>
        <v>201</v>
      </c>
    </row>
    <row r="12" spans="1:10">
      <c r="B12" s="5" t="s">
        <v>20</v>
      </c>
      <c r="C12" s="6" t="e">
        <f>#REF!</f>
        <v>#REF!</v>
      </c>
      <c r="D12" s="9" t="e">
        <f>#REF!</f>
        <v>#REF!</v>
      </c>
      <c r="H12" s="65" t="s">
        <v>577</v>
      </c>
      <c r="I12" s="65">
        <v>0</v>
      </c>
      <c r="J12" s="66" t="e">
        <f>Vendas!#REF!</f>
        <v>#REF!</v>
      </c>
    </row>
    <row r="13" spans="1:10">
      <c r="B13" s="5" t="s">
        <v>21</v>
      </c>
      <c r="C13" s="6"/>
      <c r="D13" s="9"/>
      <c r="H13" s="65" t="s">
        <v>578</v>
      </c>
      <c r="I13" s="65">
        <v>0</v>
      </c>
      <c r="J13" s="66" t="e">
        <f>Vendas!#REF!</f>
        <v>#REF!</v>
      </c>
    </row>
    <row r="16" spans="1:10" ht="30.75" customHeight="1">
      <c r="B16" s="524" t="s">
        <v>561</v>
      </c>
      <c r="C16" s="524"/>
      <c r="D16" s="58" t="e">
        <f>D12/D8</f>
        <v>#REF!</v>
      </c>
    </row>
    <row r="26" spans="2:2">
      <c r="B26" s="6"/>
    </row>
  </sheetData>
  <mergeCells count="4">
    <mergeCell ref="A4:E4"/>
    <mergeCell ref="A3:E3"/>
    <mergeCell ref="B16:C16"/>
    <mergeCell ref="H6:J6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A1:F61"/>
  <sheetViews>
    <sheetView topLeftCell="A10" zoomScale="70" zoomScaleNormal="70" workbookViewId="0">
      <selection activeCell="C36" sqref="C36"/>
    </sheetView>
  </sheetViews>
  <sheetFormatPr defaultRowHeight="15"/>
  <cols>
    <col min="1" max="1" width="52.5703125" bestFit="1" customWidth="1"/>
    <col min="2" max="2" width="33" bestFit="1" customWidth="1"/>
    <col min="3" max="3" width="20.7109375" bestFit="1" customWidth="1"/>
    <col min="4" max="4" width="20.28515625" bestFit="1" customWidth="1"/>
    <col min="5" max="5" width="16.28515625" bestFit="1" customWidth="1"/>
    <col min="6" max="6" width="16" bestFit="1" customWidth="1"/>
    <col min="7" max="7" width="24.140625" bestFit="1" customWidth="1"/>
    <col min="8" max="8" width="25.5703125" bestFit="1" customWidth="1"/>
    <col min="9" max="9" width="29.140625" bestFit="1" customWidth="1"/>
  </cols>
  <sheetData>
    <row r="1" spans="1:5">
      <c r="A1" s="285" t="s">
        <v>7</v>
      </c>
      <c r="B1" t="s">
        <v>1376</v>
      </c>
    </row>
    <row r="3" spans="1:5">
      <c r="A3" s="285" t="s">
        <v>1099</v>
      </c>
      <c r="B3" t="s">
        <v>1377</v>
      </c>
    </row>
    <row r="4" spans="1:5">
      <c r="A4" s="162" t="s">
        <v>37</v>
      </c>
      <c r="B4" s="164">
        <v>25</v>
      </c>
      <c r="C4" s="164">
        <f>SUM(B4:B5)</f>
        <v>100</v>
      </c>
    </row>
    <row r="5" spans="1:5">
      <c r="A5" s="162" t="s">
        <v>34</v>
      </c>
      <c r="B5" s="164">
        <v>75</v>
      </c>
    </row>
    <row r="6" spans="1:5">
      <c r="A6" s="162" t="s">
        <v>38</v>
      </c>
      <c r="B6" s="164">
        <v>59</v>
      </c>
      <c r="C6" s="164">
        <f>SUM(B6:B7)</f>
        <v>116</v>
      </c>
    </row>
    <row r="7" spans="1:5">
      <c r="A7" s="162" t="s">
        <v>35</v>
      </c>
      <c r="B7" s="164">
        <v>57</v>
      </c>
    </row>
    <row r="8" spans="1:5">
      <c r="A8" s="162" t="s">
        <v>36</v>
      </c>
      <c r="B8" s="164">
        <v>43</v>
      </c>
      <c r="C8" s="164">
        <f>SUM(B8:B9)</f>
        <v>179</v>
      </c>
    </row>
    <row r="9" spans="1:5">
      <c r="A9" s="162" t="s">
        <v>33</v>
      </c>
      <c r="B9" s="164">
        <v>136</v>
      </c>
    </row>
    <row r="10" spans="1:5">
      <c r="A10" s="162" t="s">
        <v>612</v>
      </c>
      <c r="B10" s="164">
        <v>29</v>
      </c>
      <c r="C10" s="164">
        <f>SUM(B10:B11)</f>
        <v>113</v>
      </c>
    </row>
    <row r="11" spans="1:5">
      <c r="A11" s="162" t="s">
        <v>878</v>
      </c>
      <c r="B11" s="164">
        <v>84</v>
      </c>
    </row>
    <row r="12" spans="1:5">
      <c r="A12" s="162" t="s">
        <v>1101</v>
      </c>
      <c r="B12" s="164">
        <v>508</v>
      </c>
      <c r="C12">
        <f>SUM(C4:C11)</f>
        <v>508</v>
      </c>
    </row>
    <row r="13" spans="1:5">
      <c r="D13" s="394"/>
      <c r="E13" s="379"/>
    </row>
    <row r="14" spans="1:5">
      <c r="A14" s="285" t="s">
        <v>7</v>
      </c>
      <c r="B14" t="s">
        <v>1376</v>
      </c>
      <c r="D14" s="394"/>
    </row>
    <row r="15" spans="1:5">
      <c r="D15" s="394"/>
      <c r="E15" s="379"/>
    </row>
    <row r="16" spans="1:5">
      <c r="A16" s="285" t="s">
        <v>1099</v>
      </c>
      <c r="B16" t="s">
        <v>1103</v>
      </c>
      <c r="C16" s="285"/>
      <c r="D16" s="436"/>
      <c r="E16" s="285"/>
    </row>
    <row r="17" spans="1:6">
      <c r="A17" s="162" t="s">
        <v>37</v>
      </c>
      <c r="B17" s="286">
        <v>2180959.61</v>
      </c>
      <c r="C17" s="286">
        <f>SUM(B17:B18)</f>
        <v>9714690.3300000001</v>
      </c>
      <c r="D17" s="394">
        <f>C17/1000000</f>
        <v>9.7146903299999998</v>
      </c>
      <c r="E17" s="379"/>
    </row>
    <row r="18" spans="1:6">
      <c r="A18" s="162" t="s">
        <v>34</v>
      </c>
      <c r="B18" s="286">
        <v>7533730.7200000007</v>
      </c>
      <c r="D18" s="394"/>
    </row>
    <row r="19" spans="1:6">
      <c r="A19" s="162" t="s">
        <v>38</v>
      </c>
      <c r="B19" s="286">
        <v>5397899.0100000016</v>
      </c>
      <c r="C19" s="286">
        <f>SUM(B19:B20)</f>
        <v>12036930.930000003</v>
      </c>
      <c r="D19" s="394">
        <f>C19/1000000</f>
        <v>12.036930930000004</v>
      </c>
    </row>
    <row r="20" spans="1:6">
      <c r="A20" s="162" t="s">
        <v>35</v>
      </c>
      <c r="B20" s="286">
        <v>6639031.9200000009</v>
      </c>
      <c r="C20" s="394"/>
      <c r="D20" s="394"/>
      <c r="E20" s="379"/>
    </row>
    <row r="21" spans="1:6">
      <c r="A21" s="162" t="s">
        <v>36</v>
      </c>
      <c r="B21" s="286">
        <v>4449064.55</v>
      </c>
      <c r="C21" s="286">
        <f>SUM(B21:B22)</f>
        <v>21747097.940000005</v>
      </c>
      <c r="D21" s="394">
        <f>C21/1000000</f>
        <v>21.747097940000003</v>
      </c>
    </row>
    <row r="22" spans="1:6">
      <c r="A22" s="162" t="s">
        <v>33</v>
      </c>
      <c r="B22" s="286">
        <v>17298033.390000004</v>
      </c>
      <c r="C22" s="394"/>
      <c r="D22" s="394"/>
      <c r="E22" s="379"/>
    </row>
    <row r="23" spans="1:6">
      <c r="A23" s="162" t="s">
        <v>612</v>
      </c>
      <c r="B23" s="286">
        <v>2837577.66</v>
      </c>
      <c r="C23" s="286">
        <f>SUM(B23:B24)</f>
        <v>11911884.070000004</v>
      </c>
      <c r="D23" s="394">
        <f>C23/1000000</f>
        <v>11.911884070000005</v>
      </c>
    </row>
    <row r="24" spans="1:6">
      <c r="A24" s="162" t="s">
        <v>878</v>
      </c>
      <c r="B24" s="286">
        <v>9074306.4100000039</v>
      </c>
      <c r="C24" s="394"/>
      <c r="D24" s="394"/>
      <c r="E24" s="379"/>
    </row>
    <row r="25" spans="1:6">
      <c r="A25" s="162" t="s">
        <v>1101</v>
      </c>
      <c r="B25" s="286">
        <v>55410603.270000003</v>
      </c>
      <c r="D25" s="461">
        <f>SUM(D17:D24)</f>
        <v>55.410603270000017</v>
      </c>
    </row>
    <row r="27" spans="1:6">
      <c r="A27" s="285" t="s">
        <v>7</v>
      </c>
      <c r="B27" t="s">
        <v>1376</v>
      </c>
    </row>
    <row r="29" spans="1:6">
      <c r="A29" s="285" t="s">
        <v>1099</v>
      </c>
      <c r="B29" t="s">
        <v>1378</v>
      </c>
      <c r="D29" s="285"/>
      <c r="E29" s="285"/>
      <c r="F29" s="285"/>
    </row>
    <row r="30" spans="1:6">
      <c r="A30" s="162" t="s">
        <v>37</v>
      </c>
      <c r="B30" s="286">
        <v>2537820.7000000002</v>
      </c>
      <c r="C30" s="286">
        <f>SUM(B30:B31)</f>
        <v>10601289.050000001</v>
      </c>
      <c r="D30" s="394">
        <f>C30/1000000</f>
        <v>10.60128905</v>
      </c>
    </row>
    <row r="31" spans="1:6">
      <c r="A31" s="162" t="s">
        <v>34</v>
      </c>
      <c r="B31" s="286">
        <v>8063468.3500000015</v>
      </c>
    </row>
    <row r="32" spans="1:6">
      <c r="A32" s="162" t="s">
        <v>38</v>
      </c>
      <c r="B32" s="286">
        <v>5447541.5000000009</v>
      </c>
      <c r="C32" s="286">
        <f>SUM(B32:B33)</f>
        <v>11994056.800000003</v>
      </c>
      <c r="D32" s="394">
        <f>C32/1000000</f>
        <v>11.994056800000003</v>
      </c>
    </row>
    <row r="33" spans="1:4">
      <c r="A33" s="162" t="s">
        <v>35</v>
      </c>
      <c r="B33" s="286">
        <v>6546515.3000000017</v>
      </c>
    </row>
    <row r="34" spans="1:4">
      <c r="A34" s="162" t="s">
        <v>36</v>
      </c>
      <c r="B34" s="286">
        <v>5089358</v>
      </c>
      <c r="C34" s="286">
        <f>SUM(B34:B35)</f>
        <v>24116253.61999999</v>
      </c>
      <c r="D34" s="394">
        <f>C34/1000000</f>
        <v>24.116253619999991</v>
      </c>
    </row>
    <row r="35" spans="1:4">
      <c r="A35" s="162" t="s">
        <v>33</v>
      </c>
      <c r="B35" s="286">
        <v>19026895.61999999</v>
      </c>
    </row>
    <row r="36" spans="1:4">
      <c r="A36" s="162" t="s">
        <v>612</v>
      </c>
      <c r="B36" s="286">
        <v>3267049.41</v>
      </c>
      <c r="C36" s="286">
        <f>SUM(B36:B37)</f>
        <v>14497972.139999999</v>
      </c>
      <c r="D36" s="394">
        <f>C36/1000000</f>
        <v>14.497972139999998</v>
      </c>
    </row>
    <row r="37" spans="1:4">
      <c r="A37" s="162" t="s">
        <v>878</v>
      </c>
      <c r="B37" s="286">
        <v>11230922.729999999</v>
      </c>
    </row>
    <row r="38" spans="1:4">
      <c r="A38" s="162" t="s">
        <v>1101</v>
      </c>
      <c r="B38" s="286">
        <v>61209571.609999992</v>
      </c>
    </row>
    <row r="40" spans="1:4">
      <c r="A40" s="285" t="s">
        <v>1099</v>
      </c>
      <c r="B40" t="s">
        <v>1253</v>
      </c>
    </row>
    <row r="41" spans="1:4">
      <c r="A41" s="162" t="s">
        <v>37</v>
      </c>
      <c r="B41" s="286">
        <v>69496.3</v>
      </c>
      <c r="C41" s="286">
        <f>SUM(B41:B42)</f>
        <v>1261144.4299999997</v>
      </c>
    </row>
    <row r="42" spans="1:4">
      <c r="A42" s="162" t="s">
        <v>34</v>
      </c>
      <c r="B42" s="286">
        <v>1191648.1299999997</v>
      </c>
    </row>
    <row r="43" spans="1:4">
      <c r="A43" s="162" t="s">
        <v>38</v>
      </c>
      <c r="B43" s="286">
        <v>857201.19</v>
      </c>
      <c r="C43" s="286">
        <f>SUM(B43:B44)</f>
        <v>2039337.4899999995</v>
      </c>
    </row>
    <row r="44" spans="1:4">
      <c r="A44" s="162" t="s">
        <v>35</v>
      </c>
      <c r="B44" s="286">
        <v>1182136.2999999996</v>
      </c>
    </row>
    <row r="45" spans="1:4">
      <c r="A45" s="162" t="s">
        <v>36</v>
      </c>
      <c r="B45" s="286">
        <v>620074.73</v>
      </c>
      <c r="C45" s="286">
        <f>SUM(B45:B46)</f>
        <v>2222882.5600000005</v>
      </c>
    </row>
    <row r="46" spans="1:4">
      <c r="A46" s="162" t="s">
        <v>33</v>
      </c>
      <c r="B46" s="286">
        <v>1602807.8300000005</v>
      </c>
    </row>
    <row r="47" spans="1:4">
      <c r="A47" s="162" t="s">
        <v>612</v>
      </c>
      <c r="B47" s="286">
        <v>8722.41</v>
      </c>
      <c r="C47" s="286">
        <f>SUM(B47:B48)</f>
        <v>34010.850000000006</v>
      </c>
    </row>
    <row r="48" spans="1:4">
      <c r="A48" s="162" t="s">
        <v>878</v>
      </c>
      <c r="B48" s="286">
        <v>25288.440000000002</v>
      </c>
    </row>
    <row r="49" spans="1:4">
      <c r="A49" s="162" t="s">
        <v>1101</v>
      </c>
      <c r="B49" s="286">
        <v>5557375.3300000001</v>
      </c>
    </row>
    <row r="51" spans="1:4">
      <c r="A51" s="285" t="s">
        <v>1103</v>
      </c>
      <c r="B51" s="285" t="s">
        <v>1247</v>
      </c>
    </row>
    <row r="52" spans="1:4">
      <c r="A52" s="285" t="s">
        <v>1099</v>
      </c>
      <c r="B52" t="s">
        <v>1249</v>
      </c>
      <c r="C52" t="s">
        <v>1250</v>
      </c>
      <c r="D52" t="s">
        <v>1101</v>
      </c>
    </row>
    <row r="53" spans="1:4">
      <c r="A53" s="162" t="s">
        <v>37</v>
      </c>
      <c r="B53" s="286"/>
      <c r="C53" s="286">
        <v>231586.64</v>
      </c>
      <c r="D53" s="286">
        <v>231586.64</v>
      </c>
    </row>
    <row r="54" spans="1:4">
      <c r="A54" s="162" t="s">
        <v>34</v>
      </c>
      <c r="B54" s="286">
        <v>458914.44000000006</v>
      </c>
      <c r="C54" s="286">
        <v>2829598.8299999996</v>
      </c>
      <c r="D54" s="286">
        <v>3288513.2699999996</v>
      </c>
    </row>
    <row r="55" spans="1:4">
      <c r="A55" s="162" t="s">
        <v>38</v>
      </c>
      <c r="B55" s="286">
        <v>633808.56000000006</v>
      </c>
      <c r="C55" s="286">
        <v>1846546.8599999999</v>
      </c>
      <c r="D55" s="286">
        <v>2480355.42</v>
      </c>
    </row>
    <row r="56" spans="1:4">
      <c r="A56" s="162" t="s">
        <v>35</v>
      </c>
      <c r="B56" s="286">
        <v>466742.52999999997</v>
      </c>
      <c r="C56" s="286">
        <v>2558385.2600000002</v>
      </c>
      <c r="D56" s="286">
        <v>3025127.79</v>
      </c>
    </row>
    <row r="57" spans="1:4">
      <c r="A57" s="162" t="s">
        <v>36</v>
      </c>
      <c r="B57" s="286">
        <v>113856.12</v>
      </c>
      <c r="C57" s="286">
        <v>1621089.82</v>
      </c>
      <c r="D57" s="286">
        <v>1734945.94</v>
      </c>
    </row>
    <row r="58" spans="1:4">
      <c r="A58" s="162" t="s">
        <v>33</v>
      </c>
      <c r="B58" s="286">
        <v>2680890.94</v>
      </c>
      <c r="C58" s="286">
        <v>4682761.7300000004</v>
      </c>
      <c r="D58" s="286">
        <v>7363652.6699999999</v>
      </c>
    </row>
    <row r="59" spans="1:4">
      <c r="A59" s="162" t="s">
        <v>612</v>
      </c>
      <c r="B59" s="286">
        <v>421386.64</v>
      </c>
      <c r="C59" s="286">
        <v>103096.94</v>
      </c>
      <c r="D59" s="286">
        <v>524483.58000000007</v>
      </c>
    </row>
    <row r="60" spans="1:4">
      <c r="A60" s="162" t="s">
        <v>878</v>
      </c>
      <c r="B60" s="286">
        <v>397200.70999999996</v>
      </c>
      <c r="C60" s="286">
        <v>206188.89</v>
      </c>
      <c r="D60" s="286">
        <v>603389.6</v>
      </c>
    </row>
    <row r="61" spans="1:4">
      <c r="A61" s="162" t="s">
        <v>1101</v>
      </c>
      <c r="B61" s="286">
        <v>5172799.9399999995</v>
      </c>
      <c r="C61" s="286">
        <v>14079254.970000001</v>
      </c>
      <c r="D61" s="286">
        <v>19252054.910000004</v>
      </c>
    </row>
  </sheetData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AG879"/>
  <sheetViews>
    <sheetView showGridLines="0" tabSelected="1" zoomScale="70" zoomScaleNormal="70" workbookViewId="0">
      <pane ySplit="4" topLeftCell="A5" activePane="bottomLeft" state="frozen"/>
      <selection activeCell="D1" sqref="D1"/>
      <selection pane="bottomLeft" activeCell="L40" sqref="L40"/>
    </sheetView>
  </sheetViews>
  <sheetFormatPr defaultRowHeight="15"/>
  <cols>
    <col min="1" max="1" width="8.140625" style="61" customWidth="1"/>
    <col min="2" max="2" width="54.5703125" style="5" customWidth="1"/>
    <col min="3" max="3" width="11.42578125" style="24" customWidth="1"/>
    <col min="4" max="4" width="15.42578125" style="24" customWidth="1"/>
    <col min="5" max="5" width="11" style="181" customWidth="1"/>
    <col min="6" max="6" width="10.85546875" style="24" customWidth="1"/>
    <col min="7" max="7" width="37.7109375" style="27" customWidth="1"/>
    <col min="8" max="8" width="15.42578125" style="8" customWidth="1"/>
    <col min="9" max="9" width="15.42578125" style="9" customWidth="1"/>
    <col min="10" max="10" width="15.85546875" style="9" customWidth="1"/>
    <col min="11" max="11" width="20.85546875" style="9" bestFit="1" customWidth="1"/>
    <col min="12" max="12" width="19.140625" style="6" customWidth="1"/>
    <col min="13" max="13" width="15.42578125" style="423" customWidth="1"/>
    <col min="14" max="14" width="23.42578125" style="5" customWidth="1"/>
    <col min="15" max="15" width="15.85546875" style="5" customWidth="1"/>
    <col min="16" max="16" width="15.42578125" style="5" customWidth="1"/>
    <col min="17" max="17" width="22.5703125" style="5" customWidth="1"/>
    <col min="18" max="18" width="20.7109375" style="5" bestFit="1" customWidth="1"/>
    <col min="19" max="19" width="24.140625" style="5" customWidth="1"/>
    <col min="20" max="22" width="20.42578125" style="5" customWidth="1"/>
    <col min="23" max="23" width="9.140625" style="5" customWidth="1"/>
    <col min="24" max="24" width="18" style="5" customWidth="1"/>
    <col min="25" max="26" width="20.140625" style="5" customWidth="1"/>
    <col min="27" max="28" width="7" style="6" customWidth="1"/>
    <col min="29" max="29" width="48.140625" style="5" bestFit="1" customWidth="1"/>
    <col min="30" max="30" width="17.28515625" style="9" bestFit="1" customWidth="1"/>
    <col min="31" max="31" width="17.7109375" style="229" bestFit="1" customWidth="1"/>
    <col min="32" max="32" width="5.85546875" style="60" bestFit="1" customWidth="1"/>
    <col min="33" max="33" width="5.85546875" style="60" customWidth="1"/>
    <col min="34" max="16384" width="9.140625" style="5"/>
  </cols>
  <sheetData>
    <row r="1" spans="1:33" ht="7.5" customHeight="1" thickBot="1"/>
    <row r="2" spans="1:33" ht="15.75" thickBot="1">
      <c r="B2" s="531" t="s">
        <v>11</v>
      </c>
      <c r="C2" s="532"/>
      <c r="D2" s="532"/>
      <c r="E2" s="532"/>
      <c r="F2" s="532"/>
      <c r="G2" s="532"/>
      <c r="H2" s="532"/>
      <c r="I2" s="532"/>
      <c r="J2" s="532"/>
      <c r="K2" s="532"/>
      <c r="L2" s="533"/>
      <c r="S2"/>
      <c r="T2"/>
      <c r="U2"/>
      <c r="V2"/>
      <c r="W2"/>
      <c r="X2"/>
      <c r="Y2"/>
      <c r="Z2"/>
      <c r="AA2"/>
      <c r="AB2"/>
      <c r="AC2"/>
      <c r="AD2" s="163"/>
    </row>
    <row r="3" spans="1:33">
      <c r="N3" s="67" t="s">
        <v>581</v>
      </c>
      <c r="O3" s="68">
        <v>44286</v>
      </c>
      <c r="AC3" s="212"/>
      <c r="AD3" s="433">
        <f>SUM(AD5:AD569)</f>
        <v>56213860.519999996</v>
      </c>
      <c r="AE3" s="434">
        <f>SUM(AE5:AE569)</f>
        <v>89233968.699999973</v>
      </c>
    </row>
    <row r="4" spans="1:33" ht="60" customHeight="1">
      <c r="B4" s="1" t="s">
        <v>3</v>
      </c>
      <c r="C4" s="2" t="s">
        <v>22</v>
      </c>
      <c r="D4" s="2" t="s">
        <v>23</v>
      </c>
      <c r="E4" s="4" t="s">
        <v>847</v>
      </c>
      <c r="F4" s="2" t="s">
        <v>624</v>
      </c>
      <c r="G4" s="1" t="s">
        <v>6</v>
      </c>
      <c r="H4" s="3" t="s">
        <v>9</v>
      </c>
      <c r="I4" s="4" t="s">
        <v>10</v>
      </c>
      <c r="J4" s="4" t="s">
        <v>7</v>
      </c>
      <c r="K4" s="4" t="s">
        <v>8</v>
      </c>
      <c r="L4" s="4" t="s">
        <v>955</v>
      </c>
      <c r="N4" s="534" t="s">
        <v>27</v>
      </c>
      <c r="O4" s="535"/>
      <c r="P4" s="536"/>
      <c r="Q4" s="4" t="s">
        <v>556</v>
      </c>
      <c r="R4" s="4" t="s">
        <v>557</v>
      </c>
      <c r="AA4" s="2" t="s">
        <v>22</v>
      </c>
      <c r="AB4" s="2" t="s">
        <v>23</v>
      </c>
      <c r="AC4" s="1" t="s">
        <v>6</v>
      </c>
      <c r="AD4" s="4" t="s">
        <v>8</v>
      </c>
      <c r="AE4" s="230" t="s">
        <v>871</v>
      </c>
      <c r="AF4" s="194" t="s">
        <v>810</v>
      </c>
      <c r="AG4" s="290"/>
    </row>
    <row r="5" spans="1:33">
      <c r="A5" s="61" t="str">
        <f>CONCATENATE(B5,C5,D5)</f>
        <v>LONDRINA [ETAPA 01 - AREAS EXTERNAS G1 - G5]VII9</v>
      </c>
      <c r="B5" s="263" t="s">
        <v>37</v>
      </c>
      <c r="C5" s="440" t="s">
        <v>532</v>
      </c>
      <c r="D5" s="441">
        <v>9</v>
      </c>
      <c r="E5" s="64">
        <v>252.5</v>
      </c>
      <c r="F5" s="441">
        <v>2367</v>
      </c>
      <c r="G5" s="442" t="s">
        <v>585</v>
      </c>
      <c r="H5" s="40">
        <v>41446</v>
      </c>
      <c r="I5" s="35">
        <v>79749.600000000006</v>
      </c>
      <c r="J5" s="35" t="str">
        <f>IFERROR(VLOOKUP(CONCATENATE(B5,C5,D5,),Inadimplencia!$A$6:$K$110,6,0),"ATIVO")</f>
        <v>ATIVO</v>
      </c>
      <c r="K5" s="35">
        <f>VLOOKUP(Y5,$Z$5:$AD$520,5,0)</f>
        <v>48209.07</v>
      </c>
      <c r="L5" s="325">
        <f>K5/I5</f>
        <v>0.60450547714345892</v>
      </c>
      <c r="M5" s="423" t="str">
        <f>CONCATENATE(J5,IF(L5&gt;100%,1,0))</f>
        <v>ATIVO0</v>
      </c>
      <c r="N5" s="10" t="s">
        <v>12</v>
      </c>
      <c r="O5" s="25"/>
      <c r="P5" s="26"/>
      <c r="Q5" s="340">
        <f>COUNTIF($J$529:$J$729,"QUITADO")</f>
        <v>201</v>
      </c>
      <c r="R5" s="54">
        <v>0</v>
      </c>
      <c r="T5" s="38"/>
      <c r="U5" s="38"/>
      <c r="V5" s="38"/>
      <c r="W5" s="37"/>
      <c r="X5" s="203" t="str">
        <f t="shared" ref="X5:X68" si="0">CONCATENATE(B5,J5)</f>
        <v>LONDRINA [ETAPA 01 - AREAS EXTERNAS G1 - G5]ATIVO</v>
      </c>
      <c r="Y5" s="203" t="str">
        <f t="shared" ref="Y5:Y68" si="1">CONCATENATE(C5,D5,G5)</f>
        <v>VII9ROMARIO LOMBARDE</v>
      </c>
      <c r="Z5" s="203" t="str">
        <f>CONCATENATE(AA5,AB5,AC5)</f>
        <v>VII9ROMARIO LOMBARDE</v>
      </c>
      <c r="AA5" s="427" t="s">
        <v>532</v>
      </c>
      <c r="AB5" s="427">
        <v>9</v>
      </c>
      <c r="AC5" s="428" t="s">
        <v>585</v>
      </c>
      <c r="AD5" s="505">
        <v>48209.07</v>
      </c>
      <c r="AE5" s="506">
        <v>176968.99</v>
      </c>
      <c r="AF5" s="60" t="str">
        <f>VLOOKUP(AC5,$G$5:$G$520,1,0)</f>
        <v>ROMARIO LOMBARDE</v>
      </c>
      <c r="AG5" s="60" t="str">
        <f>IF(AC5=AF5,"OK","NÃO BATE")</f>
        <v>OK</v>
      </c>
    </row>
    <row r="6" spans="1:33">
      <c r="A6" s="61" t="str">
        <f t="shared" ref="A6:A69" si="2">CONCATENATE(B6,C6,D6)</f>
        <v>LONDRINA [ETAPA 01 - AREAS EXTERNAS G1 - G5]VII18</v>
      </c>
      <c r="B6" s="263" t="s">
        <v>37</v>
      </c>
      <c r="C6" s="337" t="s">
        <v>532</v>
      </c>
      <c r="D6" s="166">
        <v>18</v>
      </c>
      <c r="E6" s="197">
        <v>252.5</v>
      </c>
      <c r="F6" s="166">
        <v>2398</v>
      </c>
      <c r="G6" s="338" t="s">
        <v>458</v>
      </c>
      <c r="H6" s="40">
        <v>41442</v>
      </c>
      <c r="I6" s="35">
        <v>79749.600000000006</v>
      </c>
      <c r="J6" s="35" t="str">
        <f>IFERROR(VLOOKUP(CONCATENATE(B6,C6,D6,),Inadimplencia!$A$6:$K$110,6,0),"ATIVO")</f>
        <v>INADIMPLENTE</v>
      </c>
      <c r="K6" s="35">
        <f t="shared" ref="K6:K69" si="3">VLOOKUP(Y6,$Z$5:$AD$520,5,0)</f>
        <v>119260.23</v>
      </c>
      <c r="L6" s="325">
        <f t="shared" ref="L6:L69" si="4">K6/I6</f>
        <v>1.4954335821120104</v>
      </c>
      <c r="M6" s="423" t="str">
        <f t="shared" ref="M6:M69" si="5">CONCATENATE(J6,IF(L6&gt;100%,1,0))</f>
        <v>INADIMPLENTE1</v>
      </c>
      <c r="N6" s="10" t="s">
        <v>13</v>
      </c>
      <c r="O6" s="25"/>
      <c r="P6" s="26"/>
      <c r="Q6" s="340">
        <f>COUNTIF($J$5:$J$527,"Ativo")</f>
        <v>411</v>
      </c>
      <c r="R6" s="54">
        <f>SUMIF($J$5:$J$527,"Ativo",$K$5:$K$527)</f>
        <v>41250512.079999991</v>
      </c>
      <c r="T6" s="57">
        <f>Q6/SUM($Q$6:$Q$8)</f>
        <v>0.79651162790697672</v>
      </c>
      <c r="U6" s="57"/>
      <c r="V6" s="57"/>
      <c r="W6" s="37"/>
      <c r="X6" s="203" t="str">
        <f t="shared" si="0"/>
        <v>LONDRINA [ETAPA 01 - AREAS EXTERNAS G1 - G5]INADIMPLENTE</v>
      </c>
      <c r="Y6" s="203" t="str">
        <f t="shared" si="1"/>
        <v>VII18VALDELICE FLORENTINO</v>
      </c>
      <c r="Z6" s="203" t="str">
        <f t="shared" ref="Z6:Z69" si="6">CONCATENATE(AA6,AB6,AC6)</f>
        <v>VII18VALDELICE FLORENTINO</v>
      </c>
      <c r="AA6" s="427" t="s">
        <v>532</v>
      </c>
      <c r="AB6" s="427">
        <v>18</v>
      </c>
      <c r="AC6" s="428" t="s">
        <v>458</v>
      </c>
      <c r="AD6" s="505">
        <v>119260.23</v>
      </c>
      <c r="AE6" s="506">
        <v>161113.85</v>
      </c>
      <c r="AF6" s="60" t="str">
        <f t="shared" ref="AF6:AF69" si="7">VLOOKUP(AC6,$G$5:$G$520,1,0)</f>
        <v>VALDELICE FLORENTINO</v>
      </c>
      <c r="AG6" s="60" t="str">
        <f t="shared" ref="AG6:AG69" si="8">IF(AC6=AF6,"OK","NÃO BATE")</f>
        <v>OK</v>
      </c>
    </row>
    <row r="7" spans="1:33">
      <c r="A7" s="61" t="str">
        <f t="shared" si="2"/>
        <v>LONDRINA [ETAPA 01 - AREAS EXTERNAS G1 - G5]VII19</v>
      </c>
      <c r="B7" s="263" t="s">
        <v>37</v>
      </c>
      <c r="C7" s="337" t="s">
        <v>532</v>
      </c>
      <c r="D7" s="73">
        <v>19</v>
      </c>
      <c r="E7" s="315">
        <v>252.5</v>
      </c>
      <c r="F7" s="166">
        <v>2399</v>
      </c>
      <c r="G7" s="74" t="s">
        <v>458</v>
      </c>
      <c r="H7" s="40">
        <v>41442</v>
      </c>
      <c r="I7" s="35">
        <v>79749.600000000006</v>
      </c>
      <c r="J7" s="35" t="str">
        <f>IFERROR(VLOOKUP(CONCATENATE(B7,C7,D7,),Inadimplencia!$A$6:$K$110,6,0),"ATIVO")</f>
        <v>INADIMPLENTE</v>
      </c>
      <c r="K7" s="35">
        <f t="shared" si="3"/>
        <v>119260.23</v>
      </c>
      <c r="L7" s="325">
        <f t="shared" si="4"/>
        <v>1.4954335821120104</v>
      </c>
      <c r="M7" s="423" t="str">
        <f t="shared" si="5"/>
        <v>INADIMPLENTE1</v>
      </c>
      <c r="N7" s="10" t="s">
        <v>590</v>
      </c>
      <c r="O7" s="25"/>
      <c r="P7" s="26"/>
      <c r="Q7" s="340">
        <f>COUNTIF($J$5:$J$527,"Atraso")</f>
        <v>27</v>
      </c>
      <c r="R7" s="54">
        <f>SUMIF($J$5:$J$527,"Atraso",$K$5:$K$527)</f>
        <v>2631634.5699999998</v>
      </c>
      <c r="S7" s="49">
        <f>SUM(R6:R7)</f>
        <v>43882146.649999991</v>
      </c>
      <c r="T7" s="57">
        <f>Q7/SUM($Q$6:$Q$8)</f>
        <v>5.232558139534884E-2</v>
      </c>
      <c r="U7" s="57"/>
      <c r="V7" s="57"/>
      <c r="W7" s="37"/>
      <c r="X7" s="203" t="str">
        <f t="shared" si="0"/>
        <v>LONDRINA [ETAPA 01 - AREAS EXTERNAS G1 - G5]INADIMPLENTE</v>
      </c>
      <c r="Y7" s="203" t="str">
        <f t="shared" si="1"/>
        <v>VII19VALDELICE FLORENTINO</v>
      </c>
      <c r="Z7" s="203" t="str">
        <f t="shared" si="6"/>
        <v>VII19VALDELICE FLORENTINO</v>
      </c>
      <c r="AA7" s="427" t="s">
        <v>532</v>
      </c>
      <c r="AB7" s="427">
        <v>19</v>
      </c>
      <c r="AC7" s="428" t="s">
        <v>458</v>
      </c>
      <c r="AD7" s="505">
        <v>119260.23</v>
      </c>
      <c r="AE7" s="506">
        <v>161088.44</v>
      </c>
      <c r="AF7" s="60" t="str">
        <f t="shared" si="7"/>
        <v>VALDELICE FLORENTINO</v>
      </c>
      <c r="AG7" s="60" t="str">
        <f t="shared" si="8"/>
        <v>OK</v>
      </c>
    </row>
    <row r="8" spans="1:33">
      <c r="A8" s="61" t="str">
        <f t="shared" si="2"/>
        <v>LONDRINA [ETAPA 01 - AREAS EXTERNAS G1 - G5]VII25</v>
      </c>
      <c r="B8" s="41" t="s">
        <v>37</v>
      </c>
      <c r="C8" s="337" t="s">
        <v>532</v>
      </c>
      <c r="D8" s="45">
        <v>25</v>
      </c>
      <c r="E8" s="64">
        <v>252.75</v>
      </c>
      <c r="F8" s="378">
        <v>4953</v>
      </c>
      <c r="G8" s="41" t="s">
        <v>1394</v>
      </c>
      <c r="H8" s="207">
        <v>44187</v>
      </c>
      <c r="I8" s="18">
        <v>159800.1</v>
      </c>
      <c r="J8" s="35" t="str">
        <f>IFERROR(VLOOKUP(CONCATENATE(B8,C8,D8,),Inadimplencia!$A$6:$K$110,6,0),"ATIVO")</f>
        <v>ATIVO</v>
      </c>
      <c r="K8" s="35">
        <f t="shared" si="3"/>
        <v>113719.89</v>
      </c>
      <c r="L8" s="325">
        <f t="shared" si="4"/>
        <v>0.71163841574567221</v>
      </c>
      <c r="M8" s="423" t="str">
        <f t="shared" si="5"/>
        <v>ATIVO0</v>
      </c>
      <c r="N8" s="10" t="s">
        <v>14</v>
      </c>
      <c r="O8" s="25"/>
      <c r="P8" s="26"/>
      <c r="Q8" s="340">
        <f>COUNTIF($J$5:$J$527,"Inadimplente")</f>
        <v>78</v>
      </c>
      <c r="R8" s="54">
        <f>SUMIF($J$5:$J$527,"Inadimplente",$K$5:$K$527)</f>
        <v>12331713.870000001</v>
      </c>
      <c r="T8" s="57">
        <f>Q8/SUM($Q$6:$Q$8)</f>
        <v>0.15116279069767441</v>
      </c>
      <c r="U8" s="57"/>
      <c r="V8" s="57"/>
      <c r="W8" s="37"/>
      <c r="X8" s="203" t="str">
        <f t="shared" si="0"/>
        <v>LONDRINA [ETAPA 01 - AREAS EXTERNAS G1 - G5]ATIVO</v>
      </c>
      <c r="Y8" s="203" t="str">
        <f t="shared" si="1"/>
        <v>VII25MARCO ANTONIO VOLSE FERNANDES</v>
      </c>
      <c r="Z8" s="203" t="str">
        <f t="shared" si="6"/>
        <v>VII25MARCO ANTONIO VOLSE FERNANDES</v>
      </c>
      <c r="AA8" s="427" t="s">
        <v>532</v>
      </c>
      <c r="AB8" s="427">
        <v>25</v>
      </c>
      <c r="AC8" s="428" t="s">
        <v>1394</v>
      </c>
      <c r="AD8" s="505">
        <v>113719.89</v>
      </c>
      <c r="AE8" s="506">
        <v>162997.06</v>
      </c>
      <c r="AF8" s="60" t="str">
        <f t="shared" si="7"/>
        <v>MARCO ANTONIO VOLSE FERNANDES</v>
      </c>
      <c r="AG8" s="60" t="str">
        <f t="shared" si="8"/>
        <v>OK</v>
      </c>
    </row>
    <row r="9" spans="1:33">
      <c r="A9" s="61" t="str">
        <f t="shared" si="2"/>
        <v>LONDRINA [ETAPA 01 - AREAS EXTERNAS G1 - G5]XI1</v>
      </c>
      <c r="B9" s="263" t="s">
        <v>37</v>
      </c>
      <c r="C9" s="337" t="s">
        <v>503</v>
      </c>
      <c r="D9" s="166">
        <v>1</v>
      </c>
      <c r="E9" s="197">
        <v>400.62</v>
      </c>
      <c r="F9" s="166">
        <v>2633</v>
      </c>
      <c r="G9" s="338" t="s">
        <v>454</v>
      </c>
      <c r="H9" s="40">
        <v>41433</v>
      </c>
      <c r="I9" s="35">
        <v>120506.5</v>
      </c>
      <c r="J9" s="35" t="str">
        <f>IFERROR(VLOOKUP(CONCATENATE(B9,C9,D9,),Inadimplencia!$A$6:$K$110,6,0),"ATIVO")</f>
        <v>ATIVO</v>
      </c>
      <c r="K9" s="35">
        <f t="shared" si="3"/>
        <v>112050.31</v>
      </c>
      <c r="L9" s="325">
        <f t="shared" si="4"/>
        <v>0.92982793459273982</v>
      </c>
      <c r="M9" s="423" t="str">
        <f t="shared" si="5"/>
        <v>ATIVO0</v>
      </c>
      <c r="Q9" s="30">
        <f>SUM(Q5:Q8)</f>
        <v>717</v>
      </c>
      <c r="R9" s="55">
        <f>SUM(R5:R8)</f>
        <v>56213860.519999996</v>
      </c>
      <c r="T9" s="38"/>
      <c r="U9" s="38"/>
      <c r="V9" s="38"/>
      <c r="W9" s="37"/>
      <c r="X9" s="203" t="str">
        <f t="shared" si="0"/>
        <v>LONDRINA [ETAPA 01 - AREAS EXTERNAS G1 - G5]ATIVO</v>
      </c>
      <c r="Y9" s="203" t="str">
        <f t="shared" si="1"/>
        <v>XI1THIAGO DE MENEZES CALDAS</v>
      </c>
      <c r="Z9" s="203" t="str">
        <f t="shared" si="6"/>
        <v>XI1THIAGO DE MENEZES CALDAS</v>
      </c>
      <c r="AA9" s="427" t="s">
        <v>503</v>
      </c>
      <c r="AB9" s="427">
        <v>1</v>
      </c>
      <c r="AC9" s="428" t="s">
        <v>454</v>
      </c>
      <c r="AD9" s="505">
        <v>112050.31</v>
      </c>
      <c r="AE9" s="506">
        <v>282245.19</v>
      </c>
      <c r="AF9" s="60" t="str">
        <f t="shared" si="7"/>
        <v>THIAGO DE MENEZES CALDAS</v>
      </c>
      <c r="AG9" s="60" t="str">
        <f t="shared" si="8"/>
        <v>OK</v>
      </c>
    </row>
    <row r="10" spans="1:33">
      <c r="A10" s="61" t="str">
        <f t="shared" si="2"/>
        <v>LONDRINA [ETAPA 01 - AREAS EXTERNAS G1 - G5]XI2</v>
      </c>
      <c r="B10" s="263" t="s">
        <v>37</v>
      </c>
      <c r="C10" s="337" t="s">
        <v>503</v>
      </c>
      <c r="D10" s="73">
        <v>2</v>
      </c>
      <c r="E10" s="315">
        <v>267.14</v>
      </c>
      <c r="F10" s="166">
        <v>2634</v>
      </c>
      <c r="G10" s="74" t="s">
        <v>454</v>
      </c>
      <c r="H10" s="40">
        <v>41433</v>
      </c>
      <c r="I10" s="35">
        <v>87889.06</v>
      </c>
      <c r="J10" s="35" t="str">
        <f>IFERROR(VLOOKUP(CONCATENATE(B10,C10,D10,),Inadimplencia!$A$6:$K$110,6,0),"ATIVO")</f>
        <v>ATIVO</v>
      </c>
      <c r="K10" s="35">
        <f t="shared" si="3"/>
        <v>82439.839999999997</v>
      </c>
      <c r="L10" s="325">
        <f t="shared" si="4"/>
        <v>0.93799888177208857</v>
      </c>
      <c r="M10" s="423" t="str">
        <f t="shared" si="5"/>
        <v>ATIVO0</v>
      </c>
      <c r="S10" s="9"/>
      <c r="T10" s="38"/>
      <c r="U10" s="38"/>
      <c r="V10" s="38"/>
      <c r="W10" s="37"/>
      <c r="X10" s="203" t="str">
        <f t="shared" si="0"/>
        <v>LONDRINA [ETAPA 01 - AREAS EXTERNAS G1 - G5]ATIVO</v>
      </c>
      <c r="Y10" s="203" t="str">
        <f t="shared" si="1"/>
        <v>XI2THIAGO DE MENEZES CALDAS</v>
      </c>
      <c r="Z10" s="203" t="str">
        <f t="shared" si="6"/>
        <v>XI2THIAGO DE MENEZES CALDAS</v>
      </c>
      <c r="AA10" s="427" t="s">
        <v>503</v>
      </c>
      <c r="AB10" s="427">
        <v>2</v>
      </c>
      <c r="AC10" s="428" t="s">
        <v>454</v>
      </c>
      <c r="AD10" s="505">
        <v>82439.839999999997</v>
      </c>
      <c r="AE10" s="506">
        <v>206595.05000000002</v>
      </c>
      <c r="AF10" s="60" t="str">
        <f t="shared" si="7"/>
        <v>THIAGO DE MENEZES CALDAS</v>
      </c>
      <c r="AG10" s="60" t="str">
        <f t="shared" si="8"/>
        <v>OK</v>
      </c>
    </row>
    <row r="11" spans="1:33">
      <c r="A11" s="61" t="str">
        <f t="shared" si="2"/>
        <v>LONDRINA [ETAPA 01 - AREAS EXTERNAS G1 - G5]XI3</v>
      </c>
      <c r="B11" s="263" t="s">
        <v>37</v>
      </c>
      <c r="C11" s="337" t="s">
        <v>503</v>
      </c>
      <c r="D11" s="166">
        <v>3</v>
      </c>
      <c r="E11" s="197">
        <v>262.63</v>
      </c>
      <c r="F11" s="166">
        <v>2638</v>
      </c>
      <c r="G11" s="338" t="s">
        <v>454</v>
      </c>
      <c r="H11" s="40">
        <v>41433</v>
      </c>
      <c r="I11" s="35">
        <v>86405.27</v>
      </c>
      <c r="J11" s="35" t="str">
        <f>IFERROR(VLOOKUP(CONCATENATE(B11,C11,D11,),Inadimplencia!$A$6:$K$110,6,0),"ATIVO")</f>
        <v>ATIVO</v>
      </c>
      <c r="K11" s="35">
        <f t="shared" si="3"/>
        <v>78259.759999999995</v>
      </c>
      <c r="L11" s="325">
        <f t="shared" si="4"/>
        <v>0.90572901398259609</v>
      </c>
      <c r="M11" s="423" t="str">
        <f t="shared" si="5"/>
        <v>ATIVO0</v>
      </c>
      <c r="N11" s="10" t="s">
        <v>19</v>
      </c>
      <c r="O11" s="25"/>
      <c r="P11" s="26"/>
      <c r="Q11" s="31">
        <f>COUNT(D737:D871)</f>
        <v>135</v>
      </c>
      <c r="R11" s="31"/>
      <c r="S11" s="54">
        <v>0</v>
      </c>
      <c r="T11" s="38"/>
      <c r="U11" s="38"/>
      <c r="V11" s="38"/>
      <c r="W11" s="37"/>
      <c r="X11" s="203" t="str">
        <f t="shared" si="0"/>
        <v>LONDRINA [ETAPA 01 - AREAS EXTERNAS G1 - G5]ATIVO</v>
      </c>
      <c r="Y11" s="203" t="str">
        <f t="shared" si="1"/>
        <v>XI3THIAGO DE MENEZES CALDAS</v>
      </c>
      <c r="Z11" s="203" t="str">
        <f t="shared" si="6"/>
        <v>XI3THIAGO DE MENEZES CALDAS</v>
      </c>
      <c r="AA11" s="427" t="s">
        <v>503</v>
      </c>
      <c r="AB11" s="427">
        <v>3</v>
      </c>
      <c r="AC11" s="428" t="s">
        <v>454</v>
      </c>
      <c r="AD11" s="505">
        <v>78259.759999999995</v>
      </c>
      <c r="AE11" s="506">
        <v>202797.93</v>
      </c>
      <c r="AF11" s="60" t="str">
        <f t="shared" si="7"/>
        <v>THIAGO DE MENEZES CALDAS</v>
      </c>
      <c r="AG11" s="60" t="str">
        <f t="shared" si="8"/>
        <v>OK</v>
      </c>
    </row>
    <row r="12" spans="1:33">
      <c r="A12" s="61" t="str">
        <f t="shared" si="2"/>
        <v>LONDRINA [ETAPA 01 - AREAS EXTERNAS G1 - G5]XI4</v>
      </c>
      <c r="B12" s="263" t="s">
        <v>37</v>
      </c>
      <c r="C12" s="337" t="s">
        <v>503</v>
      </c>
      <c r="D12" s="73">
        <v>4</v>
      </c>
      <c r="E12" s="315">
        <v>262.63</v>
      </c>
      <c r="F12" s="166">
        <v>2639</v>
      </c>
      <c r="G12" s="74" t="s">
        <v>454</v>
      </c>
      <c r="H12" s="40">
        <v>41433</v>
      </c>
      <c r="I12" s="35">
        <v>86405.27</v>
      </c>
      <c r="J12" s="35" t="str">
        <f>IFERROR(VLOOKUP(CONCATENATE(B12,C12,D12,),Inadimplencia!$A$6:$K$110,6,0),"ATIVO")</f>
        <v>ATIVO</v>
      </c>
      <c r="K12" s="35">
        <f t="shared" si="3"/>
        <v>79642.740000000005</v>
      </c>
      <c r="L12" s="325">
        <f t="shared" si="4"/>
        <v>0.92173475066972188</v>
      </c>
      <c r="M12" s="423" t="str">
        <f t="shared" si="5"/>
        <v>ATIVO0</v>
      </c>
      <c r="N12" s="10" t="s">
        <v>18</v>
      </c>
      <c r="O12" s="25"/>
      <c r="P12" s="26"/>
      <c r="Q12" s="29"/>
      <c r="R12" s="31"/>
      <c r="S12" s="54">
        <v>0</v>
      </c>
      <c r="T12" s="38"/>
      <c r="U12" s="38"/>
      <c r="V12" s="38"/>
      <c r="W12" s="37"/>
      <c r="X12" s="203" t="str">
        <f t="shared" si="0"/>
        <v>LONDRINA [ETAPA 01 - AREAS EXTERNAS G1 - G5]ATIVO</v>
      </c>
      <c r="Y12" s="203" t="str">
        <f t="shared" si="1"/>
        <v>XI4THIAGO DE MENEZES CALDAS</v>
      </c>
      <c r="Z12" s="203" t="str">
        <f t="shared" si="6"/>
        <v>XI4THIAGO DE MENEZES CALDAS</v>
      </c>
      <c r="AA12" s="427" t="s">
        <v>503</v>
      </c>
      <c r="AB12" s="427">
        <v>4</v>
      </c>
      <c r="AC12" s="428" t="s">
        <v>454</v>
      </c>
      <c r="AD12" s="505">
        <v>79642.740000000005</v>
      </c>
      <c r="AE12" s="506">
        <v>204422.49</v>
      </c>
      <c r="AF12" s="60" t="str">
        <f t="shared" si="7"/>
        <v>THIAGO DE MENEZES CALDAS</v>
      </c>
      <c r="AG12" s="60" t="str">
        <f t="shared" si="8"/>
        <v>OK</v>
      </c>
    </row>
    <row r="13" spans="1:33">
      <c r="A13" s="61" t="str">
        <f t="shared" si="2"/>
        <v>LONDRINA [ETAPA 01 - AREAS EXTERNAS G1 - G5]XI5</v>
      </c>
      <c r="B13" s="263" t="s">
        <v>37</v>
      </c>
      <c r="C13" s="337" t="s">
        <v>503</v>
      </c>
      <c r="D13" s="166">
        <v>5</v>
      </c>
      <c r="E13" s="197">
        <v>262.08999999999997</v>
      </c>
      <c r="F13" s="166">
        <v>2658</v>
      </c>
      <c r="G13" s="338" t="s">
        <v>340</v>
      </c>
      <c r="H13" s="40">
        <v>41447</v>
      </c>
      <c r="I13" s="35">
        <v>86227.69</v>
      </c>
      <c r="J13" s="35" t="str">
        <f>IFERROR(VLOOKUP(CONCATENATE(B13,C13,D13,),Inadimplencia!$A$6:$K$110,6,0),"ATIVO")</f>
        <v>ATIVO</v>
      </c>
      <c r="K13" s="35">
        <f t="shared" si="3"/>
        <v>77386.36</v>
      </c>
      <c r="L13" s="325">
        <f t="shared" si="4"/>
        <v>0.89746530377886735</v>
      </c>
      <c r="M13" s="423" t="str">
        <f t="shared" si="5"/>
        <v>ATIVO0</v>
      </c>
      <c r="N13" s="28"/>
      <c r="T13" s="38"/>
      <c r="U13" s="38"/>
      <c r="V13" s="38"/>
      <c r="W13" s="37"/>
      <c r="X13" s="203" t="str">
        <f t="shared" si="0"/>
        <v>LONDRINA [ETAPA 01 - AREAS EXTERNAS G1 - G5]ATIVO</v>
      </c>
      <c r="Y13" s="203" t="str">
        <f t="shared" si="1"/>
        <v>XI5MARCOS ALIPIO VASCONCELOS VIANA</v>
      </c>
      <c r="Z13" s="203" t="str">
        <f t="shared" si="6"/>
        <v>XI5MARCOS ALIPIO VASCONCELOS VIANA</v>
      </c>
      <c r="AA13" s="427" t="s">
        <v>503</v>
      </c>
      <c r="AB13" s="427">
        <v>5</v>
      </c>
      <c r="AC13" s="428" t="s">
        <v>340</v>
      </c>
      <c r="AD13" s="505">
        <v>77386.36</v>
      </c>
      <c r="AE13" s="506">
        <v>159678.22</v>
      </c>
      <c r="AF13" s="60" t="str">
        <f t="shared" si="7"/>
        <v>MARCOS ALIPIO VASCONCELOS VIANA</v>
      </c>
      <c r="AG13" s="60" t="str">
        <f t="shared" si="8"/>
        <v>OK</v>
      </c>
    </row>
    <row r="14" spans="1:33">
      <c r="A14" s="61" t="str">
        <f t="shared" si="2"/>
        <v>LONDRINA [ETAPA 01 - AREAS EXTERNAS G1 - G5]XI8</v>
      </c>
      <c r="B14" s="263" t="s">
        <v>37</v>
      </c>
      <c r="C14" s="337" t="s">
        <v>503</v>
      </c>
      <c r="D14" s="73">
        <v>8</v>
      </c>
      <c r="E14" s="315">
        <v>252.75</v>
      </c>
      <c r="F14" s="166">
        <v>2454</v>
      </c>
      <c r="G14" s="74" t="s">
        <v>358</v>
      </c>
      <c r="H14" s="40">
        <v>41446</v>
      </c>
      <c r="I14" s="35">
        <v>83154.75</v>
      </c>
      <c r="J14" s="35" t="str">
        <f>IFERROR(VLOOKUP(CONCATENATE(B14,C14,D14,),Inadimplencia!$A$6:$K$110,6,0),"ATIVO")</f>
        <v>ATIVO</v>
      </c>
      <c r="K14" s="35">
        <f t="shared" si="3"/>
        <v>84089.33</v>
      </c>
      <c r="L14" s="325">
        <f t="shared" si="4"/>
        <v>1.0112390452740223</v>
      </c>
      <c r="M14" s="423" t="str">
        <f t="shared" si="5"/>
        <v>ATIVO1</v>
      </c>
      <c r="Q14" s="50" t="s">
        <v>592</v>
      </c>
      <c r="R14" s="50" t="s">
        <v>593</v>
      </c>
      <c r="S14" s="50" t="s">
        <v>594</v>
      </c>
      <c r="T14" s="38"/>
      <c r="U14" s="38"/>
      <c r="V14" s="38"/>
      <c r="W14" s="37"/>
      <c r="X14" s="203" t="str">
        <f t="shared" si="0"/>
        <v>LONDRINA [ETAPA 01 - AREAS EXTERNAS G1 - G5]ATIVO</v>
      </c>
      <c r="Y14" s="203" t="str">
        <f t="shared" si="1"/>
        <v>XI8MARIO CESAR VOLPE PAULO</v>
      </c>
      <c r="Z14" s="203" t="str">
        <f t="shared" si="6"/>
        <v>XI8MARIO CESAR VOLPE PAULO</v>
      </c>
      <c r="AA14" s="427" t="s">
        <v>503</v>
      </c>
      <c r="AB14" s="427">
        <v>8</v>
      </c>
      <c r="AC14" s="428" t="s">
        <v>358</v>
      </c>
      <c r="AD14" s="505">
        <v>84089.33</v>
      </c>
      <c r="AE14" s="506">
        <v>161309.64000000001</v>
      </c>
      <c r="AF14" s="60" t="str">
        <f t="shared" si="7"/>
        <v>MARIO CESAR VOLPE PAULO</v>
      </c>
      <c r="AG14" s="60" t="str">
        <f t="shared" si="8"/>
        <v>OK</v>
      </c>
    </row>
    <row r="15" spans="1:33">
      <c r="A15" s="61" t="str">
        <f t="shared" si="2"/>
        <v>LONDRINA [ETAPA 01 - AREAS EXTERNAS G1 - G5]XI9</v>
      </c>
      <c r="B15" s="263" t="s">
        <v>37</v>
      </c>
      <c r="C15" s="337" t="s">
        <v>503</v>
      </c>
      <c r="D15" s="166">
        <v>9</v>
      </c>
      <c r="E15" s="197">
        <v>252.75</v>
      </c>
      <c r="F15" s="166">
        <v>2455</v>
      </c>
      <c r="G15" s="338" t="s">
        <v>358</v>
      </c>
      <c r="H15" s="40">
        <v>41446</v>
      </c>
      <c r="I15" s="35">
        <v>83154.75</v>
      </c>
      <c r="J15" s="35" t="str">
        <f>IFERROR(VLOOKUP(CONCATENATE(B15,C15,D15,),Inadimplencia!$A$6:$K$110,6,0),"ATIVO")</f>
        <v>ATIVO</v>
      </c>
      <c r="K15" s="35">
        <f t="shared" si="3"/>
        <v>41486.51</v>
      </c>
      <c r="L15" s="325">
        <f t="shared" si="4"/>
        <v>0.49890727829739134</v>
      </c>
      <c r="M15" s="423" t="str">
        <f t="shared" si="5"/>
        <v>ATIVO0</v>
      </c>
      <c r="N15" s="10" t="s">
        <v>591</v>
      </c>
      <c r="O15" s="25"/>
      <c r="P15" s="26"/>
      <c r="Q15" s="565">
        <v>11636834.138031201</v>
      </c>
      <c r="R15" s="566">
        <v>7316052.4808321996</v>
      </c>
      <c r="S15" s="339">
        <f>SUM(Q15:R15)</f>
        <v>18952886.6188634</v>
      </c>
      <c r="T15" s="38"/>
      <c r="U15" s="38"/>
      <c r="V15" s="38"/>
      <c r="W15" s="37"/>
      <c r="X15" s="203" t="str">
        <f t="shared" si="0"/>
        <v>LONDRINA [ETAPA 01 - AREAS EXTERNAS G1 - G5]ATIVO</v>
      </c>
      <c r="Y15" s="203" t="str">
        <f t="shared" si="1"/>
        <v>XI9MARIO CESAR VOLPE PAULO</v>
      </c>
      <c r="Z15" s="203" t="str">
        <f t="shared" si="6"/>
        <v>XI9MARIO CESAR VOLPE PAULO</v>
      </c>
      <c r="AA15" s="427" t="s">
        <v>503</v>
      </c>
      <c r="AB15" s="427">
        <v>9</v>
      </c>
      <c r="AC15" s="428" t="s">
        <v>358</v>
      </c>
      <c r="AD15" s="505">
        <v>41486.51</v>
      </c>
      <c r="AE15" s="506">
        <v>139541.29</v>
      </c>
      <c r="AF15" s="60" t="str">
        <f t="shared" si="7"/>
        <v>MARIO CESAR VOLPE PAULO</v>
      </c>
      <c r="AG15" s="60" t="str">
        <f t="shared" si="8"/>
        <v>OK</v>
      </c>
    </row>
    <row r="16" spans="1:33">
      <c r="A16" s="61" t="str">
        <f t="shared" si="2"/>
        <v>LONDRINA [ETAPA 01 - AREAS EXTERNAS G1 - G5]XI10</v>
      </c>
      <c r="B16" s="263" t="s">
        <v>37</v>
      </c>
      <c r="C16" s="337" t="s">
        <v>503</v>
      </c>
      <c r="D16" s="73">
        <v>10</v>
      </c>
      <c r="E16" s="315">
        <v>252.75</v>
      </c>
      <c r="F16" s="166">
        <v>2630</v>
      </c>
      <c r="G16" s="74" t="s">
        <v>321</v>
      </c>
      <c r="H16" s="40">
        <v>41431</v>
      </c>
      <c r="I16" s="35">
        <v>83154.75</v>
      </c>
      <c r="J16" s="35" t="str">
        <f>IFERROR(VLOOKUP(CONCATENATE(B16,C16,D16,),Inadimplencia!$A$6:$K$110,6,0),"ATIVO")</f>
        <v>ATIVO</v>
      </c>
      <c r="K16" s="35">
        <f t="shared" si="3"/>
        <v>83257.710000000006</v>
      </c>
      <c r="L16" s="325">
        <f t="shared" si="4"/>
        <v>1.0012381734056084</v>
      </c>
      <c r="M16" s="423" t="str">
        <f t="shared" si="5"/>
        <v>ATIVO1</v>
      </c>
      <c r="O16" s="25"/>
      <c r="Q16" s="6"/>
      <c r="R16" s="6"/>
      <c r="S16" s="23"/>
      <c r="T16" s="38"/>
      <c r="U16" s="38"/>
      <c r="V16" s="38"/>
      <c r="W16" s="37"/>
      <c r="X16" s="203" t="str">
        <f t="shared" si="0"/>
        <v>LONDRINA [ETAPA 01 - AREAS EXTERNAS G1 - G5]ATIVO</v>
      </c>
      <c r="Y16" s="203" t="str">
        <f t="shared" si="1"/>
        <v>XI10LUIZ HIROAKI SATO</v>
      </c>
      <c r="Z16" s="203" t="str">
        <f t="shared" si="6"/>
        <v>XI10LUIZ HIROAKI SATO</v>
      </c>
      <c r="AA16" s="427" t="s">
        <v>503</v>
      </c>
      <c r="AB16" s="427">
        <v>10</v>
      </c>
      <c r="AC16" s="428" t="s">
        <v>321</v>
      </c>
      <c r="AD16" s="505">
        <v>83257.710000000006</v>
      </c>
      <c r="AE16" s="506">
        <v>163003.98000000001</v>
      </c>
      <c r="AF16" s="60" t="str">
        <f t="shared" si="7"/>
        <v>LUIZ HIROAKI SATO</v>
      </c>
      <c r="AG16" s="60" t="str">
        <f t="shared" si="8"/>
        <v>OK</v>
      </c>
    </row>
    <row r="17" spans="1:33">
      <c r="A17" s="61" t="str">
        <f t="shared" si="2"/>
        <v>LONDRINA [ETAPA 01 - AREAS EXTERNAS G1 - G5]XI11</v>
      </c>
      <c r="B17" s="263" t="s">
        <v>37</v>
      </c>
      <c r="C17" s="337" t="s">
        <v>503</v>
      </c>
      <c r="D17" s="166">
        <v>11</v>
      </c>
      <c r="E17" s="197">
        <v>252.75</v>
      </c>
      <c r="F17" s="166">
        <v>2348</v>
      </c>
      <c r="G17" s="338" t="s">
        <v>192</v>
      </c>
      <c r="H17" s="40">
        <v>41440</v>
      </c>
      <c r="I17" s="35">
        <v>83154.75</v>
      </c>
      <c r="J17" s="35" t="str">
        <f>IFERROR(VLOOKUP(CONCATENATE(B17,C17,D17,),Inadimplencia!$A$6:$K$110,6,0),"ATIVO")</f>
        <v>ATIVO</v>
      </c>
      <c r="K17" s="35">
        <f t="shared" si="3"/>
        <v>14726.74</v>
      </c>
      <c r="L17" s="325">
        <f t="shared" si="4"/>
        <v>0.17710040617042322</v>
      </c>
      <c r="M17" s="423" t="str">
        <f t="shared" si="5"/>
        <v>ATIVO0</v>
      </c>
      <c r="N17" s="10" t="s">
        <v>595</v>
      </c>
      <c r="O17" s="25"/>
      <c r="P17" s="75"/>
      <c r="Q17" s="75"/>
      <c r="R17" s="76"/>
      <c r="S17" s="70">
        <f>(SUM(R6,R7)/S15)</f>
        <v>2.3153278723424133</v>
      </c>
      <c r="T17" s="38"/>
      <c r="U17" s="38"/>
      <c r="V17" s="38"/>
      <c r="W17" s="37"/>
      <c r="X17" s="203" t="str">
        <f t="shared" si="0"/>
        <v>LONDRINA [ETAPA 01 - AREAS EXTERNAS G1 - G5]ATIVO</v>
      </c>
      <c r="Y17" s="203" t="str">
        <f t="shared" si="1"/>
        <v>XI11EUGENIA CAMPREGHER DA SILVA</v>
      </c>
      <c r="Z17" s="203" t="str">
        <f t="shared" si="6"/>
        <v>XI11EUGENIA CAMPREGHER DA SILVA</v>
      </c>
      <c r="AA17" s="427" t="s">
        <v>503</v>
      </c>
      <c r="AB17" s="427">
        <v>11</v>
      </c>
      <c r="AC17" s="428" t="s">
        <v>192</v>
      </c>
      <c r="AD17" s="505">
        <v>14726.74</v>
      </c>
      <c r="AE17" s="506">
        <v>116463.53</v>
      </c>
      <c r="AF17" s="60" t="str">
        <f t="shared" si="7"/>
        <v>EUGENIA CAMPREGHER DA SILVA</v>
      </c>
      <c r="AG17" s="60" t="str">
        <f t="shared" si="8"/>
        <v>OK</v>
      </c>
    </row>
    <row r="18" spans="1:33">
      <c r="A18" s="61" t="str">
        <f t="shared" si="2"/>
        <v>LONDRINA [ETAPA 01 - AREAS EXTERNAS G1 - G5]XI13</v>
      </c>
      <c r="B18" s="263" t="s">
        <v>37</v>
      </c>
      <c r="C18" s="337" t="s">
        <v>503</v>
      </c>
      <c r="D18" s="73">
        <v>13</v>
      </c>
      <c r="E18" s="315">
        <v>252.75</v>
      </c>
      <c r="F18" s="166">
        <v>3801</v>
      </c>
      <c r="G18" s="74" t="s">
        <v>1146</v>
      </c>
      <c r="H18" s="40">
        <v>43892</v>
      </c>
      <c r="I18" s="35">
        <v>144759</v>
      </c>
      <c r="J18" s="35" t="str">
        <f>IFERROR(VLOOKUP(CONCATENATE(B18,C18,D18,),Inadimplencia!$A$6:$K$110,6,0),"ATIVO")</f>
        <v>ATIVO</v>
      </c>
      <c r="K18" s="35">
        <f t="shared" si="3"/>
        <v>36375.79</v>
      </c>
      <c r="L18" s="325">
        <f t="shared" si="4"/>
        <v>0.25128517052480331</v>
      </c>
      <c r="M18" s="423" t="str">
        <f t="shared" si="5"/>
        <v>ATIVO0</v>
      </c>
      <c r="W18" s="37"/>
      <c r="X18" s="203" t="str">
        <f t="shared" si="0"/>
        <v>LONDRINA [ETAPA 01 - AREAS EXTERNAS G1 - G5]ATIVO</v>
      </c>
      <c r="Y18" s="203" t="str">
        <f t="shared" si="1"/>
        <v>XI13ROBERTO CARLOS DE OLIVEIRA</v>
      </c>
      <c r="Z18" s="203" t="str">
        <f t="shared" si="6"/>
        <v>XI13ROBERTO CARLOS DE OLIVEIRA</v>
      </c>
      <c r="AA18" s="427" t="s">
        <v>503</v>
      </c>
      <c r="AB18" s="427">
        <v>13</v>
      </c>
      <c r="AC18" s="428" t="s">
        <v>1146</v>
      </c>
      <c r="AD18" s="505">
        <v>36375.79</v>
      </c>
      <c r="AE18" s="506">
        <v>141044.12</v>
      </c>
      <c r="AF18" s="60" t="str">
        <f t="shared" si="7"/>
        <v>ROBERTO CARLOS DE OLIVEIRA</v>
      </c>
      <c r="AG18" s="60" t="str">
        <f t="shared" si="8"/>
        <v>OK</v>
      </c>
    </row>
    <row r="19" spans="1:33">
      <c r="A19" s="61" t="str">
        <f t="shared" si="2"/>
        <v>LONDRINA [ETAPA 01 - AREAS EXTERNAS G1 - G5]XI14</v>
      </c>
      <c r="B19" s="263" t="s">
        <v>37</v>
      </c>
      <c r="C19" s="337" t="s">
        <v>503</v>
      </c>
      <c r="D19" s="166">
        <v>14</v>
      </c>
      <c r="E19" s="197">
        <v>252.75</v>
      </c>
      <c r="F19" s="166">
        <v>2299</v>
      </c>
      <c r="G19" s="338" t="s">
        <v>68</v>
      </c>
      <c r="H19" s="40">
        <v>41445</v>
      </c>
      <c r="I19" s="35">
        <v>83154.75</v>
      </c>
      <c r="J19" s="35" t="str">
        <f>IFERROR(VLOOKUP(CONCATENATE(B19,C19,D19,),Inadimplencia!$A$6:$K$110,6,0),"ATIVO")</f>
        <v>ATIVO</v>
      </c>
      <c r="K19" s="35">
        <f t="shared" si="3"/>
        <v>43847.63</v>
      </c>
      <c r="L19" s="325">
        <f t="shared" si="4"/>
        <v>0.5273015672586352</v>
      </c>
      <c r="M19" s="423" t="str">
        <f t="shared" si="5"/>
        <v>ATIVO0</v>
      </c>
      <c r="N19" s="77" t="s">
        <v>596</v>
      </c>
      <c r="W19" s="37"/>
      <c r="X19" s="203" t="str">
        <f t="shared" si="0"/>
        <v>LONDRINA [ETAPA 01 - AREAS EXTERNAS G1 - G5]ATIVO</v>
      </c>
      <c r="Y19" s="203" t="str">
        <f t="shared" si="1"/>
        <v>XI14ANDERSON CARNEIRO</v>
      </c>
      <c r="Z19" s="203" t="str">
        <f t="shared" si="6"/>
        <v>XI14ANDERSON CARNEIRO</v>
      </c>
      <c r="AA19" s="427" t="s">
        <v>503</v>
      </c>
      <c r="AB19" s="427">
        <v>14</v>
      </c>
      <c r="AC19" s="428" t="s">
        <v>68</v>
      </c>
      <c r="AD19" s="505">
        <v>43847.63</v>
      </c>
      <c r="AE19" s="506">
        <v>152746.86000000002</v>
      </c>
      <c r="AF19" s="60" t="str">
        <f t="shared" si="7"/>
        <v>ANDERSON CARNEIRO</v>
      </c>
      <c r="AG19" s="60" t="str">
        <f t="shared" si="8"/>
        <v>OK</v>
      </c>
    </row>
    <row r="20" spans="1:33">
      <c r="A20" s="61" t="str">
        <f t="shared" si="2"/>
        <v>LONDRINA [ETAPA 01 - AREAS EXTERNAS G1 - G5]XI17</v>
      </c>
      <c r="B20" s="263" t="s">
        <v>37</v>
      </c>
      <c r="C20" s="337" t="s">
        <v>503</v>
      </c>
      <c r="D20" s="73">
        <v>17</v>
      </c>
      <c r="E20" s="315">
        <v>252.75</v>
      </c>
      <c r="F20" s="166">
        <v>7018</v>
      </c>
      <c r="G20" s="74" t="s">
        <v>936</v>
      </c>
      <c r="H20" s="40">
        <v>43525</v>
      </c>
      <c r="I20" s="35">
        <v>154912</v>
      </c>
      <c r="J20" s="35" t="str">
        <f>IFERROR(VLOOKUP(CONCATENATE(B20,C20,D20,),Inadimplencia!$A$6:$K$110,6,0),"ATIVO")</f>
        <v>ATIVO</v>
      </c>
      <c r="K20" s="35">
        <f t="shared" si="3"/>
        <v>153223.24</v>
      </c>
      <c r="L20" s="325">
        <f t="shared" si="4"/>
        <v>0.98909858500309844</v>
      </c>
      <c r="M20" s="423" t="str">
        <f t="shared" si="5"/>
        <v>ATIVO0</v>
      </c>
      <c r="S20" s="57"/>
      <c r="W20" s="37"/>
      <c r="X20" s="203" t="str">
        <f t="shared" si="0"/>
        <v>LONDRINA [ETAPA 01 - AREAS EXTERNAS G1 - G5]ATIVO</v>
      </c>
      <c r="Y20" s="203" t="str">
        <f t="shared" si="1"/>
        <v>XI17DOUGLAS ANTONIO DE LIMA</v>
      </c>
      <c r="Z20" s="203" t="str">
        <f t="shared" si="6"/>
        <v>XI17DOUGLAS ANTONIO DE LIMA</v>
      </c>
      <c r="AA20" s="427" t="s">
        <v>503</v>
      </c>
      <c r="AB20" s="427">
        <v>17</v>
      </c>
      <c r="AC20" s="428" t="s">
        <v>936</v>
      </c>
      <c r="AD20" s="505">
        <v>153223.24</v>
      </c>
      <c r="AE20" s="506">
        <v>204333.98</v>
      </c>
      <c r="AF20" s="60" t="str">
        <f t="shared" si="7"/>
        <v>DOUGLAS ANTONIO DE LIMA</v>
      </c>
      <c r="AG20" s="60" t="str">
        <f t="shared" si="8"/>
        <v>OK</v>
      </c>
    </row>
    <row r="21" spans="1:33">
      <c r="A21" s="61" t="str">
        <f t="shared" si="2"/>
        <v>LONDRINA [ETAPA 01 - AREAS EXTERNAS G1 - G5]XI19</v>
      </c>
      <c r="B21" s="263" t="s">
        <v>37</v>
      </c>
      <c r="C21" s="337" t="s">
        <v>503</v>
      </c>
      <c r="D21" s="166">
        <v>19</v>
      </c>
      <c r="E21" s="197">
        <v>252.75</v>
      </c>
      <c r="F21" s="166">
        <v>2614</v>
      </c>
      <c r="G21" s="338" t="s">
        <v>76</v>
      </c>
      <c r="H21" s="40">
        <v>41445</v>
      </c>
      <c r="I21" s="35">
        <v>83154.75</v>
      </c>
      <c r="J21" s="35" t="str">
        <f>IFERROR(VLOOKUP(CONCATENATE(B21,C21,D21,),Inadimplencia!$A$6:$K$110,6,0),"ATIVO")</f>
        <v>ATIVO</v>
      </c>
      <c r="K21" s="35">
        <f t="shared" si="3"/>
        <v>86975.69</v>
      </c>
      <c r="L21" s="325">
        <f t="shared" si="4"/>
        <v>1.0459497503149249</v>
      </c>
      <c r="M21" s="423" t="str">
        <f t="shared" si="5"/>
        <v>ATIVO1</v>
      </c>
      <c r="N21" s="245" t="s">
        <v>881</v>
      </c>
      <c r="O21" s="240"/>
      <c r="P21" s="241" t="s">
        <v>1016</v>
      </c>
      <c r="Q21" s="251" t="s">
        <v>1019</v>
      </c>
      <c r="R21" s="252" t="s">
        <v>1056</v>
      </c>
      <c r="S21" s="252" t="s">
        <v>557</v>
      </c>
      <c r="T21" s="476" t="s">
        <v>944</v>
      </c>
      <c r="U21" s="252" t="s">
        <v>1468</v>
      </c>
      <c r="V21" s="477" t="s">
        <v>1469</v>
      </c>
      <c r="W21" s="37"/>
      <c r="X21" s="203" t="str">
        <f t="shared" si="0"/>
        <v>LONDRINA [ETAPA 01 - AREAS EXTERNAS G1 - G5]ATIVO</v>
      </c>
      <c r="Y21" s="203" t="str">
        <f t="shared" si="1"/>
        <v>XI19ANGELA MARIA CARDOSO DE ALMEIDA</v>
      </c>
      <c r="Z21" s="203" t="str">
        <f t="shared" si="6"/>
        <v>XI19ANGELA MARIA CARDOSO DE ALMEIDA</v>
      </c>
      <c r="AA21" s="427" t="s">
        <v>503</v>
      </c>
      <c r="AB21" s="427">
        <v>19</v>
      </c>
      <c r="AC21" s="428" t="s">
        <v>76</v>
      </c>
      <c r="AD21" s="505">
        <v>86975.69</v>
      </c>
      <c r="AE21" s="506">
        <v>159324.35</v>
      </c>
      <c r="AF21" s="60" t="str">
        <f t="shared" si="7"/>
        <v>ANGELA MARIA CARDOSO DE ALMEIDA</v>
      </c>
      <c r="AG21" s="60" t="str">
        <f t="shared" si="8"/>
        <v>OK</v>
      </c>
    </row>
    <row r="22" spans="1:33">
      <c r="A22" s="61" t="str">
        <f t="shared" si="2"/>
        <v>LONDRINA [ETAPA 01 - AREAS EXTERNAS G1 - G5]XI20</v>
      </c>
      <c r="B22" s="263" t="s">
        <v>37</v>
      </c>
      <c r="C22" s="337" t="s">
        <v>503</v>
      </c>
      <c r="D22" s="73">
        <v>20</v>
      </c>
      <c r="E22" s="315">
        <v>252.75</v>
      </c>
      <c r="F22" s="166">
        <v>2497</v>
      </c>
      <c r="G22" s="74" t="s">
        <v>393</v>
      </c>
      <c r="H22" s="40">
        <v>41435</v>
      </c>
      <c r="I22" s="35">
        <v>83154.75</v>
      </c>
      <c r="J22" s="35" t="str">
        <f>IFERROR(VLOOKUP(CONCATENATE(B22,C22,D22,),Inadimplencia!$A$6:$K$110,6,0),"ATIVO")</f>
        <v>ATIVO</v>
      </c>
      <c r="K22" s="35">
        <f t="shared" si="3"/>
        <v>95484.790000000008</v>
      </c>
      <c r="L22" s="325">
        <f t="shared" si="4"/>
        <v>1.1482782402688962</v>
      </c>
      <c r="M22" s="423" t="str">
        <f t="shared" si="5"/>
        <v>ATIVO1</v>
      </c>
      <c r="N22" s="247" t="s">
        <v>882</v>
      </c>
      <c r="O22" s="253"/>
      <c r="P22" s="260">
        <f>S22/$S$30</f>
        <v>0.11995051572024638</v>
      </c>
      <c r="Q22" s="249">
        <f>SUMIF($B$5:$B$527,"LONDRINA [ETAPA 01 - CONDOMINIO ARAÇARI]",$I$5:$I$527)</f>
        <v>7906230.120000001</v>
      </c>
      <c r="R22" s="178">
        <f>COUNTIF($B$5:$B$527,"LONDRINA [ETAPA 01 - CONDOMINIO ARAÇARI]")</f>
        <v>72</v>
      </c>
      <c r="S22" s="395">
        <f>SUMIF($B$5:$B$527,"LONDRINA [ETAPA 01 - CONDOMINIO ARAÇARI]",$K$5:$K$527)</f>
        <v>6742881.5599999977</v>
      </c>
      <c r="T22" s="176">
        <f>SUMIF($X$5:$X$527,"LONDRINA [ETAPA 01 - CONDOMINIO ARAÇARI]ATIVO",$K$5:$K$527)</f>
        <v>4670511.6899999995</v>
      </c>
      <c r="U22" s="176">
        <f>SUMIF($X$5:$X$527,"LONDRINA [ETAPA 01 - CONDOMINIO ARAÇARI]ATRASO",$K$5:$K$527)</f>
        <v>210222</v>
      </c>
      <c r="V22" s="176">
        <f>SUMIF($X$5:$X$527,"LONDRINA [ETAPA 01 - CONDOMINIO ARAÇARI]INADIMPLENTE",$K$5:$K$527)</f>
        <v>1862147.8699999999</v>
      </c>
      <c r="W22" s="37"/>
      <c r="X22" s="203" t="str">
        <f t="shared" si="0"/>
        <v>LONDRINA [ETAPA 01 - AREAS EXTERNAS G1 - G5]ATIVO</v>
      </c>
      <c r="Y22" s="203" t="str">
        <f t="shared" si="1"/>
        <v>XI20PAULA BERTONCINE SASSO</v>
      </c>
      <c r="Z22" s="203" t="str">
        <f t="shared" si="6"/>
        <v>XI20PAULA BERTONCINE SASSO</v>
      </c>
      <c r="AA22" s="427" t="s">
        <v>503</v>
      </c>
      <c r="AB22" s="427">
        <v>20</v>
      </c>
      <c r="AC22" s="428" t="s">
        <v>393</v>
      </c>
      <c r="AD22" s="505">
        <v>95484.790000000008</v>
      </c>
      <c r="AE22" s="506">
        <v>205045.22</v>
      </c>
      <c r="AF22" s="60" t="str">
        <f t="shared" si="7"/>
        <v>PAULA BERTONCINE SASSO</v>
      </c>
      <c r="AG22" s="60" t="str">
        <f t="shared" si="8"/>
        <v>OK</v>
      </c>
    </row>
    <row r="23" spans="1:33">
      <c r="A23" s="61" t="str">
        <f t="shared" si="2"/>
        <v>LONDRINA [ETAPA 01 - AREAS EXTERNAS G1 - G5]XI22</v>
      </c>
      <c r="B23" s="263" t="s">
        <v>37</v>
      </c>
      <c r="C23" s="337" t="s">
        <v>503</v>
      </c>
      <c r="D23" s="166">
        <v>22</v>
      </c>
      <c r="E23" s="197">
        <v>252.75</v>
      </c>
      <c r="F23" s="166">
        <v>2413</v>
      </c>
      <c r="G23" s="338" t="s">
        <v>86</v>
      </c>
      <c r="H23" s="40">
        <v>41435</v>
      </c>
      <c r="I23" s="35">
        <v>83154.75</v>
      </c>
      <c r="J23" s="35" t="str">
        <f>IFERROR(VLOOKUP(CONCATENATE(B23,C23,D23,),Inadimplencia!$A$6:$K$110,6,0),"ATIVO")</f>
        <v>ATIVO</v>
      </c>
      <c r="K23" s="35">
        <f t="shared" si="3"/>
        <v>72306.59</v>
      </c>
      <c r="L23" s="325">
        <f t="shared" si="4"/>
        <v>0.86954250959806867</v>
      </c>
      <c r="M23" s="423" t="str">
        <f t="shared" si="5"/>
        <v>ATIVO0</v>
      </c>
      <c r="N23" s="247" t="s">
        <v>886</v>
      </c>
      <c r="O23" s="253"/>
      <c r="P23" s="260">
        <f>S23/$S$30</f>
        <v>3.8824007812513064E-2</v>
      </c>
      <c r="Q23" s="249">
        <f>SUMIF($B$5:$B$527,"LONDRINA [ETAPA 01 - AREAS EXTERNAS G1 - G5]",$I$5:$I$527)</f>
        <v>2537820.7000000002</v>
      </c>
      <c r="R23" s="178">
        <f>COUNTIF($B$5:$B$527,"LONDRINA [ETAPA 01 - AREAS EXTERNAS G1 - G5]")</f>
        <v>25</v>
      </c>
      <c r="S23" s="395">
        <f>SUMIF($B$5:$B$527,"LONDRINA [ETAPA 01 - AREAS EXTERNAS G1 - G5]",$K$5:$K$527)</f>
        <v>2182447.36</v>
      </c>
      <c r="T23" s="176">
        <f>SUMIF($X$5:$X$527,"LONDRINA [ETAPA 01 - AREAS EXTERNAS G1 - G5]ATIVO",$K$5:$K$527)</f>
        <v>1943926.9000000001</v>
      </c>
      <c r="U23" s="176">
        <f>SUMIF($X$5:$X$527,"LONDRINA [ETAPA 01 - AREAS EXTERNAS G1 - G5]ATRASO",$K$5:$K$527)</f>
        <v>0</v>
      </c>
      <c r="V23" s="176">
        <f>SUMIF($X$5:$X$527,"LONDRINA [ETAPA 01 - AREAS EXTERNAS G1 - G5]INADIMPLENTE",$K$5:$K$527)</f>
        <v>238520.46</v>
      </c>
      <c r="W23" s="37"/>
      <c r="X23" s="203" t="str">
        <f t="shared" si="0"/>
        <v>LONDRINA [ETAPA 01 - AREAS EXTERNAS G1 - G5]ATIVO</v>
      </c>
      <c r="Y23" s="203" t="str">
        <f t="shared" si="1"/>
        <v>XI22BIANCA SILVA DE LIMA</v>
      </c>
      <c r="Z23" s="203" t="str">
        <f t="shared" si="6"/>
        <v>XI22BIANCA SILVA DE LIMA</v>
      </c>
      <c r="AA23" s="427" t="s">
        <v>503</v>
      </c>
      <c r="AB23" s="427">
        <v>22</v>
      </c>
      <c r="AC23" s="428" t="s">
        <v>86</v>
      </c>
      <c r="AD23" s="505">
        <v>72306.59</v>
      </c>
      <c r="AE23" s="506">
        <v>155047.83000000002</v>
      </c>
      <c r="AF23" s="60" t="str">
        <f t="shared" si="7"/>
        <v>BIANCA SILVA DE LIMA</v>
      </c>
      <c r="AG23" s="60" t="str">
        <f t="shared" si="8"/>
        <v>OK</v>
      </c>
    </row>
    <row r="24" spans="1:33">
      <c r="A24" s="61" t="str">
        <f t="shared" si="2"/>
        <v>LONDRINA [ETAPA 01 - AREAS EXTERNAS G1 - G5]XI25</v>
      </c>
      <c r="B24" s="263" t="s">
        <v>37</v>
      </c>
      <c r="C24" s="337" t="s">
        <v>503</v>
      </c>
      <c r="D24" s="73">
        <v>25</v>
      </c>
      <c r="E24" s="315">
        <v>252.75</v>
      </c>
      <c r="F24" s="166">
        <v>3124</v>
      </c>
      <c r="G24" s="74" t="s">
        <v>1081</v>
      </c>
      <c r="H24" s="40">
        <v>43752</v>
      </c>
      <c r="I24" s="35">
        <v>150400</v>
      </c>
      <c r="J24" s="35" t="str">
        <f>IFERROR(VLOOKUP(CONCATENATE(B24,C24,D24,),Inadimplencia!$A$6:$K$110,6,0),"ATIVO")</f>
        <v>ATIVO</v>
      </c>
      <c r="K24" s="35">
        <f t="shared" si="3"/>
        <v>149694.30000000002</v>
      </c>
      <c r="L24" s="325">
        <f t="shared" si="4"/>
        <v>0.99530784574468101</v>
      </c>
      <c r="M24" s="423" t="str">
        <f t="shared" si="5"/>
        <v>ATIVO0</v>
      </c>
      <c r="N24" s="247" t="s">
        <v>883</v>
      </c>
      <c r="O24" s="253"/>
      <c r="P24" s="260">
        <f>S24/$S$30</f>
        <v>9.8823075458828152E-2</v>
      </c>
      <c r="Q24" s="249">
        <f>SUMIF($B$5:$B$527,"LONDRINA [ETAPA 02 - CONDOMINIO TANGARA]",$I$5:$I$527)</f>
        <v>5436885.7900000019</v>
      </c>
      <c r="R24" s="178">
        <f>COUNTIF($B$5:$B$527,"LONDRINA [ETAPA 02 - CONDOMINIO TANGARA]")</f>
        <v>47</v>
      </c>
      <c r="S24" s="395">
        <f>SUMIF($B$5:$B$527,"LONDRINA [ETAPA 02 - CONDOMINIO TANGARA]",$K$5:$K$527)</f>
        <v>5555226.580000001</v>
      </c>
      <c r="T24" s="176">
        <f>SUMIF($X$5:$X$527,"LONDRINA [ETAPA 02 - CONDOMINIO TANGARA]ATIVO",$K$5:$K$527)</f>
        <v>3580180.62</v>
      </c>
      <c r="U24" s="176">
        <f>SUMIF($X$5:$X$527,"LONDRINA [ETAPA 02 - CONDOMINIO TANGARA]ATRASO",$K$5:$K$527)</f>
        <v>317249.66000000003</v>
      </c>
      <c r="V24" s="176">
        <f>SUMIF($X$5:$X$527,"LONDRINA [ETAPA 02 - CONDOMINIO TANGARA]INADIMPLENTE",$K$5:$K$527)</f>
        <v>1657796.3000000003</v>
      </c>
      <c r="W24" s="37"/>
      <c r="X24" s="203" t="str">
        <f t="shared" si="0"/>
        <v>LONDRINA [ETAPA 01 - AREAS EXTERNAS G1 - G5]ATIVO</v>
      </c>
      <c r="Y24" s="203" t="str">
        <f t="shared" si="1"/>
        <v>XI25MARIO REGIS MARTINS DOS SANTOS</v>
      </c>
      <c r="Z24" s="203" t="str">
        <f t="shared" si="6"/>
        <v>XI25MARIO REGIS MARTINS DOS SANTOS</v>
      </c>
      <c r="AA24" s="427" t="s">
        <v>503</v>
      </c>
      <c r="AB24" s="427">
        <v>25</v>
      </c>
      <c r="AC24" s="428" t="s">
        <v>1081</v>
      </c>
      <c r="AD24" s="505">
        <v>149694.30000000002</v>
      </c>
      <c r="AE24" s="506">
        <v>186027.38</v>
      </c>
      <c r="AF24" s="60" t="str">
        <f t="shared" si="7"/>
        <v>MARIO REGIS MARTINS DOS SANTOS</v>
      </c>
      <c r="AG24" s="60" t="str">
        <f t="shared" si="8"/>
        <v>OK</v>
      </c>
    </row>
    <row r="25" spans="1:33">
      <c r="A25" s="61" t="str">
        <f t="shared" si="2"/>
        <v>LONDRINA [ETAPA 01 - AREAS EXTERNAS G1 - G5]XI26</v>
      </c>
      <c r="B25" s="263" t="s">
        <v>37</v>
      </c>
      <c r="C25" s="337" t="s">
        <v>503</v>
      </c>
      <c r="D25" s="166">
        <v>26</v>
      </c>
      <c r="E25" s="197">
        <v>252.75</v>
      </c>
      <c r="F25" s="166">
        <v>6006</v>
      </c>
      <c r="G25" s="338" t="s">
        <v>100</v>
      </c>
      <c r="H25" s="40">
        <v>43067</v>
      </c>
      <c r="I25" s="35">
        <v>128780</v>
      </c>
      <c r="J25" s="35" t="str">
        <f>IFERROR(VLOOKUP(CONCATENATE(B25,C25,D25,),Inadimplencia!$A$6:$K$110,6,0),"ATIVO")</f>
        <v>ATIVO</v>
      </c>
      <c r="K25" s="35">
        <f t="shared" si="3"/>
        <v>128293.04000000001</v>
      </c>
      <c r="L25" s="325">
        <f t="shared" si="4"/>
        <v>0.99621866749495269</v>
      </c>
      <c r="M25" s="423" t="str">
        <f t="shared" si="5"/>
        <v>ATIVO0</v>
      </c>
      <c r="N25" s="247" t="s">
        <v>887</v>
      </c>
      <c r="O25" s="253"/>
      <c r="P25" s="260">
        <f t="shared" ref="P25:P29" si="9">S25/$S$30</f>
        <v>9.4108730677157929E-2</v>
      </c>
      <c r="Q25" s="249">
        <f>SUMIF($B$5:$B$527,"LONDRINA [ETAPA 02 - AREAS EXTERNAS G2 - G6]",$I$5:$I$527)</f>
        <v>5354481.5000000009</v>
      </c>
      <c r="R25" s="178">
        <f>COUNTIF($B$5:$B$527,"LONDRINA [ETAPA 02 - AREAS EXTERNAS G2 - G6]")</f>
        <v>58</v>
      </c>
      <c r="S25" s="395">
        <f>SUMIF($B$5:$B$527,"LONDRINA [ETAPA 02 - AREAS EXTERNAS G2 - G6]",$K$5:$K$527)</f>
        <v>5290215.0600000015</v>
      </c>
      <c r="T25" s="176">
        <f>SUMIF($X$5:$X$527,"LONDRINA [ETAPA 02 - AREAS EXTERNAS G2 - G6]ATIVO",$K$5:$K$527)</f>
        <v>2984267.4400000004</v>
      </c>
      <c r="U25" s="176">
        <f>SUMIF($X$5:$X$527,"LONDRINA [ETAPA 02 - AREAS EXTERNAS G2 - G6]ATRASO",$K$5:$K$527)</f>
        <v>234175.08000000002</v>
      </c>
      <c r="V25" s="176">
        <f>SUMIF($X$5:$X$527,"LONDRINA [ETAPA 02 - AREAS EXTERNAS G2 - G6]INADIMPLENTE",$K$5:$K$527)</f>
        <v>2071772.5399999998</v>
      </c>
      <c r="W25" s="37"/>
      <c r="X25" s="203" t="str">
        <f t="shared" si="0"/>
        <v>LONDRINA [ETAPA 01 - AREAS EXTERNAS G1 - G5]ATIVO</v>
      </c>
      <c r="Y25" s="203" t="str">
        <f t="shared" si="1"/>
        <v>XI26CARLOS ROBERTO DA SILVA JUNIOR</v>
      </c>
      <c r="Z25" s="203" t="str">
        <f t="shared" si="6"/>
        <v>XI26CARLOS ROBERTO DA SILVA JUNIOR</v>
      </c>
      <c r="AA25" s="427" t="s">
        <v>503</v>
      </c>
      <c r="AB25" s="427">
        <v>26</v>
      </c>
      <c r="AC25" s="428" t="s">
        <v>100</v>
      </c>
      <c r="AD25" s="505">
        <v>128293.04000000001</v>
      </c>
      <c r="AE25" s="506">
        <v>195666.35</v>
      </c>
      <c r="AF25" s="60" t="str">
        <f t="shared" si="7"/>
        <v>CARLOS ROBERTO DA SILVA JUNIOR</v>
      </c>
      <c r="AG25" s="60" t="str">
        <f t="shared" si="8"/>
        <v>OK</v>
      </c>
    </row>
    <row r="26" spans="1:33">
      <c r="A26" s="61" t="str">
        <f t="shared" si="2"/>
        <v>LONDRINA [ETAPA 01 - AREAS EXTERNAS G1 - G5]XI27</v>
      </c>
      <c r="B26" s="263" t="s">
        <v>37</v>
      </c>
      <c r="C26" s="337" t="s">
        <v>503</v>
      </c>
      <c r="D26" s="73">
        <v>27</v>
      </c>
      <c r="E26" s="315">
        <v>252.75</v>
      </c>
      <c r="F26" s="166">
        <v>6007</v>
      </c>
      <c r="G26" s="74" t="s">
        <v>100</v>
      </c>
      <c r="H26" s="40">
        <v>43067</v>
      </c>
      <c r="I26" s="35">
        <v>128779.81</v>
      </c>
      <c r="J26" s="35" t="str">
        <f>IFERROR(VLOOKUP(CONCATENATE(B26,C26,D26,),Inadimplencia!$A$6:$K$110,6,0),"ATIVO")</f>
        <v>ATIVO</v>
      </c>
      <c r="K26" s="35">
        <f t="shared" si="3"/>
        <v>77870.52</v>
      </c>
      <c r="L26" s="325">
        <f t="shared" si="4"/>
        <v>0.6046795689479586</v>
      </c>
      <c r="M26" s="423" t="str">
        <f t="shared" si="5"/>
        <v>ATIVO0</v>
      </c>
      <c r="N26" s="247" t="s">
        <v>884</v>
      </c>
      <c r="O26" s="253"/>
      <c r="P26" s="260">
        <f t="shared" si="9"/>
        <v>0.30365728011024712</v>
      </c>
      <c r="Q26" s="249">
        <f>SUMIF($B$5:$B$527,"LONDRINA [ETAPA 03 - CONDOMINIO ARANGUA]",$I$5:$I$527)</f>
        <v>19038381.999999993</v>
      </c>
      <c r="R26" s="178">
        <f>COUNTIF($B$5:$B$527,"LONDRINA [ETAPA 03 - CONDOMINIO ARANGUA]")</f>
        <v>135</v>
      </c>
      <c r="S26" s="395">
        <f>SUMIF($B$5:$B$527,"LONDRINA [ETAPA 03 - CONDOMINIO ARANGUA]",$K$5:$K$527)</f>
        <v>17069747.990000002</v>
      </c>
      <c r="T26" s="176">
        <f>SUMIF($X$5:$X$527,"LONDRINA [ETAPA 03 - CONDOMINIO ARANGUA]ATIVO",$K$5:$K$527)</f>
        <v>11218375.330000004</v>
      </c>
      <c r="U26" s="176">
        <f>SUMIF($X$5:$X$527,"LONDRINA [ETAPA 03 - CONDOMINIO ARANGUA]ATRASO",$K$5:$K$527)</f>
        <v>1359714.2300000002</v>
      </c>
      <c r="V26" s="176">
        <f>SUMIF($X$5:$X$527,"LONDRINA [ETAPA 03 - CONDOMINIO ARANGUA]INADIMPLENTE",$K$5:$K$527)</f>
        <v>4491658.43</v>
      </c>
      <c r="W26" s="37"/>
      <c r="X26" s="203" t="str">
        <f t="shared" si="0"/>
        <v>LONDRINA [ETAPA 01 - AREAS EXTERNAS G1 - G5]ATIVO</v>
      </c>
      <c r="Y26" s="203" t="str">
        <f t="shared" si="1"/>
        <v>XI27CARLOS ROBERTO DA SILVA JUNIOR</v>
      </c>
      <c r="Z26" s="203" t="str">
        <f t="shared" si="6"/>
        <v>XI27CARLOS ROBERTO DA SILVA JUNIOR</v>
      </c>
      <c r="AA26" s="427" t="s">
        <v>503</v>
      </c>
      <c r="AB26" s="427">
        <v>27</v>
      </c>
      <c r="AC26" s="428" t="s">
        <v>100</v>
      </c>
      <c r="AD26" s="505">
        <v>77870.52</v>
      </c>
      <c r="AE26" s="506">
        <v>172445</v>
      </c>
      <c r="AF26" s="60" t="str">
        <f t="shared" si="7"/>
        <v>CARLOS ROBERTO DA SILVA JUNIOR</v>
      </c>
      <c r="AG26" s="60" t="str">
        <f t="shared" si="8"/>
        <v>OK</v>
      </c>
    </row>
    <row r="27" spans="1:33">
      <c r="A27" s="61" t="str">
        <f t="shared" si="2"/>
        <v>LONDRINA [ETAPA 01 - AREAS EXTERNAS G1 - G5]XI12 - A</v>
      </c>
      <c r="B27" s="263" t="s">
        <v>37</v>
      </c>
      <c r="C27" s="337" t="s">
        <v>503</v>
      </c>
      <c r="D27" s="166" t="s">
        <v>1080</v>
      </c>
      <c r="E27" s="197">
        <v>252.75</v>
      </c>
      <c r="F27" s="166">
        <v>2401</v>
      </c>
      <c r="G27" s="338" t="s">
        <v>361</v>
      </c>
      <c r="H27" s="40">
        <v>41440</v>
      </c>
      <c r="I27" s="35">
        <v>83154.75</v>
      </c>
      <c r="J27" s="35" t="str">
        <f>IFERROR(VLOOKUP(CONCATENATE(B27,C27,D27,),Inadimplencia!$A$6:$K$110,6,0),"ATIVO")</f>
        <v>ATIVO</v>
      </c>
      <c r="K27" s="35">
        <f t="shared" si="3"/>
        <v>84188.51</v>
      </c>
      <c r="L27" s="325">
        <f t="shared" si="4"/>
        <v>1.0124317612643896</v>
      </c>
      <c r="M27" s="423" t="str">
        <f t="shared" si="5"/>
        <v>ATIVO1</v>
      </c>
      <c r="N27" s="247" t="s">
        <v>888</v>
      </c>
      <c r="O27" s="253"/>
      <c r="P27" s="260">
        <f t="shared" si="9"/>
        <v>8.2681415526449586E-2</v>
      </c>
      <c r="Q27" s="249">
        <f>SUMIF($B$5:$B$527,"LONDRINA [ETAPA 03 - AREAS EXTERNAS G3 - G7]",$I$5:$I$527)</f>
        <v>5177688.8000000007</v>
      </c>
      <c r="R27" s="178">
        <f>COUNTIF($B$5:$B$527,"LONDRINA [ETAPA 03 - AREAS EXTERNAS G3 - G7]")</f>
        <v>43</v>
      </c>
      <c r="S27" s="395">
        <f>SUMIF($B$5:$B$527,"LONDRINA [ETAPA 03 - AREAS EXTERNAS G3 - G7]",$K$5:$K$527)</f>
        <v>4647841.5599999996</v>
      </c>
      <c r="T27" s="176">
        <f>SUMIF($X$5:$X$527,"LONDRINA [ETAPA 03 - AREAS EXTERNAS G3 - G7]ATIVO",$K$5:$K$527)</f>
        <v>2980145.7</v>
      </c>
      <c r="U27" s="176">
        <f>SUMIF($X$5:$X$527,"LONDRINA [ETAPA 03 - AREAS EXTERNAS G3 - G7]ATRASO",$K$5:$K$527)</f>
        <v>0</v>
      </c>
      <c r="V27" s="176">
        <f>SUMIF($X$5:$X$527,"LONDRINA [ETAPA 03 - AREAS EXTERNAS G3 - G7]INADIMPLENTE",$K$5:$K$527)</f>
        <v>1667695.8600000003</v>
      </c>
      <c r="W27" s="37"/>
      <c r="X27" s="203" t="str">
        <f t="shared" si="0"/>
        <v>LONDRINA [ETAPA 01 - AREAS EXTERNAS G1 - G5]ATIVO</v>
      </c>
      <c r="Y27" s="203" t="str">
        <f t="shared" si="1"/>
        <v>XI12 - AMARLENE SALLES DE OLIVEIRA TSAY</v>
      </c>
      <c r="Z27" s="203" t="str">
        <f t="shared" si="6"/>
        <v>XI12 - AMARLENE SALLES DE OLIVEIRA TSAY</v>
      </c>
      <c r="AA27" s="427" t="s">
        <v>503</v>
      </c>
      <c r="AB27" s="427" t="s">
        <v>1080</v>
      </c>
      <c r="AC27" s="428" t="s">
        <v>361</v>
      </c>
      <c r="AD27" s="505">
        <v>84188.51</v>
      </c>
      <c r="AE27" s="506">
        <v>162795.28</v>
      </c>
      <c r="AF27" s="60" t="str">
        <f t="shared" si="7"/>
        <v>MARLENE SALLES DE OLIVEIRA TSAY</v>
      </c>
      <c r="AG27" s="60" t="str">
        <f t="shared" si="8"/>
        <v>OK</v>
      </c>
    </row>
    <row r="28" spans="1:33">
      <c r="A28" s="61" t="str">
        <f t="shared" si="2"/>
        <v>LONDRINA [ETAPA 01 - AREAS EXTERNAS G1 - G5]XI - A1</v>
      </c>
      <c r="B28" s="263" t="s">
        <v>37</v>
      </c>
      <c r="C28" s="337" t="s">
        <v>1075</v>
      </c>
      <c r="D28" s="73">
        <v>1</v>
      </c>
      <c r="E28" s="315">
        <v>343.7</v>
      </c>
      <c r="F28" s="166">
        <v>2496</v>
      </c>
      <c r="G28" s="74" t="s">
        <v>454</v>
      </c>
      <c r="H28" s="40">
        <v>41433</v>
      </c>
      <c r="I28" s="35">
        <v>108554.21</v>
      </c>
      <c r="J28" s="35" t="str">
        <f>IFERROR(VLOOKUP(CONCATENATE(B28,C28,D28,),Inadimplencia!$A$6:$K$110,6,0),"ATIVO")</f>
        <v>ATIVO</v>
      </c>
      <c r="K28" s="35">
        <f t="shared" si="3"/>
        <v>101033.7</v>
      </c>
      <c r="L28" s="325">
        <f t="shared" si="4"/>
        <v>0.93072115765938501</v>
      </c>
      <c r="M28" s="423" t="str">
        <f t="shared" si="5"/>
        <v>ATIVO0</v>
      </c>
      <c r="N28" s="247" t="s">
        <v>885</v>
      </c>
      <c r="O28" s="253"/>
      <c r="P28" s="260">
        <f t="shared" si="9"/>
        <v>0.19125672210637198</v>
      </c>
      <c r="Q28" s="249">
        <f>SUMIF($B$5:$B$527,"LONDRINA [ETAPA 04 - CONDOMINIO ARAGUARI]",$I$5:$I$527)</f>
        <v>13585345.869999995</v>
      </c>
      <c r="R28" s="178">
        <f>COUNTIF($B$5:$B$527,"LONDRINA [ETAPA 04 - CONDOMINIO ARAGUARI]")</f>
        <v>98</v>
      </c>
      <c r="S28" s="395">
        <f>SUMIF($B$5:$B$527,"LONDRINA [ETAPA 04 - CONDOMINIO ARAGUARI]",$K$5:$K$527)</f>
        <v>10751278.699999996</v>
      </c>
      <c r="T28" s="176">
        <f>SUMIF($X$5:$X$527,"LONDRINA [ETAPA 04 - CONDOMINIO ARAGUARI]ATIVO",$K$5:$K$527)</f>
        <v>10312523.149999999</v>
      </c>
      <c r="U28" s="176">
        <f>SUMIF($X$5:$X$527,"LONDRINA [ETAPA 04 - CONDOMINIO ARAGUARI]ATRASO",$K$5:$K$527)</f>
        <v>199907</v>
      </c>
      <c r="V28" s="176">
        <f>SUMIF($X$5:$X$527,"LONDRINA [ETAPA 04 - CONDOMINIO ARAGUARI]INADIMPLENTE",$K$5:$K$527)</f>
        <v>238848.55</v>
      </c>
      <c r="W28" s="37"/>
      <c r="X28" s="203" t="str">
        <f t="shared" si="0"/>
        <v>LONDRINA [ETAPA 01 - AREAS EXTERNAS G1 - G5]ATIVO</v>
      </c>
      <c r="Y28" s="203" t="str">
        <f t="shared" si="1"/>
        <v>XI - A1THIAGO DE MENEZES CALDAS</v>
      </c>
      <c r="Z28" s="203" t="str">
        <f t="shared" si="6"/>
        <v>XI - A1THIAGO DE MENEZES CALDAS</v>
      </c>
      <c r="AA28" s="427" t="s">
        <v>1075</v>
      </c>
      <c r="AB28" s="427">
        <v>1</v>
      </c>
      <c r="AC28" s="428" t="s">
        <v>454</v>
      </c>
      <c r="AD28" s="505">
        <v>101033.7</v>
      </c>
      <c r="AE28" s="506">
        <v>254780.04</v>
      </c>
      <c r="AF28" s="60" t="str">
        <f t="shared" si="7"/>
        <v>THIAGO DE MENEZES CALDAS</v>
      </c>
      <c r="AG28" s="60" t="str">
        <f t="shared" si="8"/>
        <v>OK</v>
      </c>
    </row>
    <row r="29" spans="1:33">
      <c r="A29" s="61" t="str">
        <f t="shared" si="2"/>
        <v>LONDRINA [ETAPA 01 - AREAS EXTERNAS G1 - G5]XI - A2</v>
      </c>
      <c r="B29" s="263" t="s">
        <v>37</v>
      </c>
      <c r="C29" s="337" t="s">
        <v>1075</v>
      </c>
      <c r="D29" s="166">
        <v>2</v>
      </c>
      <c r="E29" s="197">
        <v>338.02</v>
      </c>
      <c r="F29" s="166">
        <v>2495</v>
      </c>
      <c r="G29" s="338" t="s">
        <v>454</v>
      </c>
      <c r="H29" s="40">
        <v>41433</v>
      </c>
      <c r="I29" s="35">
        <v>106760.24</v>
      </c>
      <c r="J29" s="35" t="str">
        <f>IFERROR(VLOOKUP(CONCATENATE(B29,C29,D29,),Inadimplencia!$A$6:$K$110,6,0),"ATIVO")</f>
        <v>ATIVO</v>
      </c>
      <c r="K29" s="35">
        <f t="shared" si="3"/>
        <v>99364.84</v>
      </c>
      <c r="L29" s="325">
        <f t="shared" si="4"/>
        <v>0.93072889307854678</v>
      </c>
      <c r="M29" s="423" t="str">
        <f t="shared" si="5"/>
        <v>ATIVO0</v>
      </c>
      <c r="N29" s="247" t="s">
        <v>889</v>
      </c>
      <c r="O29" s="253"/>
      <c r="P29" s="260">
        <f t="shared" si="9"/>
        <v>7.0698252588185698E-2</v>
      </c>
      <c r="Q29" s="249">
        <f>SUMIF($B$5:$B$527,"LONDRINA [ETAPA 04 - AREAS EXTERNAS G4 - G8]",$I$5:$I$527)</f>
        <v>4468312.8100000005</v>
      </c>
      <c r="R29" s="178">
        <f>COUNTIF($B$5:$B$527,"LONDRINA [ETAPA 04 - AREAS EXTERNAS G4 - G8]")</f>
        <v>38</v>
      </c>
      <c r="S29" s="395">
        <f>SUMIF($B$5:$B$527,"LONDRINA [ETAPA 04 - AREAS EXTERNAS G4 - G8]",$K$5:$K$527)</f>
        <v>3974221.71</v>
      </c>
      <c r="T29" s="176">
        <f>SUMIF($X$5:$X$527,"LONDRINA [ETAPA 04 - AREAS EXTERNAS G4 - G8]ATIVO",$K$5:$K$527)</f>
        <v>3560581.2500000005</v>
      </c>
      <c r="U29" s="176">
        <f>SUMIF($X$5:$X$527,"LONDRINA [ETAPA 04 - AREAS EXTERNAS G4 - G8]ATRASO",$K$5:$K$527)</f>
        <v>310366.59999999998</v>
      </c>
      <c r="V29" s="176">
        <f>SUMIF($X$5:$X$527,"LONDRINA [ETAPA 04 - AREAS EXTERNAS G4 - G8]INADIMPLENTE",$K$5:$K$527)</f>
        <v>103273.86</v>
      </c>
      <c r="W29" s="37"/>
      <c r="X29" s="203" t="str">
        <f t="shared" si="0"/>
        <v>LONDRINA [ETAPA 01 - AREAS EXTERNAS G1 - G5]ATIVO</v>
      </c>
      <c r="Y29" s="203" t="str">
        <f t="shared" si="1"/>
        <v>XI - A2THIAGO DE MENEZES CALDAS</v>
      </c>
      <c r="Z29" s="203" t="str">
        <f t="shared" si="6"/>
        <v>XI - A2THIAGO DE MENEZES CALDAS</v>
      </c>
      <c r="AA29" s="427" t="s">
        <v>1075</v>
      </c>
      <c r="AB29" s="427">
        <v>2</v>
      </c>
      <c r="AC29" s="428" t="s">
        <v>454</v>
      </c>
      <c r="AD29" s="505">
        <v>99364.84</v>
      </c>
      <c r="AE29" s="506">
        <v>253350.6</v>
      </c>
      <c r="AF29" s="60" t="str">
        <f t="shared" si="7"/>
        <v>THIAGO DE MENEZES CALDAS</v>
      </c>
      <c r="AG29" s="60" t="str">
        <f t="shared" si="8"/>
        <v>OK</v>
      </c>
    </row>
    <row r="30" spans="1:33">
      <c r="A30" s="61" t="str">
        <f t="shared" si="2"/>
        <v>LONDRINA [ETAPA 01 - CONDOMINIO ARAÇARI]XIX6</v>
      </c>
      <c r="B30" s="263" t="s">
        <v>34</v>
      </c>
      <c r="C30" s="337" t="s">
        <v>504</v>
      </c>
      <c r="D30" s="73">
        <v>6</v>
      </c>
      <c r="E30" s="315">
        <v>252.75</v>
      </c>
      <c r="F30" s="166">
        <v>2579</v>
      </c>
      <c r="G30" s="74" t="s">
        <v>228</v>
      </c>
      <c r="H30" s="40">
        <v>41444</v>
      </c>
      <c r="I30" s="35">
        <v>90282.3</v>
      </c>
      <c r="J30" s="35" t="str">
        <f>IFERROR(VLOOKUP(CONCATENATE(B30,C30,D30,),Inadimplencia!$A$6:$K$110,6,0),"ATIVO")</f>
        <v>ATIVO</v>
      </c>
      <c r="K30" s="35">
        <f t="shared" si="3"/>
        <v>91401.97</v>
      </c>
      <c r="L30" s="325">
        <f t="shared" si="4"/>
        <v>1.0124018772228887</v>
      </c>
      <c r="M30" s="423" t="str">
        <f t="shared" si="5"/>
        <v>ATIVO1</v>
      </c>
      <c r="N30" s="245" t="s">
        <v>916</v>
      </c>
      <c r="O30" s="246"/>
      <c r="P30" s="261"/>
      <c r="Q30" s="177">
        <f t="shared" ref="Q30:V30" si="10">SUM(Q22:Q29)</f>
        <v>63505147.589999996</v>
      </c>
      <c r="R30" s="179">
        <f t="shared" si="10"/>
        <v>516</v>
      </c>
      <c r="S30" s="177">
        <f t="shared" si="10"/>
        <v>56213860.520000003</v>
      </c>
      <c r="T30" s="177">
        <f t="shared" si="10"/>
        <v>41250512.079999998</v>
      </c>
      <c r="U30" s="177">
        <f t="shared" si="10"/>
        <v>2631634.5700000003</v>
      </c>
      <c r="V30" s="177">
        <f t="shared" si="10"/>
        <v>12331713.870000001</v>
      </c>
      <c r="W30" s="37"/>
      <c r="X30" s="203" t="str">
        <f t="shared" si="0"/>
        <v>LONDRINA [ETAPA 01 - CONDOMINIO ARAÇARI]ATIVO</v>
      </c>
      <c r="Y30" s="203" t="str">
        <f t="shared" si="1"/>
        <v>XIX6GMO EMPREENDIMENTOS E ASSESSORIA EMPRESARIAL LTDA</v>
      </c>
      <c r="Z30" s="203" t="str">
        <f t="shared" si="6"/>
        <v>XIX6GMO EMPREENDIMENTOS E ASSESSORIA EMPRESARIAL LTDA</v>
      </c>
      <c r="AA30" s="427" t="s">
        <v>504</v>
      </c>
      <c r="AB30" s="427">
        <v>6</v>
      </c>
      <c r="AC30" s="428" t="s">
        <v>228</v>
      </c>
      <c r="AD30" s="505">
        <v>91401.97</v>
      </c>
      <c r="AE30" s="506">
        <v>177044.80000000002</v>
      </c>
      <c r="AF30" s="60" t="str">
        <f t="shared" si="7"/>
        <v>GMO EMPREENDIMENTOS E ASSESSORIA EMPRESARIAL LTDA</v>
      </c>
      <c r="AG30" s="60" t="str">
        <f t="shared" si="8"/>
        <v>OK</v>
      </c>
    </row>
    <row r="31" spans="1:33">
      <c r="A31" s="61" t="str">
        <f t="shared" si="2"/>
        <v>LONDRINA [ETAPA 01 - CONDOMINIO ARAÇARI]XIX7</v>
      </c>
      <c r="B31" s="263" t="s">
        <v>34</v>
      </c>
      <c r="C31" s="337" t="s">
        <v>504</v>
      </c>
      <c r="D31" s="166">
        <v>7</v>
      </c>
      <c r="E31" s="197">
        <v>252.75</v>
      </c>
      <c r="F31" s="166">
        <v>2690</v>
      </c>
      <c r="G31" s="338" t="s">
        <v>228</v>
      </c>
      <c r="H31" s="40">
        <v>41447</v>
      </c>
      <c r="I31" s="35">
        <v>93846.07</v>
      </c>
      <c r="J31" s="35" t="str">
        <f>IFERROR(VLOOKUP(CONCATENATE(B31,C31,D31,),Inadimplencia!$A$6:$K$110,6,0),"ATIVO")</f>
        <v>ATIVO</v>
      </c>
      <c r="K31" s="35">
        <f t="shared" si="3"/>
        <v>96809.37</v>
      </c>
      <c r="L31" s="325">
        <f t="shared" si="4"/>
        <v>1.0315761757524848</v>
      </c>
      <c r="M31" s="423" t="str">
        <f t="shared" si="5"/>
        <v>ATIVO1</v>
      </c>
      <c r="S31" s="49"/>
      <c r="T31" s="38"/>
      <c r="U31" s="38"/>
      <c r="V31" s="38"/>
      <c r="W31" s="37"/>
      <c r="X31" s="203" t="str">
        <f t="shared" si="0"/>
        <v>LONDRINA [ETAPA 01 - CONDOMINIO ARAÇARI]ATIVO</v>
      </c>
      <c r="Y31" s="203" t="str">
        <f t="shared" si="1"/>
        <v>XIX7GMO EMPREENDIMENTOS E ASSESSORIA EMPRESARIAL LTDA</v>
      </c>
      <c r="Z31" s="203" t="str">
        <f t="shared" si="6"/>
        <v>XIX7GMO EMPREENDIMENTOS E ASSESSORIA EMPRESARIAL LTDA</v>
      </c>
      <c r="AA31" s="427" t="s">
        <v>504</v>
      </c>
      <c r="AB31" s="427">
        <v>7</v>
      </c>
      <c r="AC31" s="428" t="s">
        <v>228</v>
      </c>
      <c r="AD31" s="505">
        <v>96809.37</v>
      </c>
      <c r="AE31" s="506">
        <v>185667.61000000002</v>
      </c>
      <c r="AF31" s="60" t="str">
        <f t="shared" si="7"/>
        <v>GMO EMPREENDIMENTOS E ASSESSORIA EMPRESARIAL LTDA</v>
      </c>
      <c r="AG31" s="60" t="str">
        <f t="shared" si="8"/>
        <v>OK</v>
      </c>
    </row>
    <row r="32" spans="1:33">
      <c r="A32" s="61" t="str">
        <f t="shared" si="2"/>
        <v>LONDRINA [ETAPA 01 - CONDOMINIO ARAÇARI]XIX9</v>
      </c>
      <c r="B32" s="263" t="s">
        <v>34</v>
      </c>
      <c r="C32" s="337" t="s">
        <v>504</v>
      </c>
      <c r="D32" s="73">
        <v>9</v>
      </c>
      <c r="E32" s="315">
        <v>252.75</v>
      </c>
      <c r="F32" s="166">
        <v>2530</v>
      </c>
      <c r="G32" s="74" t="s">
        <v>327</v>
      </c>
      <c r="H32" s="40">
        <v>41441</v>
      </c>
      <c r="I32" s="35">
        <v>93846.07</v>
      </c>
      <c r="J32" s="35" t="str">
        <f>IFERROR(VLOOKUP(CONCATENATE(B32,C32,D32,),Inadimplencia!$A$6:$K$110,6,0),"ATIVO")</f>
        <v>ATIVO</v>
      </c>
      <c r="K32" s="35">
        <f t="shared" si="3"/>
        <v>95157.98</v>
      </c>
      <c r="L32" s="325">
        <f t="shared" si="4"/>
        <v>1.013979381342234</v>
      </c>
      <c r="M32" s="423" t="str">
        <f t="shared" si="5"/>
        <v>ATIVO1</v>
      </c>
      <c r="N32" s="245" t="s">
        <v>881</v>
      </c>
      <c r="O32" s="463"/>
      <c r="P32" s="464" t="s">
        <v>1016</v>
      </c>
      <c r="Q32" s="251" t="s">
        <v>1019</v>
      </c>
      <c r="R32" s="252" t="s">
        <v>1056</v>
      </c>
      <c r="S32" s="252" t="s">
        <v>557</v>
      </c>
      <c r="T32" s="252" t="s">
        <v>944</v>
      </c>
      <c r="U32" s="252" t="s">
        <v>1468</v>
      </c>
      <c r="V32" s="477" t="s">
        <v>1469</v>
      </c>
      <c r="W32" s="37"/>
      <c r="X32" s="203" t="str">
        <f t="shared" si="0"/>
        <v>LONDRINA [ETAPA 01 - CONDOMINIO ARAÇARI]ATIVO</v>
      </c>
      <c r="Y32" s="203" t="str">
        <f t="shared" si="1"/>
        <v>XIX9MARCELO FELIX RAMPAZZO</v>
      </c>
      <c r="Z32" s="203" t="str">
        <f t="shared" si="6"/>
        <v>XIX9MARCELO FELIX RAMPAZZO</v>
      </c>
      <c r="AA32" s="427" t="s">
        <v>504</v>
      </c>
      <c r="AB32" s="427">
        <v>9</v>
      </c>
      <c r="AC32" s="428" t="s">
        <v>327</v>
      </c>
      <c r="AD32" s="505">
        <v>95157.98</v>
      </c>
      <c r="AE32" s="506">
        <v>181087.27</v>
      </c>
      <c r="AF32" s="60" t="str">
        <f t="shared" si="7"/>
        <v>MARCELO FELIX RAMPAZZO</v>
      </c>
      <c r="AG32" s="60" t="str">
        <f t="shared" si="8"/>
        <v>OK</v>
      </c>
    </row>
    <row r="33" spans="1:33">
      <c r="A33" s="61" t="str">
        <f t="shared" si="2"/>
        <v>LONDRINA [ETAPA 01 - CONDOMINIO ARAÇARI]XIX10</v>
      </c>
      <c r="B33" s="263" t="s">
        <v>34</v>
      </c>
      <c r="C33" s="337" t="s">
        <v>504</v>
      </c>
      <c r="D33" s="166">
        <v>10</v>
      </c>
      <c r="E33" s="197">
        <v>252.75</v>
      </c>
      <c r="F33" s="166">
        <v>2340</v>
      </c>
      <c r="G33" s="338" t="s">
        <v>332</v>
      </c>
      <c r="H33" s="40">
        <v>41439</v>
      </c>
      <c r="I33" s="35">
        <v>93846.07</v>
      </c>
      <c r="J33" s="35" t="str">
        <f>IFERROR(VLOOKUP(CONCATENATE(B33,C33,D33,),Inadimplencia!$A$6:$K$110,6,0),"ATIVO")</f>
        <v>ATIVO</v>
      </c>
      <c r="K33" s="35">
        <f t="shared" si="3"/>
        <v>19968.16</v>
      </c>
      <c r="L33" s="325">
        <f t="shared" si="4"/>
        <v>0.21277566551268473</v>
      </c>
      <c r="M33" s="423" t="str">
        <f t="shared" si="5"/>
        <v>ATIVO0</v>
      </c>
      <c r="N33" s="247" t="s">
        <v>882</v>
      </c>
      <c r="O33" s="253"/>
      <c r="P33" s="260">
        <f>S33/$S$30</f>
        <v>0.15877452353275945</v>
      </c>
      <c r="Q33" s="395">
        <f t="shared" ref="Q33:V33" si="11">SUM(Q22:Q23)</f>
        <v>10444050.82</v>
      </c>
      <c r="R33" s="474">
        <f t="shared" si="11"/>
        <v>97</v>
      </c>
      <c r="S33" s="395">
        <f t="shared" si="11"/>
        <v>8925328.9199999981</v>
      </c>
      <c r="T33" s="176">
        <f t="shared" si="11"/>
        <v>6614438.5899999999</v>
      </c>
      <c r="U33" s="176">
        <f t="shared" si="11"/>
        <v>210222</v>
      </c>
      <c r="V33" s="176">
        <f t="shared" si="11"/>
        <v>2100668.33</v>
      </c>
      <c r="W33" s="37"/>
      <c r="X33" s="203" t="str">
        <f t="shared" si="0"/>
        <v>LONDRINA [ETAPA 01 - CONDOMINIO ARAÇARI]ATIVO</v>
      </c>
      <c r="Y33" s="203" t="str">
        <f t="shared" si="1"/>
        <v>XIX10MARCELO RIBEIRO DA CRUZ</v>
      </c>
      <c r="Z33" s="203" t="str">
        <f t="shared" si="6"/>
        <v>XIX10MARCELO RIBEIRO DA CRUZ</v>
      </c>
      <c r="AA33" s="427" t="s">
        <v>504</v>
      </c>
      <c r="AB33" s="427">
        <v>10</v>
      </c>
      <c r="AC33" s="428" t="s">
        <v>332</v>
      </c>
      <c r="AD33" s="505">
        <v>19968.16</v>
      </c>
      <c r="AE33" s="506">
        <v>73704.240000000005</v>
      </c>
      <c r="AF33" s="60" t="str">
        <f t="shared" si="7"/>
        <v>MARCELO RIBEIRO DA CRUZ</v>
      </c>
      <c r="AG33" s="60" t="str">
        <f t="shared" si="8"/>
        <v>OK</v>
      </c>
    </row>
    <row r="34" spans="1:33">
      <c r="A34" s="61" t="str">
        <f t="shared" si="2"/>
        <v>LONDRINA [ETAPA 01 - CONDOMINIO ARAÇARI]XIX15</v>
      </c>
      <c r="B34" s="263" t="s">
        <v>34</v>
      </c>
      <c r="C34" s="337" t="s">
        <v>504</v>
      </c>
      <c r="D34" s="73">
        <v>15</v>
      </c>
      <c r="E34" s="315">
        <v>252.75</v>
      </c>
      <c r="F34" s="166">
        <v>2711</v>
      </c>
      <c r="G34" s="74" t="s">
        <v>426</v>
      </c>
      <c r="H34" s="40">
        <v>41484</v>
      </c>
      <c r="I34" s="35">
        <v>90282.3</v>
      </c>
      <c r="J34" s="35" t="str">
        <f>IFERROR(VLOOKUP(CONCATENATE(B34,C34,D34,),Inadimplencia!$A$6:$K$110,6,0),"ATIVO")</f>
        <v>ATIVO</v>
      </c>
      <c r="K34" s="35">
        <f t="shared" si="3"/>
        <v>88492.22</v>
      </c>
      <c r="L34" s="325">
        <f t="shared" si="4"/>
        <v>0.98017241474796279</v>
      </c>
      <c r="M34" s="423" t="str">
        <f t="shared" si="5"/>
        <v>ATIVO0</v>
      </c>
      <c r="N34" s="247" t="s">
        <v>883</v>
      </c>
      <c r="O34" s="253"/>
      <c r="P34" s="260">
        <f>S34/$S$30</f>
        <v>0.19293180613598609</v>
      </c>
      <c r="Q34" s="395">
        <f t="shared" ref="Q34:V34" si="12">SUM(Q24:Q25)</f>
        <v>10791367.290000003</v>
      </c>
      <c r="R34" s="474">
        <f t="shared" si="12"/>
        <v>105</v>
      </c>
      <c r="S34" s="395">
        <f t="shared" si="12"/>
        <v>10845441.640000002</v>
      </c>
      <c r="T34" s="176">
        <f t="shared" si="12"/>
        <v>6564448.0600000005</v>
      </c>
      <c r="U34" s="176">
        <f t="shared" si="12"/>
        <v>551424.74</v>
      </c>
      <c r="V34" s="176">
        <f t="shared" si="12"/>
        <v>3729568.84</v>
      </c>
      <c r="X34" s="203" t="str">
        <f t="shared" si="0"/>
        <v>LONDRINA [ETAPA 01 - CONDOMINIO ARAÇARI]ATIVO</v>
      </c>
      <c r="Y34" s="203" t="str">
        <f t="shared" si="1"/>
        <v>XIX15ROSICLER RODINI MASIRONI</v>
      </c>
      <c r="Z34" s="203" t="str">
        <f t="shared" si="6"/>
        <v>XIX15ROSICLER RODINI MASIRONI</v>
      </c>
      <c r="AA34" s="427" t="s">
        <v>504</v>
      </c>
      <c r="AB34" s="427">
        <v>15</v>
      </c>
      <c r="AC34" s="428" t="s">
        <v>426</v>
      </c>
      <c r="AD34" s="505">
        <v>88492.22</v>
      </c>
      <c r="AE34" s="506">
        <v>173433.61000000002</v>
      </c>
      <c r="AF34" s="60" t="str">
        <f t="shared" si="7"/>
        <v>ROSICLER RODINI MASIRONI</v>
      </c>
      <c r="AG34" s="60" t="str">
        <f t="shared" si="8"/>
        <v>OK</v>
      </c>
    </row>
    <row r="35" spans="1:33">
      <c r="A35" s="61" t="str">
        <f t="shared" si="2"/>
        <v>LONDRINA [ETAPA 01 - CONDOMINIO ARAÇARI]XIX17</v>
      </c>
      <c r="B35" s="263" t="s">
        <v>34</v>
      </c>
      <c r="C35" s="337" t="s">
        <v>504</v>
      </c>
      <c r="D35" s="166">
        <v>17</v>
      </c>
      <c r="E35" s="197">
        <v>252.75</v>
      </c>
      <c r="F35" s="166">
        <v>2343</v>
      </c>
      <c r="G35" s="338" t="s">
        <v>81</v>
      </c>
      <c r="H35" s="40">
        <v>41439</v>
      </c>
      <c r="I35" s="35">
        <v>90282.3</v>
      </c>
      <c r="J35" s="35" t="str">
        <f>IFERROR(VLOOKUP(CONCATENATE(B35,C35,D35,),Inadimplencia!$A$6:$K$110,6,0),"ATIVO")</f>
        <v>ATIVO</v>
      </c>
      <c r="K35" s="35">
        <f t="shared" si="3"/>
        <v>91608.59</v>
      </c>
      <c r="L35" s="325">
        <f t="shared" si="4"/>
        <v>1.0146904764278268</v>
      </c>
      <c r="M35" s="423" t="str">
        <f t="shared" si="5"/>
        <v>ATIVO1</v>
      </c>
      <c r="N35" s="247" t="s">
        <v>884</v>
      </c>
      <c r="O35" s="253"/>
      <c r="P35" s="260">
        <f>S35/$S$30</f>
        <v>0.38633869563669665</v>
      </c>
      <c r="Q35" s="395">
        <f t="shared" ref="Q35:V35" si="13">SUM(Q26:Q27)</f>
        <v>24216070.799999993</v>
      </c>
      <c r="R35" s="474">
        <f t="shared" si="13"/>
        <v>178</v>
      </c>
      <c r="S35" s="395">
        <f t="shared" si="13"/>
        <v>21717589.550000001</v>
      </c>
      <c r="T35" s="176">
        <f t="shared" si="13"/>
        <v>14198521.030000005</v>
      </c>
      <c r="U35" s="176">
        <f t="shared" si="13"/>
        <v>1359714.2300000002</v>
      </c>
      <c r="V35" s="176">
        <f t="shared" si="13"/>
        <v>6159354.29</v>
      </c>
      <c r="W35" s="37"/>
      <c r="X35" s="203" t="str">
        <f t="shared" si="0"/>
        <v>LONDRINA [ETAPA 01 - CONDOMINIO ARAÇARI]ATIVO</v>
      </c>
      <c r="Y35" s="203" t="str">
        <f t="shared" si="1"/>
        <v>XIX17ANTONIO ROBERTO DE MORAES</v>
      </c>
      <c r="Z35" s="203" t="str">
        <f t="shared" si="6"/>
        <v>XIX17ANTONIO ROBERTO DE MORAES</v>
      </c>
      <c r="AA35" s="427" t="s">
        <v>504</v>
      </c>
      <c r="AB35" s="427">
        <v>17</v>
      </c>
      <c r="AC35" s="428" t="s">
        <v>81</v>
      </c>
      <c r="AD35" s="505">
        <v>91608.59</v>
      </c>
      <c r="AE35" s="506">
        <v>177822.37</v>
      </c>
      <c r="AF35" s="60" t="str">
        <f t="shared" si="7"/>
        <v>ANTONIO ROBERTO DE MORAES</v>
      </c>
      <c r="AG35" s="60" t="str">
        <f t="shared" si="8"/>
        <v>OK</v>
      </c>
    </row>
    <row r="36" spans="1:33">
      <c r="A36" s="61" t="str">
        <f t="shared" si="2"/>
        <v>LONDRINA [ETAPA 01 - CONDOMINIO ARAÇARI]XIX18</v>
      </c>
      <c r="B36" s="263" t="s">
        <v>34</v>
      </c>
      <c r="C36" s="337" t="s">
        <v>504</v>
      </c>
      <c r="D36" s="73">
        <v>18</v>
      </c>
      <c r="E36" s="315">
        <v>252.75</v>
      </c>
      <c r="F36" s="166">
        <v>2344</v>
      </c>
      <c r="G36" s="74" t="s">
        <v>176</v>
      </c>
      <c r="H36" s="40">
        <v>41444</v>
      </c>
      <c r="I36" s="35">
        <v>90282.3</v>
      </c>
      <c r="J36" s="35" t="str">
        <f>IFERROR(VLOOKUP(CONCATENATE(B36,C36,D36,),Inadimplencia!$A$6:$K$110,6,0),"ATIVO")</f>
        <v>ATIVO</v>
      </c>
      <c r="K36" s="35">
        <f t="shared" si="3"/>
        <v>91711.66</v>
      </c>
      <c r="L36" s="325">
        <f t="shared" si="4"/>
        <v>1.0158321177019194</v>
      </c>
      <c r="M36" s="423" t="str">
        <f t="shared" si="5"/>
        <v>ATIVO1</v>
      </c>
      <c r="N36" s="247" t="s">
        <v>885</v>
      </c>
      <c r="O36" s="253"/>
      <c r="P36" s="260">
        <f>S36/$S$30</f>
        <v>0.2619549746945577</v>
      </c>
      <c r="Q36" s="395">
        <f t="shared" ref="Q36:V36" si="14">SUM(Q28:Q29)</f>
        <v>18053658.679999996</v>
      </c>
      <c r="R36" s="474">
        <f t="shared" si="14"/>
        <v>136</v>
      </c>
      <c r="S36" s="395">
        <f t="shared" si="14"/>
        <v>14725500.409999996</v>
      </c>
      <c r="T36" s="176">
        <f t="shared" si="14"/>
        <v>13873104.399999999</v>
      </c>
      <c r="U36" s="176">
        <f t="shared" si="14"/>
        <v>510273.6</v>
      </c>
      <c r="V36" s="176">
        <f t="shared" si="14"/>
        <v>342122.41</v>
      </c>
      <c r="W36" s="37"/>
      <c r="X36" s="203" t="str">
        <f t="shared" si="0"/>
        <v>LONDRINA [ETAPA 01 - CONDOMINIO ARAÇARI]ATIVO</v>
      </c>
      <c r="Y36" s="203" t="str">
        <f t="shared" si="1"/>
        <v>XIX18ELAINE LOMBARDI</v>
      </c>
      <c r="Z36" s="203" t="str">
        <f t="shared" si="6"/>
        <v>XIX18ELAINE LOMBARDI</v>
      </c>
      <c r="AA36" s="427" t="s">
        <v>504</v>
      </c>
      <c r="AB36" s="427">
        <v>18</v>
      </c>
      <c r="AC36" s="428" t="s">
        <v>176</v>
      </c>
      <c r="AD36" s="505">
        <v>91711.66</v>
      </c>
      <c r="AE36" s="506">
        <v>179869.09</v>
      </c>
      <c r="AF36" s="60" t="str">
        <f t="shared" si="7"/>
        <v>ELAINE LOMBARDI</v>
      </c>
      <c r="AG36" s="60" t="str">
        <f t="shared" si="8"/>
        <v>OK</v>
      </c>
    </row>
    <row r="37" spans="1:33">
      <c r="A37" s="61" t="str">
        <f t="shared" si="2"/>
        <v>LONDRINA [ETAPA 01 - CONDOMINIO ARAÇARI]XXI1</v>
      </c>
      <c r="B37" s="263" t="s">
        <v>34</v>
      </c>
      <c r="C37" s="337" t="s">
        <v>505</v>
      </c>
      <c r="D37" s="166">
        <v>1</v>
      </c>
      <c r="E37" s="197">
        <v>310.73</v>
      </c>
      <c r="F37" s="166">
        <v>2791</v>
      </c>
      <c r="G37" s="338" t="s">
        <v>222</v>
      </c>
      <c r="H37" s="40">
        <v>41506</v>
      </c>
      <c r="I37" s="35">
        <v>123085.12</v>
      </c>
      <c r="J37" s="35" t="str">
        <f>IFERROR(VLOOKUP(CONCATENATE(B37,C37,D37,),Inadimplencia!$A$6:$K$110,6,0),"ATIVO")</f>
        <v>INADIMPLENTE</v>
      </c>
      <c r="K37" s="35">
        <f t="shared" si="3"/>
        <v>166290.83000000002</v>
      </c>
      <c r="L37" s="325">
        <f t="shared" si="4"/>
        <v>1.3510230156171601</v>
      </c>
      <c r="M37" s="423" t="str">
        <f t="shared" si="5"/>
        <v>INADIMPLENTE1</v>
      </c>
      <c r="N37" s="245" t="s">
        <v>1470</v>
      </c>
      <c r="O37" s="246"/>
      <c r="P37" s="246"/>
      <c r="Q37" s="177">
        <f t="shared" ref="Q37:V37" si="15">SUM(Q33:Q36)</f>
        <v>63505147.589999989</v>
      </c>
      <c r="R37" s="475">
        <f t="shared" si="15"/>
        <v>516</v>
      </c>
      <c r="S37" s="177">
        <f t="shared" si="15"/>
        <v>56213860.519999996</v>
      </c>
      <c r="T37" s="177">
        <f t="shared" si="15"/>
        <v>41250512.080000006</v>
      </c>
      <c r="U37" s="177">
        <f t="shared" si="15"/>
        <v>2631634.5700000003</v>
      </c>
      <c r="V37" s="177">
        <f t="shared" si="15"/>
        <v>12331713.870000001</v>
      </c>
      <c r="W37" s="37"/>
      <c r="X37" s="203" t="str">
        <f t="shared" si="0"/>
        <v>LONDRINA [ETAPA 01 - CONDOMINIO ARAÇARI]INADIMPLENTE</v>
      </c>
      <c r="Y37" s="203" t="str">
        <f t="shared" si="1"/>
        <v>XXI1GIELE ROSA ALVES</v>
      </c>
      <c r="Z37" s="203" t="str">
        <f t="shared" si="6"/>
        <v>XXI1GIELE ROSA ALVES</v>
      </c>
      <c r="AA37" s="427" t="s">
        <v>505</v>
      </c>
      <c r="AB37" s="427">
        <v>1</v>
      </c>
      <c r="AC37" s="428" t="s">
        <v>222</v>
      </c>
      <c r="AD37" s="505">
        <v>166290.83000000002</v>
      </c>
      <c r="AE37" s="506">
        <v>218805.79</v>
      </c>
      <c r="AF37" s="60" t="str">
        <f t="shared" si="7"/>
        <v>GIELE ROSA ALVES</v>
      </c>
      <c r="AG37" s="60" t="str">
        <f t="shared" si="8"/>
        <v>OK</v>
      </c>
    </row>
    <row r="38" spans="1:33">
      <c r="A38" s="61" t="str">
        <f t="shared" si="2"/>
        <v>LONDRINA [ETAPA 01 - CONDOMINIO ARAÇARI]XXI4</v>
      </c>
      <c r="B38" s="263" t="s">
        <v>34</v>
      </c>
      <c r="C38" s="337" t="s">
        <v>505</v>
      </c>
      <c r="D38" s="73">
        <v>4</v>
      </c>
      <c r="E38" s="315">
        <v>256.74</v>
      </c>
      <c r="F38" s="166">
        <v>4732</v>
      </c>
      <c r="G38" s="74" t="s">
        <v>1255</v>
      </c>
      <c r="H38" s="40">
        <v>44046</v>
      </c>
      <c r="I38" s="35">
        <v>149460</v>
      </c>
      <c r="J38" s="35" t="str">
        <f>IFERROR(VLOOKUP(CONCATENATE(B38,C38,D38,),Inadimplencia!$A$6:$K$110,6,0),"ATIVO")</f>
        <v>ATIVO</v>
      </c>
      <c r="K38" s="35">
        <f t="shared" si="3"/>
        <v>136100</v>
      </c>
      <c r="L38" s="325">
        <f t="shared" si="4"/>
        <v>0.91061153485882507</v>
      </c>
      <c r="M38" s="423" t="str">
        <f t="shared" si="5"/>
        <v>ATIVO0</v>
      </c>
      <c r="W38" s="37"/>
      <c r="X38" s="203" t="str">
        <f t="shared" si="0"/>
        <v>LONDRINA [ETAPA 01 - CONDOMINIO ARAÇARI]ATIVO</v>
      </c>
      <c r="Y38" s="203" t="str">
        <f t="shared" si="1"/>
        <v>XXI4ELCIO LUIZ DOS SANTOS</v>
      </c>
      <c r="Z38" s="203" t="str">
        <f t="shared" si="6"/>
        <v>XXI4ELCIO LUIZ DOS SANTOS</v>
      </c>
      <c r="AA38" s="427" t="s">
        <v>505</v>
      </c>
      <c r="AB38" s="427">
        <v>4</v>
      </c>
      <c r="AC38" s="428" t="s">
        <v>1255</v>
      </c>
      <c r="AD38" s="505">
        <v>136100</v>
      </c>
      <c r="AE38" s="506">
        <v>149460</v>
      </c>
      <c r="AF38" s="60" t="str">
        <f t="shared" si="7"/>
        <v>ELCIO LUIZ DOS SANTOS</v>
      </c>
      <c r="AG38" s="60" t="str">
        <f t="shared" si="8"/>
        <v>OK</v>
      </c>
    </row>
    <row r="39" spans="1:33">
      <c r="A39" s="61" t="str">
        <f t="shared" si="2"/>
        <v>LONDRINA [ETAPA 01 - CONDOMINIO ARAÇARI]XXI10</v>
      </c>
      <c r="B39" s="263" t="s">
        <v>34</v>
      </c>
      <c r="C39" s="337" t="s">
        <v>505</v>
      </c>
      <c r="D39" s="166">
        <v>10</v>
      </c>
      <c r="E39" s="197">
        <v>256.74</v>
      </c>
      <c r="F39" s="166">
        <v>2298</v>
      </c>
      <c r="G39" s="338" t="s">
        <v>383</v>
      </c>
      <c r="H39" s="40">
        <v>41447</v>
      </c>
      <c r="I39" s="35">
        <v>98947.6</v>
      </c>
      <c r="J39" s="35" t="str">
        <f>IFERROR(VLOOKUP(CONCATENATE(B39,C39,D39,),Inadimplencia!$A$6:$K$110,6,0),"ATIVO")</f>
        <v>ATIVO</v>
      </c>
      <c r="K39" s="35">
        <f t="shared" si="3"/>
        <v>100654.6</v>
      </c>
      <c r="L39" s="325">
        <f t="shared" si="4"/>
        <v>1.0172515553687003</v>
      </c>
      <c r="M39" s="423" t="str">
        <f t="shared" si="5"/>
        <v>ATIVO1</v>
      </c>
      <c r="W39" s="37"/>
      <c r="X39" s="203" t="str">
        <f t="shared" si="0"/>
        <v>LONDRINA [ETAPA 01 - CONDOMINIO ARAÇARI]ATIVO</v>
      </c>
      <c r="Y39" s="203" t="str">
        <f t="shared" si="1"/>
        <v>XXI10NILSON DE SOUZA FARIA</v>
      </c>
      <c r="Z39" s="203" t="str">
        <f t="shared" si="6"/>
        <v>XXI10NILSON DE SOUZA FARIA</v>
      </c>
      <c r="AA39" s="427" t="s">
        <v>505</v>
      </c>
      <c r="AB39" s="427">
        <v>10</v>
      </c>
      <c r="AC39" s="428" t="s">
        <v>383</v>
      </c>
      <c r="AD39" s="505">
        <v>100654.6</v>
      </c>
      <c r="AE39" s="506">
        <v>241973.09</v>
      </c>
      <c r="AF39" s="60" t="str">
        <f t="shared" si="7"/>
        <v>NILSON DE SOUZA FARIA</v>
      </c>
      <c r="AG39" s="60" t="str">
        <f t="shared" si="8"/>
        <v>OK</v>
      </c>
    </row>
    <row r="40" spans="1:33">
      <c r="A40" s="61" t="str">
        <f t="shared" si="2"/>
        <v>LONDRINA [ETAPA 01 - CONDOMINIO ARAÇARI]XXI17</v>
      </c>
      <c r="B40" s="263" t="s">
        <v>34</v>
      </c>
      <c r="C40" s="337" t="s">
        <v>505</v>
      </c>
      <c r="D40" s="73">
        <v>17</v>
      </c>
      <c r="E40" s="315">
        <v>256.74</v>
      </c>
      <c r="F40" s="166">
        <v>2500</v>
      </c>
      <c r="G40" s="74" t="s">
        <v>625</v>
      </c>
      <c r="H40" s="40">
        <v>41447</v>
      </c>
      <c r="I40" s="35">
        <v>96534.24</v>
      </c>
      <c r="J40" s="35" t="str">
        <f>IFERROR(VLOOKUP(CONCATENATE(B40,C40,D40,),Inadimplencia!$A$6:$K$110,6,0),"ATIVO")</f>
        <v>ATIVO</v>
      </c>
      <c r="K40" s="35">
        <f t="shared" si="3"/>
        <v>4188.08</v>
      </c>
      <c r="L40" s="325">
        <f t="shared" si="4"/>
        <v>4.338439915205216E-2</v>
      </c>
      <c r="M40" s="423" t="str">
        <f t="shared" si="5"/>
        <v>ATIVO0</v>
      </c>
      <c r="N40" s="537" t="s">
        <v>956</v>
      </c>
      <c r="O40" s="538"/>
      <c r="P40" s="538"/>
      <c r="Q40" s="539"/>
      <c r="R40" s="209" t="s">
        <v>959</v>
      </c>
      <c r="S40" s="49"/>
      <c r="W40" s="37"/>
      <c r="X40" s="203" t="str">
        <f t="shared" si="0"/>
        <v>LONDRINA [ETAPA 01 - CONDOMINIO ARAÇARI]ATIVO</v>
      </c>
      <c r="Y40" s="203" t="str">
        <f t="shared" si="1"/>
        <v>XXI17NILTON CESAR BONINI</v>
      </c>
      <c r="Z40" s="203" t="str">
        <f t="shared" si="6"/>
        <v>XXI17NILTON CESAR BONINI</v>
      </c>
      <c r="AA40" s="427" t="s">
        <v>505</v>
      </c>
      <c r="AB40" s="427">
        <v>17</v>
      </c>
      <c r="AC40" s="428" t="s">
        <v>625</v>
      </c>
      <c r="AD40" s="505">
        <v>4188.08</v>
      </c>
      <c r="AE40" s="506">
        <v>115469.6</v>
      </c>
      <c r="AF40" s="60" t="str">
        <f t="shared" si="7"/>
        <v>NILTON CESAR BONINI</v>
      </c>
      <c r="AG40" s="60" t="str">
        <f t="shared" si="8"/>
        <v>OK</v>
      </c>
    </row>
    <row r="41" spans="1:33">
      <c r="A41" s="61" t="str">
        <f t="shared" si="2"/>
        <v>LONDRINA [ETAPA 01 - CONDOMINIO ARAÇARI]XXI21</v>
      </c>
      <c r="B41" s="263" t="s">
        <v>34</v>
      </c>
      <c r="C41" s="337" t="s">
        <v>505</v>
      </c>
      <c r="D41" s="166">
        <v>21</v>
      </c>
      <c r="E41" s="197">
        <v>372.98</v>
      </c>
      <c r="F41" s="166">
        <v>2802</v>
      </c>
      <c r="G41" s="338" t="s">
        <v>206</v>
      </c>
      <c r="H41" s="40">
        <v>41527</v>
      </c>
      <c r="I41" s="35">
        <v>126216.42</v>
      </c>
      <c r="J41" s="35" t="str">
        <f>IFERROR(VLOOKUP(CONCATENATE(B41,C41,D41,),Inadimplencia!$A$6:$K$110,6,0),"ATIVO")</f>
        <v>ATIVO</v>
      </c>
      <c r="K41" s="35">
        <f t="shared" si="3"/>
        <v>65656.72</v>
      </c>
      <c r="L41" s="325">
        <f t="shared" si="4"/>
        <v>0.520191588384459</v>
      </c>
      <c r="M41" s="423" t="str">
        <f t="shared" si="5"/>
        <v>ATIVO0</v>
      </c>
      <c r="N41" s="540" t="s">
        <v>957</v>
      </c>
      <c r="O41" s="541"/>
      <c r="P41" s="541"/>
      <c r="Q41" s="542"/>
      <c r="R41" s="210">
        <f>SUMIF($M$5:$M$527,"ATIVO1",$K$5:$K$527)</f>
        <v>10270192.390000006</v>
      </c>
      <c r="T41" s="37"/>
      <c r="U41" s="49">
        <f>U33+T33</f>
        <v>6824660.5899999999</v>
      </c>
      <c r="V41" s="37"/>
      <c r="W41" s="37"/>
      <c r="X41" s="203" t="str">
        <f t="shared" si="0"/>
        <v>LONDRINA [ETAPA 01 - CONDOMINIO ARAÇARI]ATIVO</v>
      </c>
      <c r="Y41" s="203" t="str">
        <f t="shared" si="1"/>
        <v>XXI21FABIO HENRIQUE VILLAS BOAS</v>
      </c>
      <c r="Z41" s="203" t="str">
        <f t="shared" si="6"/>
        <v>XXI21FABIO HENRIQUE VILLAS BOAS</v>
      </c>
      <c r="AA41" s="427" t="s">
        <v>505</v>
      </c>
      <c r="AB41" s="427">
        <v>21</v>
      </c>
      <c r="AC41" s="428" t="s">
        <v>206</v>
      </c>
      <c r="AD41" s="505">
        <v>65656.72</v>
      </c>
      <c r="AE41" s="506">
        <v>179755.38</v>
      </c>
      <c r="AF41" s="60" t="str">
        <f t="shared" si="7"/>
        <v>FABIO HENRIQUE VILLAS BOAS</v>
      </c>
      <c r="AG41" s="60" t="str">
        <f t="shared" si="8"/>
        <v>OK</v>
      </c>
    </row>
    <row r="42" spans="1:33">
      <c r="A42" s="61" t="str">
        <f t="shared" si="2"/>
        <v>LONDRINA [ETAPA 01 - CONDOMINIO ARAÇARI]XXI30</v>
      </c>
      <c r="B42" s="263" t="s">
        <v>34</v>
      </c>
      <c r="C42" s="337" t="s">
        <v>505</v>
      </c>
      <c r="D42" s="73">
        <v>30</v>
      </c>
      <c r="E42" s="315">
        <v>261.70999999999998</v>
      </c>
      <c r="F42" s="166">
        <v>2365</v>
      </c>
      <c r="G42" s="74" t="s">
        <v>82</v>
      </c>
      <c r="H42" s="40">
        <v>41439</v>
      </c>
      <c r="I42" s="35">
        <v>95942.89</v>
      </c>
      <c r="J42" s="35" t="str">
        <f>IFERROR(VLOOKUP(CONCATENATE(B42,C42,D42,),Inadimplencia!$A$6:$K$110,6,0),"ATIVO")</f>
        <v>INADIMPLENTE</v>
      </c>
      <c r="K42" s="35">
        <f t="shared" si="3"/>
        <v>222434.02000000002</v>
      </c>
      <c r="L42" s="325">
        <f t="shared" si="4"/>
        <v>2.3184002483143882</v>
      </c>
      <c r="M42" s="423" t="str">
        <f t="shared" si="5"/>
        <v>INADIMPLENTE1</v>
      </c>
      <c r="N42" s="540" t="s">
        <v>958</v>
      </c>
      <c r="O42" s="541"/>
      <c r="P42" s="541"/>
      <c r="Q42" s="542"/>
      <c r="R42" s="210">
        <f>SUMIF($M$5:$M$527,"ATRASO1",$K$5:$K$527)</f>
        <v>1525951.9500000002</v>
      </c>
      <c r="T42" s="508"/>
      <c r="U42" s="49">
        <f>U34+T34</f>
        <v>7115872.8000000007</v>
      </c>
      <c r="V42" s="37"/>
      <c r="W42" s="37"/>
      <c r="X42" s="203" t="str">
        <f t="shared" si="0"/>
        <v>LONDRINA [ETAPA 01 - CONDOMINIO ARAÇARI]INADIMPLENTE</v>
      </c>
      <c r="Y42" s="203" t="str">
        <f t="shared" si="1"/>
        <v>XXI30ANTONIO SERGIO BARROTTI RODELLA</v>
      </c>
      <c r="Z42" s="203" t="str">
        <f t="shared" si="6"/>
        <v>XXI30ANTONIO SERGIO BARROTTI RODELLA</v>
      </c>
      <c r="AA42" s="427" t="s">
        <v>505</v>
      </c>
      <c r="AB42" s="427">
        <v>30</v>
      </c>
      <c r="AC42" s="428" t="s">
        <v>82</v>
      </c>
      <c r="AD42" s="505">
        <v>222434.02000000002</v>
      </c>
      <c r="AE42" s="506">
        <v>256953.86000000002</v>
      </c>
      <c r="AF42" s="60" t="str">
        <f t="shared" si="7"/>
        <v>ANTONIO SERGIO BARROTTI RODELLA</v>
      </c>
      <c r="AG42" s="60" t="str">
        <f t="shared" si="8"/>
        <v>OK</v>
      </c>
    </row>
    <row r="43" spans="1:33">
      <c r="A43" s="61" t="str">
        <f t="shared" si="2"/>
        <v>LONDRINA [ETAPA 01 - CONDOMINIO ARAÇARI]XXII10</v>
      </c>
      <c r="B43" s="263" t="s">
        <v>34</v>
      </c>
      <c r="C43" s="337" t="s">
        <v>506</v>
      </c>
      <c r="D43" s="166">
        <v>10</v>
      </c>
      <c r="E43" s="197">
        <v>258.7</v>
      </c>
      <c r="F43" s="166">
        <v>2410</v>
      </c>
      <c r="G43" s="338" t="s">
        <v>74</v>
      </c>
      <c r="H43" s="40">
        <v>41439</v>
      </c>
      <c r="I43" s="35">
        <v>94839.42</v>
      </c>
      <c r="J43" s="35" t="str">
        <f>IFERROR(VLOOKUP(CONCATENATE(B43,C43,D43,),Inadimplencia!$A$6:$K$110,6,0),"ATIVO")</f>
        <v>ATIVO</v>
      </c>
      <c r="K43" s="35">
        <f t="shared" si="3"/>
        <v>88806.05</v>
      </c>
      <c r="L43" s="325">
        <f t="shared" si="4"/>
        <v>0.93638330980935991</v>
      </c>
      <c r="M43" s="423" t="str">
        <f t="shared" si="5"/>
        <v>ATIVO0</v>
      </c>
      <c r="N43" s="528" t="s">
        <v>916</v>
      </c>
      <c r="O43" s="529"/>
      <c r="P43" s="529"/>
      <c r="Q43" s="530"/>
      <c r="R43" s="211">
        <f>SUM(R41:R42)</f>
        <v>11796144.340000007</v>
      </c>
      <c r="S43" s="70">
        <f>(R9-R8-R43)/S15</f>
        <v>1.6929348523652052</v>
      </c>
      <c r="T43" s="37"/>
      <c r="U43" s="49">
        <f>U35+T35</f>
        <v>15558235.260000005</v>
      </c>
      <c r="V43" s="37"/>
      <c r="W43" s="37"/>
      <c r="X43" s="203" t="str">
        <f t="shared" si="0"/>
        <v>LONDRINA [ETAPA 01 - CONDOMINIO ARAÇARI]ATIVO</v>
      </c>
      <c r="Y43" s="203" t="str">
        <f t="shared" si="1"/>
        <v>XXII10ANGELA DO ROCIO DE OLIVEIRA LIMA</v>
      </c>
      <c r="Z43" s="203" t="str">
        <f t="shared" si="6"/>
        <v>XXII10ANGELA DO ROCIO DE OLIVEIRA LIMA</v>
      </c>
      <c r="AA43" s="427" t="s">
        <v>506</v>
      </c>
      <c r="AB43" s="427">
        <v>10</v>
      </c>
      <c r="AC43" s="428" t="s">
        <v>74</v>
      </c>
      <c r="AD43" s="505">
        <v>88806.05</v>
      </c>
      <c r="AE43" s="506">
        <v>184530.88</v>
      </c>
      <c r="AF43" s="60" t="str">
        <f t="shared" si="7"/>
        <v>ANGELA DO ROCIO DE OLIVEIRA LIMA</v>
      </c>
      <c r="AG43" s="60" t="str">
        <f t="shared" si="8"/>
        <v>OK</v>
      </c>
    </row>
    <row r="44" spans="1:33">
      <c r="A44" s="61" t="str">
        <f t="shared" si="2"/>
        <v>LONDRINA [ETAPA 01 - CONDOMINIO ARAÇARI]XXII13</v>
      </c>
      <c r="B44" s="263" t="s">
        <v>34</v>
      </c>
      <c r="C44" s="337" t="s">
        <v>506</v>
      </c>
      <c r="D44" s="73">
        <v>13</v>
      </c>
      <c r="E44" s="315">
        <v>258.7</v>
      </c>
      <c r="F44" s="166">
        <v>2292</v>
      </c>
      <c r="G44" s="74" t="s">
        <v>369</v>
      </c>
      <c r="H44" s="40">
        <v>41447</v>
      </c>
      <c r="I44" s="35">
        <v>94839.42</v>
      </c>
      <c r="J44" s="35" t="str">
        <f>IFERROR(VLOOKUP(CONCATENATE(B44,C44,D44,),Inadimplencia!$A$6:$K$110,6,0),"ATIVO")</f>
        <v>ATIVO</v>
      </c>
      <c r="K44" s="35">
        <f t="shared" si="3"/>
        <v>5865.47</v>
      </c>
      <c r="L44" s="325">
        <f t="shared" si="4"/>
        <v>6.1846329300622047E-2</v>
      </c>
      <c r="M44" s="423" t="str">
        <f t="shared" si="5"/>
        <v>ATIVO0</v>
      </c>
      <c r="T44" s="37"/>
      <c r="U44" s="49">
        <f>U36+T36</f>
        <v>14383377.999999998</v>
      </c>
      <c r="V44" s="37"/>
      <c r="W44" s="37"/>
      <c r="X44" s="203" t="str">
        <f t="shared" si="0"/>
        <v>LONDRINA [ETAPA 01 - CONDOMINIO ARAÇARI]ATIVO</v>
      </c>
      <c r="Y44" s="203" t="str">
        <f t="shared" si="1"/>
        <v>XXII13MEIRE ADRIANA ARAUJO MARCONDES</v>
      </c>
      <c r="Z44" s="203" t="str">
        <f t="shared" si="6"/>
        <v>XXII13MEIRE ADRIANA ARAUJO MARCONDES</v>
      </c>
      <c r="AA44" s="427" t="s">
        <v>506</v>
      </c>
      <c r="AB44" s="427">
        <v>13</v>
      </c>
      <c r="AC44" s="428" t="s">
        <v>369</v>
      </c>
      <c r="AD44" s="505">
        <v>5865.47</v>
      </c>
      <c r="AE44" s="506">
        <v>120752.84</v>
      </c>
      <c r="AF44" s="60" t="str">
        <f t="shared" si="7"/>
        <v>MEIRE ADRIANA ARAUJO MARCONDES</v>
      </c>
      <c r="AG44" s="60" t="str">
        <f t="shared" si="8"/>
        <v>OK</v>
      </c>
    </row>
    <row r="45" spans="1:33">
      <c r="A45" s="61" t="str">
        <f t="shared" si="2"/>
        <v>LONDRINA [ETAPA 01 - CONDOMINIO ARAÇARI]XXII14</v>
      </c>
      <c r="B45" s="263" t="s">
        <v>34</v>
      </c>
      <c r="C45" s="337" t="s">
        <v>506</v>
      </c>
      <c r="D45" s="166">
        <v>14</v>
      </c>
      <c r="E45" s="197">
        <v>258.7</v>
      </c>
      <c r="F45" s="166">
        <v>2293</v>
      </c>
      <c r="G45" s="338" t="s">
        <v>481</v>
      </c>
      <c r="H45" s="40">
        <v>41446</v>
      </c>
      <c r="I45" s="35">
        <v>94839.42</v>
      </c>
      <c r="J45" s="35" t="str">
        <f>IFERROR(VLOOKUP(CONCATENATE(B45,C45,D45,),Inadimplencia!$A$6:$K$110,6,0),"ATIVO")</f>
        <v>ATIVO</v>
      </c>
      <c r="K45" s="35">
        <f t="shared" si="3"/>
        <v>5847.1900000000005</v>
      </c>
      <c r="L45" s="325">
        <f t="shared" si="4"/>
        <v>6.1653582444936933E-2</v>
      </c>
      <c r="M45" s="423" t="str">
        <f t="shared" si="5"/>
        <v>ATIVO0</v>
      </c>
      <c r="T45" s="37"/>
      <c r="U45" s="49">
        <f>U37+T37</f>
        <v>43882146.650000006</v>
      </c>
      <c r="V45" s="37"/>
      <c r="W45" s="37"/>
      <c r="X45" s="203" t="str">
        <f t="shared" si="0"/>
        <v>LONDRINA [ETAPA 01 - CONDOMINIO ARAÇARI]ATIVO</v>
      </c>
      <c r="Y45" s="203" t="str">
        <f t="shared" si="1"/>
        <v>XXII14WELLINGTON TEIXEIRA MARCONDES</v>
      </c>
      <c r="Z45" s="203" t="str">
        <f t="shared" si="6"/>
        <v>XXII14WELLINGTON TEIXEIRA MARCONDES</v>
      </c>
      <c r="AA45" s="427" t="s">
        <v>506</v>
      </c>
      <c r="AB45" s="427">
        <v>14</v>
      </c>
      <c r="AC45" s="428" t="s">
        <v>481</v>
      </c>
      <c r="AD45" s="505">
        <v>5847.1900000000005</v>
      </c>
      <c r="AE45" s="506">
        <v>120728.51000000001</v>
      </c>
      <c r="AF45" s="60" t="str">
        <f t="shared" si="7"/>
        <v>WELLINGTON TEIXEIRA MARCONDES</v>
      </c>
      <c r="AG45" s="60" t="str">
        <f t="shared" si="8"/>
        <v>OK</v>
      </c>
    </row>
    <row r="46" spans="1:33">
      <c r="A46" s="61" t="str">
        <f t="shared" si="2"/>
        <v>LONDRINA [ETAPA 01 - CONDOMINIO ARAÇARI]XXII16</v>
      </c>
      <c r="B46" s="263" t="s">
        <v>34</v>
      </c>
      <c r="C46" s="337" t="s">
        <v>506</v>
      </c>
      <c r="D46" s="73">
        <v>16</v>
      </c>
      <c r="E46" s="315">
        <v>258.7</v>
      </c>
      <c r="F46" s="166">
        <v>2612</v>
      </c>
      <c r="G46" s="74" t="s">
        <v>57</v>
      </c>
      <c r="H46" s="40">
        <v>41432</v>
      </c>
      <c r="I46" s="35">
        <v>94839.12</v>
      </c>
      <c r="J46" s="35" t="str">
        <f>IFERROR(VLOOKUP(CONCATENATE(B46,C46,D46,),Inadimplencia!$A$6:$K$110,6,0),"ATIVO")</f>
        <v>ATIVO</v>
      </c>
      <c r="K46" s="35">
        <f t="shared" si="3"/>
        <v>96154.12</v>
      </c>
      <c r="L46" s="325">
        <f t="shared" si="4"/>
        <v>1.0138655862686199</v>
      </c>
      <c r="M46" s="423" t="str">
        <f t="shared" si="5"/>
        <v>ATIVO1</v>
      </c>
      <c r="N46" s="245" t="s">
        <v>881</v>
      </c>
      <c r="O46" s="251" t="s">
        <v>1020</v>
      </c>
      <c r="P46" s="251" t="s">
        <v>1021</v>
      </c>
      <c r="Q46" s="248" t="s">
        <v>1019</v>
      </c>
      <c r="R46" s="252" t="s">
        <v>1022</v>
      </c>
      <c r="S46" s="209" t="s">
        <v>1023</v>
      </c>
      <c r="T46" s="37"/>
      <c r="U46" s="37"/>
      <c r="V46" s="37"/>
      <c r="W46" s="37"/>
      <c r="X46" s="203" t="str">
        <f t="shared" si="0"/>
        <v>LONDRINA [ETAPA 01 - CONDOMINIO ARAÇARI]ATIVO</v>
      </c>
      <c r="Y46" s="203" t="str">
        <f t="shared" si="1"/>
        <v>XXII16ALEX SANDRO DA SILVA OLIVEIRA</v>
      </c>
      <c r="Z46" s="203" t="str">
        <f t="shared" si="6"/>
        <v>XXII16ALEX SANDRO DA SILVA OLIVEIRA</v>
      </c>
      <c r="AA46" s="427" t="s">
        <v>506</v>
      </c>
      <c r="AB46" s="427">
        <v>16</v>
      </c>
      <c r="AC46" s="428" t="s">
        <v>57</v>
      </c>
      <c r="AD46" s="505">
        <v>96154.12</v>
      </c>
      <c r="AE46" s="506">
        <v>189104.39</v>
      </c>
      <c r="AF46" s="60" t="str">
        <f t="shared" si="7"/>
        <v>ALEX SANDRO DA SILVA OLIVEIRA</v>
      </c>
      <c r="AG46" s="60" t="str">
        <f t="shared" si="8"/>
        <v>OK</v>
      </c>
    </row>
    <row r="47" spans="1:33">
      <c r="A47" s="61" t="str">
        <f t="shared" si="2"/>
        <v>LONDRINA [ETAPA 01 - CONDOMINIO ARAÇARI]XXII17</v>
      </c>
      <c r="B47" s="263" t="s">
        <v>34</v>
      </c>
      <c r="C47" s="337" t="s">
        <v>506</v>
      </c>
      <c r="D47" s="166">
        <v>17</v>
      </c>
      <c r="E47" s="197">
        <v>258.7</v>
      </c>
      <c r="F47" s="166">
        <v>2276</v>
      </c>
      <c r="G47" s="338" t="s">
        <v>339</v>
      </c>
      <c r="H47" s="40">
        <v>41433</v>
      </c>
      <c r="I47" s="35">
        <v>94839.42</v>
      </c>
      <c r="J47" s="35" t="str">
        <f>IFERROR(VLOOKUP(CONCATENATE(B47,C47,D47,),Inadimplencia!$A$6:$K$110,6,0),"ATIVO")</f>
        <v>INADIMPLENTE</v>
      </c>
      <c r="K47" s="35">
        <f t="shared" si="3"/>
        <v>166513.09</v>
      </c>
      <c r="L47" s="325">
        <f t="shared" si="4"/>
        <v>1.7557371185947783</v>
      </c>
      <c r="M47" s="423" t="str">
        <f t="shared" si="5"/>
        <v>INADIMPLENTE1</v>
      </c>
      <c r="N47" s="247" t="s">
        <v>882</v>
      </c>
      <c r="O47" s="249">
        <f>AVERAGEIF($B$5:$B$527,"LONDRINA [ETAPA 01 - CONDOMINIO ARAÇARI]",$E$5:$E$527)</f>
        <v>264.02888888888873</v>
      </c>
      <c r="P47" s="249">
        <f>Q47/(SUMIF($B$5:$B$527,"LONDRINA [ETAPA 01 - CONDOMINIO ARAÇARI]",$E$5:$E$527))</f>
        <v>415.89673057662071</v>
      </c>
      <c r="Q47" s="249">
        <f>SUMIF($B$5:$B$527,"LONDRINA [ETAPA 01 - CONDOMINIO ARAÇARI]",$I$5:$I$527)</f>
        <v>7906230.120000001</v>
      </c>
      <c r="R47" s="249">
        <f>SUMIF($B$5:$B$527,"LONDRINA [ETAPA 01 - CONDOMINIO ARAÇARI]",$E$5:$E$527)</f>
        <v>19010.079999999987</v>
      </c>
      <c r="S47" s="176">
        <f>IF(Vendas!V10&gt;0,Recebíveis!R47*Vendas!V10,Recebíveis!Q47)</f>
        <v>12082951.861636909</v>
      </c>
      <c r="T47" s="37"/>
      <c r="U47" s="37"/>
      <c r="V47" s="37"/>
      <c r="W47" s="37"/>
      <c r="X47" s="203" t="str">
        <f t="shared" si="0"/>
        <v>LONDRINA [ETAPA 01 - CONDOMINIO ARAÇARI]INADIMPLENTE</v>
      </c>
      <c r="Y47" s="203" t="str">
        <f t="shared" si="1"/>
        <v>XXII17MARCO AURELIO BENEDITO DA SILVA</v>
      </c>
      <c r="Z47" s="203" t="str">
        <f t="shared" si="6"/>
        <v>XXII17MARCO AURELIO BENEDITO DA SILVA</v>
      </c>
      <c r="AA47" s="427" t="s">
        <v>506</v>
      </c>
      <c r="AB47" s="427">
        <v>17</v>
      </c>
      <c r="AC47" s="428" t="s">
        <v>339</v>
      </c>
      <c r="AD47" s="505">
        <v>166513.09</v>
      </c>
      <c r="AE47" s="506">
        <v>199622.76</v>
      </c>
      <c r="AF47" s="60" t="str">
        <f t="shared" si="7"/>
        <v>MARCO AURELIO BENEDITO DA SILVA</v>
      </c>
      <c r="AG47" s="60" t="str">
        <f t="shared" si="8"/>
        <v>OK</v>
      </c>
    </row>
    <row r="48" spans="1:33">
      <c r="A48" s="61" t="str">
        <f t="shared" si="2"/>
        <v>LONDRINA [ETAPA 01 - CONDOMINIO ARAÇARI]XXII18</v>
      </c>
      <c r="B48" s="263" t="s">
        <v>34</v>
      </c>
      <c r="C48" s="337" t="s">
        <v>506</v>
      </c>
      <c r="D48" s="73">
        <v>18</v>
      </c>
      <c r="E48" s="315">
        <v>258.7</v>
      </c>
      <c r="F48" s="166">
        <v>2278</v>
      </c>
      <c r="G48" s="74" t="s">
        <v>339</v>
      </c>
      <c r="H48" s="40">
        <v>41433</v>
      </c>
      <c r="I48" s="35">
        <v>94839.42</v>
      </c>
      <c r="J48" s="35" t="str">
        <f>IFERROR(VLOOKUP(CONCATENATE(B48,C48,D48,),Inadimplencia!$A$6:$K$110,6,0),"ATIVO")</f>
        <v>INADIMPLENTE</v>
      </c>
      <c r="K48" s="35">
        <f t="shared" si="3"/>
        <v>166512.95999999999</v>
      </c>
      <c r="L48" s="325">
        <f t="shared" si="4"/>
        <v>1.7557357478567457</v>
      </c>
      <c r="M48" s="423" t="str">
        <f t="shared" si="5"/>
        <v>INADIMPLENTE1</v>
      </c>
      <c r="N48" s="247" t="s">
        <v>886</v>
      </c>
      <c r="O48" s="249">
        <f>AVERAGEIF($B$5:$B$527,"LONDRINA [ETAPA 01 - AREAS EXTERNAS G1 - G5]",$E$5:$E$527)</f>
        <v>267.42320000000001</v>
      </c>
      <c r="P48" s="249">
        <f>Q48/(SUMIF($B$5:$B$527,"LONDRINA [ETAPA 01 - AREAS EXTERNAS G1 - G5]",$E$5:$E$527))</f>
        <v>379.59619060724725</v>
      </c>
      <c r="Q48" s="249">
        <f>SUMIF($B$5:$B$527,"LONDRINA [ETAPA 01 - AREAS EXTERNAS G1 - G5]",$I$5:$I$527)</f>
        <v>2537820.7000000002</v>
      </c>
      <c r="R48" s="249">
        <f>SUMIF($B$5:$B$527,"LONDRINA [ETAPA 01 - AREAS EXTERNAS G1 - G5]",$E$5:$E$527)</f>
        <v>6685.58</v>
      </c>
      <c r="S48" s="176">
        <f>IF(Vendas!V11&gt;0,Recebíveis!R48*Vendas!V11,Recebíveis!Q48)</f>
        <v>4859006.0026200004</v>
      </c>
      <c r="T48" s="38"/>
      <c r="U48" s="38"/>
      <c r="V48" s="38"/>
      <c r="W48" s="37"/>
      <c r="X48" s="203" t="str">
        <f t="shared" si="0"/>
        <v>LONDRINA [ETAPA 01 - CONDOMINIO ARAÇARI]INADIMPLENTE</v>
      </c>
      <c r="Y48" s="203" t="str">
        <f t="shared" si="1"/>
        <v>XXII18MARCO AURELIO BENEDITO DA SILVA</v>
      </c>
      <c r="Z48" s="203" t="str">
        <f t="shared" si="6"/>
        <v>XXII18MARCO AURELIO BENEDITO DA SILVA</v>
      </c>
      <c r="AA48" s="427" t="s">
        <v>506</v>
      </c>
      <c r="AB48" s="427">
        <v>18</v>
      </c>
      <c r="AC48" s="428" t="s">
        <v>339</v>
      </c>
      <c r="AD48" s="505">
        <v>166512.95999999999</v>
      </c>
      <c r="AE48" s="506">
        <v>199623.23</v>
      </c>
      <c r="AF48" s="60" t="str">
        <f t="shared" si="7"/>
        <v>MARCO AURELIO BENEDITO DA SILVA</v>
      </c>
      <c r="AG48" s="60" t="str">
        <f t="shared" si="8"/>
        <v>OK</v>
      </c>
    </row>
    <row r="49" spans="1:33">
      <c r="A49" s="61" t="str">
        <f t="shared" si="2"/>
        <v>LONDRINA [ETAPA 01 - CONDOMINIO ARAÇARI]XXII21</v>
      </c>
      <c r="B49" s="263" t="s">
        <v>34</v>
      </c>
      <c r="C49" s="337" t="s">
        <v>506</v>
      </c>
      <c r="D49" s="166">
        <v>21</v>
      </c>
      <c r="E49" s="197">
        <v>266.81</v>
      </c>
      <c r="F49" s="166">
        <v>2483</v>
      </c>
      <c r="G49" s="338" t="s">
        <v>116</v>
      </c>
      <c r="H49" s="40">
        <v>41445</v>
      </c>
      <c r="I49" s="35">
        <v>97812.55</v>
      </c>
      <c r="J49" s="35" t="str">
        <f>IFERROR(VLOOKUP(CONCATENATE(B49,C49,D49,),Inadimplencia!$A$6:$K$110,6,0),"ATIVO")</f>
        <v>ATIVO</v>
      </c>
      <c r="K49" s="35">
        <f t="shared" si="3"/>
        <v>42937.39</v>
      </c>
      <c r="L49" s="325">
        <f t="shared" si="4"/>
        <v>0.43897628678528466</v>
      </c>
      <c r="M49" s="423" t="str">
        <f t="shared" si="5"/>
        <v>ATIVO0</v>
      </c>
      <c r="N49" s="247" t="s">
        <v>883</v>
      </c>
      <c r="O49" s="249">
        <f>AVERAGEIF($B$5:$B$527,"LONDRINA [ETAPA 02 - CONDOMINIO TANGARA]",$E$5:$E$527)</f>
        <v>266.1910638297872</v>
      </c>
      <c r="P49" s="249">
        <f>Q49/(SUMIF($B$5:$B$527,"LONDRINA [ETAPA 02 - CONDOMINIO TANGARA]",$E$5:$E$527))</f>
        <v>434.56913766947133</v>
      </c>
      <c r="Q49" s="249">
        <f>SUMIF($B$5:$B$527,"LONDRINA [ETAPA 02 - CONDOMINIO TANGARA]",$I$5:$I$527)</f>
        <v>5436885.7900000019</v>
      </c>
      <c r="R49" s="249">
        <f>SUMIF($B$5:$B$527,"LONDRINA [ETAPA 02 - CONDOMINIO TANGARA]",$E$5:$E$527)</f>
        <v>12510.98</v>
      </c>
      <c r="S49" s="176">
        <f>IF(Vendas!V12&gt;0,Recebíveis!R49*Vendas!V12,Recebíveis!Q49)</f>
        <v>7000683.3511223644</v>
      </c>
      <c r="T49" s="38"/>
      <c r="U49" s="38"/>
      <c r="V49" s="38"/>
      <c r="W49" s="37"/>
      <c r="X49" s="203" t="str">
        <f t="shared" si="0"/>
        <v>LONDRINA [ETAPA 01 - CONDOMINIO ARAÇARI]ATIVO</v>
      </c>
      <c r="Y49" s="203" t="str">
        <f t="shared" si="1"/>
        <v>XXII21CLAUDIO GUIRARDELLI</v>
      </c>
      <c r="Z49" s="203" t="str">
        <f t="shared" si="6"/>
        <v>XXII21CLAUDIO GUIRARDELLI</v>
      </c>
      <c r="AA49" s="427" t="s">
        <v>506</v>
      </c>
      <c r="AB49" s="427">
        <v>21</v>
      </c>
      <c r="AC49" s="428" t="s">
        <v>116</v>
      </c>
      <c r="AD49" s="505">
        <v>42937.39</v>
      </c>
      <c r="AE49" s="506">
        <v>149371.78</v>
      </c>
      <c r="AF49" s="60" t="str">
        <f t="shared" si="7"/>
        <v>CLAUDIO GUIRARDELLI</v>
      </c>
      <c r="AG49" s="60" t="str">
        <f t="shared" si="8"/>
        <v>OK</v>
      </c>
    </row>
    <row r="50" spans="1:33">
      <c r="A50" s="61" t="str">
        <f t="shared" si="2"/>
        <v>LONDRINA [ETAPA 01 - CONDOMINIO ARAÇARI]XXII26</v>
      </c>
      <c r="B50" s="263" t="s">
        <v>34</v>
      </c>
      <c r="C50" s="337" t="s">
        <v>506</v>
      </c>
      <c r="D50" s="73">
        <v>26</v>
      </c>
      <c r="E50" s="315">
        <v>266.81</v>
      </c>
      <c r="F50" s="166">
        <v>2618</v>
      </c>
      <c r="G50" s="74" t="s">
        <v>49</v>
      </c>
      <c r="H50" s="40">
        <v>41445</v>
      </c>
      <c r="I50" s="35">
        <v>97812.55</v>
      </c>
      <c r="J50" s="35" t="str">
        <f>IFERROR(VLOOKUP(CONCATENATE(B50,C50,D50,),Inadimplencia!$A$6:$K$110,6,0),"ATIVO")</f>
        <v>INADIMPLENTE</v>
      </c>
      <c r="K50" s="35">
        <f t="shared" si="3"/>
        <v>18586.62</v>
      </c>
      <c r="L50" s="325">
        <f t="shared" si="4"/>
        <v>0.19002285494039362</v>
      </c>
      <c r="M50" s="423" t="str">
        <f t="shared" si="5"/>
        <v>INADIMPLENTE0</v>
      </c>
      <c r="N50" s="247" t="s">
        <v>887</v>
      </c>
      <c r="O50" s="249">
        <f>AVERAGEIF($B$5:$B$527,"LONDRINA [ETAPA 02 - AREAS EXTERNAS G2 - G6]",$E$5:$E$527)</f>
        <v>260.54810344827592</v>
      </c>
      <c r="P50" s="249">
        <f>Q50/(SUMIF($B$5:$B$527,"LONDRINA [ETAPA 02 - AREAS EXTERNAS G2 - G6]",$E$5:$E$527))</f>
        <v>354.32476893868954</v>
      </c>
      <c r="Q50" s="249">
        <f>SUMIF($B$5:$B$527,"LONDRINA [ETAPA 02 - AREAS EXTERNAS G2 - G6]",$I$5:$I$527)</f>
        <v>5354481.5000000009</v>
      </c>
      <c r="R50" s="249">
        <f>SUMIF($B$5:$B$527,"LONDRINA [ETAPA 02 - AREAS EXTERNAS G2 - G6]",$E$5:$E$527)</f>
        <v>15111.790000000005</v>
      </c>
      <c r="S50" s="176">
        <f>IF(Vendas!V13&gt;0,Recebíveis!R50*Vendas!V13,Recebíveis!Q50)</f>
        <v>9562532.7269131914</v>
      </c>
      <c r="T50" s="38"/>
      <c r="U50" s="38"/>
      <c r="V50" s="38"/>
      <c r="W50" s="37"/>
      <c r="X50" s="203" t="str">
        <f t="shared" si="0"/>
        <v>LONDRINA [ETAPA 01 - CONDOMINIO ARAÇARI]INADIMPLENTE</v>
      </c>
      <c r="Y50" s="203" t="str">
        <f t="shared" si="1"/>
        <v>XXII26AGUINALDO AUGUSTINHO</v>
      </c>
      <c r="Z50" s="203" t="str">
        <f t="shared" si="6"/>
        <v>XXII26AGUINALDO AUGUSTINHO</v>
      </c>
      <c r="AA50" s="427" t="s">
        <v>506</v>
      </c>
      <c r="AB50" s="427">
        <v>26</v>
      </c>
      <c r="AC50" s="428" t="s">
        <v>49</v>
      </c>
      <c r="AD50" s="505">
        <v>18586.62</v>
      </c>
      <c r="AE50" s="506">
        <v>133140.54</v>
      </c>
      <c r="AF50" s="60" t="str">
        <f t="shared" si="7"/>
        <v>AGUINALDO AUGUSTINHO</v>
      </c>
      <c r="AG50" s="60" t="str">
        <f t="shared" si="8"/>
        <v>OK</v>
      </c>
    </row>
    <row r="51" spans="1:33">
      <c r="A51" s="61" t="str">
        <f t="shared" si="2"/>
        <v>LONDRINA [ETAPA 01 - CONDOMINIO ARAÇARI]XXII27</v>
      </c>
      <c r="B51" s="263" t="s">
        <v>34</v>
      </c>
      <c r="C51" s="337" t="s">
        <v>506</v>
      </c>
      <c r="D51" s="166">
        <v>27</v>
      </c>
      <c r="E51" s="197">
        <v>266.81</v>
      </c>
      <c r="F51" s="166">
        <v>2617</v>
      </c>
      <c r="G51" s="338" t="s">
        <v>49</v>
      </c>
      <c r="H51" s="40">
        <v>41445</v>
      </c>
      <c r="I51" s="35">
        <v>97812.55</v>
      </c>
      <c r="J51" s="35" t="str">
        <f>IFERROR(VLOOKUP(CONCATENATE(B51,C51,D51,),Inadimplencia!$A$6:$K$110,6,0),"ATIVO")</f>
        <v>INADIMPLENTE</v>
      </c>
      <c r="K51" s="35">
        <f t="shared" si="3"/>
        <v>19822.22</v>
      </c>
      <c r="L51" s="325">
        <f t="shared" si="4"/>
        <v>0.20265518075134531</v>
      </c>
      <c r="M51" s="423" t="str">
        <f t="shared" si="5"/>
        <v>INADIMPLENTE0</v>
      </c>
      <c r="N51" s="247" t="s">
        <v>884</v>
      </c>
      <c r="O51" s="249">
        <f>AVERAGEIF($B$5:$B$527,"LONDRINA [ETAPA 03 - CONDOMINIO ARANGUA]",$E$5:$E$527)</f>
        <v>268.10644444444443</v>
      </c>
      <c r="P51" s="249">
        <f>Q51/(SUMIF($B$5:$B$527,"LONDRINA [ETAPA 03 - CONDOMINIO ARANGUA]",$E$5:$E$527))</f>
        <v>526.00396138957512</v>
      </c>
      <c r="Q51" s="249">
        <f>SUMIF($B$5:$B$527,"LONDRINA [ETAPA 03 - CONDOMINIO ARANGUA]",$I$5:$I$527)</f>
        <v>19038381.999999993</v>
      </c>
      <c r="R51" s="249">
        <f>SUMIF($B$5:$B$527,"LONDRINA [ETAPA 03 - CONDOMINIO ARANGUA]",$E$5:$E$527)</f>
        <v>36194.369999999995</v>
      </c>
      <c r="S51" s="176">
        <f>IF(Vendas!V14&gt;0,Recebíveis!R51*Vendas!V14,Recebíveis!Q51)</f>
        <v>26384897.425041672</v>
      </c>
      <c r="T51" s="38"/>
      <c r="U51" s="38"/>
      <c r="V51" s="38"/>
      <c r="W51" s="37"/>
      <c r="X51" s="203" t="str">
        <f t="shared" si="0"/>
        <v>LONDRINA [ETAPA 01 - CONDOMINIO ARAÇARI]INADIMPLENTE</v>
      </c>
      <c r="Y51" s="203" t="str">
        <f t="shared" si="1"/>
        <v>XXII27AGUINALDO AUGUSTINHO</v>
      </c>
      <c r="Z51" s="203" t="str">
        <f t="shared" si="6"/>
        <v>XXII27AGUINALDO AUGUSTINHO</v>
      </c>
      <c r="AA51" s="427" t="s">
        <v>506</v>
      </c>
      <c r="AB51" s="427">
        <v>27</v>
      </c>
      <c r="AC51" s="428" t="s">
        <v>49</v>
      </c>
      <c r="AD51" s="505">
        <v>19822.22</v>
      </c>
      <c r="AE51" s="506">
        <v>134504.75</v>
      </c>
      <c r="AF51" s="60" t="str">
        <f t="shared" si="7"/>
        <v>AGUINALDO AUGUSTINHO</v>
      </c>
      <c r="AG51" s="60" t="str">
        <f t="shared" si="8"/>
        <v>OK</v>
      </c>
    </row>
    <row r="52" spans="1:33">
      <c r="A52" s="61" t="str">
        <f t="shared" si="2"/>
        <v>LONDRINA [ETAPA 01 - CONDOMINIO ARAÇARI]XXII28</v>
      </c>
      <c r="B52" s="263" t="s">
        <v>34</v>
      </c>
      <c r="C52" s="337" t="s">
        <v>506</v>
      </c>
      <c r="D52" s="73">
        <v>28</v>
      </c>
      <c r="E52" s="315">
        <v>266.81</v>
      </c>
      <c r="F52" s="166">
        <v>2463</v>
      </c>
      <c r="G52" s="74" t="s">
        <v>263</v>
      </c>
      <c r="H52" s="40">
        <v>41444</v>
      </c>
      <c r="I52" s="35">
        <v>97812.6</v>
      </c>
      <c r="J52" s="35" t="str">
        <f>IFERROR(VLOOKUP(CONCATENATE(B52,C52,D52,),Inadimplencia!$A$6:$K$110,6,0),"ATIVO")</f>
        <v>ATIVO</v>
      </c>
      <c r="K52" s="35">
        <f t="shared" si="3"/>
        <v>99049.430000000008</v>
      </c>
      <c r="L52" s="325">
        <f t="shared" si="4"/>
        <v>1.0126448944205553</v>
      </c>
      <c r="M52" s="423" t="str">
        <f t="shared" si="5"/>
        <v>ATIVO1</v>
      </c>
      <c r="N52" s="247" t="s">
        <v>888</v>
      </c>
      <c r="O52" s="249">
        <f>AVERAGEIF($B$5:$B$527,"LONDRINA [ETAPA 03 - AREAS EXTERNAS G3 - G7]",$E$5:$E$527)</f>
        <v>263.49906976744188</v>
      </c>
      <c r="P52" s="249">
        <f>Q52/(SUMIF($B$5:$B$527,"LONDRINA [ETAPA 03 - AREAS EXTERNAS G3 - G7]",$E$5:$E$527))</f>
        <v>456.97074964299776</v>
      </c>
      <c r="Q52" s="249">
        <f>SUMIF($B$5:$B$527,"LONDRINA [ETAPA 03 - AREAS EXTERNAS G3 - G7]",$I$5:$I$527)</f>
        <v>5177688.8000000007</v>
      </c>
      <c r="R52" s="249">
        <f>SUMIF($B$5:$B$527,"LONDRINA [ETAPA 03 - AREAS EXTERNAS G3 - G7]",$E$5:$E$527)</f>
        <v>11330.460000000001</v>
      </c>
      <c r="S52" s="176">
        <f>IF(Vendas!V15&gt;0,Recebíveis!R52*Vendas!V15,Recebíveis!Q52)</f>
        <v>7447324.0039370107</v>
      </c>
      <c r="T52" s="38"/>
      <c r="U52" s="38"/>
      <c r="V52" s="38"/>
      <c r="W52" s="37"/>
      <c r="X52" s="203" t="str">
        <f t="shared" si="0"/>
        <v>LONDRINA [ETAPA 01 - CONDOMINIO ARAÇARI]ATIVO</v>
      </c>
      <c r="Y52" s="203" t="str">
        <f t="shared" si="1"/>
        <v>XXII28JOAQUIM MANOEL DA SILVA</v>
      </c>
      <c r="Z52" s="203" t="str">
        <f t="shared" si="6"/>
        <v>XXII28JOAQUIM MANOEL DA SILVA</v>
      </c>
      <c r="AA52" s="427" t="s">
        <v>506</v>
      </c>
      <c r="AB52" s="427">
        <v>28</v>
      </c>
      <c r="AC52" s="428" t="s">
        <v>263</v>
      </c>
      <c r="AD52" s="505">
        <v>99049.430000000008</v>
      </c>
      <c r="AE52" s="506">
        <v>188684.84</v>
      </c>
      <c r="AF52" s="60" t="str">
        <f t="shared" si="7"/>
        <v>JOAQUIM MANOEL DA SILVA</v>
      </c>
      <c r="AG52" s="60" t="str">
        <f t="shared" si="8"/>
        <v>OK</v>
      </c>
    </row>
    <row r="53" spans="1:33">
      <c r="A53" s="61" t="str">
        <f t="shared" si="2"/>
        <v>LONDRINA [ETAPA 01 - CONDOMINIO ARAÇARI]XXII31</v>
      </c>
      <c r="B53" s="263" t="s">
        <v>34</v>
      </c>
      <c r="C53" s="337" t="s">
        <v>506</v>
      </c>
      <c r="D53" s="166">
        <v>31</v>
      </c>
      <c r="E53" s="197">
        <v>266.81</v>
      </c>
      <c r="F53" s="166">
        <v>4731</v>
      </c>
      <c r="G53" s="338" t="s">
        <v>1255</v>
      </c>
      <c r="H53" s="40">
        <v>44046</v>
      </c>
      <c r="I53" s="35">
        <v>155100</v>
      </c>
      <c r="J53" s="35" t="str">
        <f>IFERROR(VLOOKUP(CONCATENATE(B53,C53,D53,),Inadimplencia!$A$6:$K$110,6,0),"ATIVO")</f>
        <v>ATIVO</v>
      </c>
      <c r="K53" s="35">
        <f t="shared" si="3"/>
        <v>141500</v>
      </c>
      <c r="L53" s="325">
        <f t="shared" si="4"/>
        <v>0.91231463571889104</v>
      </c>
      <c r="M53" s="423" t="str">
        <f t="shared" si="5"/>
        <v>ATIVO0</v>
      </c>
      <c r="N53" s="247" t="s">
        <v>885</v>
      </c>
      <c r="O53" s="249">
        <f>AVERAGEIF($B$5:$B$527,"LONDRINA [ETAPA 04 - CONDOMINIO ARAGUARI]",$E$5:$E$527)</f>
        <v>267.27959183673443</v>
      </c>
      <c r="P53" s="249">
        <f>Q53/(SUMIF($B$5:$B$527,"LONDRINA [ETAPA 04 - CONDOMINIO ARAGUARI]",$E$5:$E$527))</f>
        <v>518.65530515320688</v>
      </c>
      <c r="Q53" s="249">
        <f>SUMIF($B$5:$B$527,"LONDRINA [ETAPA 04 - CONDOMINIO ARAGUARI]",$I$5:$I$527)</f>
        <v>13585345.869999995</v>
      </c>
      <c r="R53" s="249">
        <f>SUMIF($B$5:$B$527,"LONDRINA [ETAPA 04 - CONDOMINIO ARAGUARI]",$E$5:$E$527)</f>
        <v>26193.399999999976</v>
      </c>
      <c r="S53" s="176">
        <f>IF(Vendas!V16&gt;0,Recebíveis!R53*Vendas!V16,Recebíveis!Q53)</f>
        <v>16344621.544874948</v>
      </c>
      <c r="T53" s="38"/>
      <c r="U53" s="38"/>
      <c r="V53" s="38"/>
      <c r="W53" s="37"/>
      <c r="X53" s="203" t="str">
        <f t="shared" si="0"/>
        <v>LONDRINA [ETAPA 01 - CONDOMINIO ARAÇARI]ATIVO</v>
      </c>
      <c r="Y53" s="203" t="str">
        <f t="shared" si="1"/>
        <v>XXII31ELCIO LUIZ DOS SANTOS</v>
      </c>
      <c r="Z53" s="203" t="str">
        <f t="shared" si="6"/>
        <v>XXII31ELCIO LUIZ DOS SANTOS</v>
      </c>
      <c r="AA53" s="427" t="s">
        <v>506</v>
      </c>
      <c r="AB53" s="427">
        <v>31</v>
      </c>
      <c r="AC53" s="428" t="s">
        <v>1255</v>
      </c>
      <c r="AD53" s="505">
        <v>141500</v>
      </c>
      <c r="AE53" s="506">
        <v>155100</v>
      </c>
      <c r="AF53" s="60" t="str">
        <f t="shared" si="7"/>
        <v>ELCIO LUIZ DOS SANTOS</v>
      </c>
      <c r="AG53" s="60" t="str">
        <f t="shared" si="8"/>
        <v>OK</v>
      </c>
    </row>
    <row r="54" spans="1:33">
      <c r="A54" s="61" t="str">
        <f t="shared" si="2"/>
        <v>LONDRINA [ETAPA 01 - CONDOMINIO ARAÇARI]XXII36</v>
      </c>
      <c r="B54" s="263" t="s">
        <v>34</v>
      </c>
      <c r="C54" s="337" t="s">
        <v>506</v>
      </c>
      <c r="D54" s="73">
        <v>36</v>
      </c>
      <c r="E54" s="315">
        <v>266.81</v>
      </c>
      <c r="F54" s="166">
        <v>2696</v>
      </c>
      <c r="G54" s="74" t="s">
        <v>866</v>
      </c>
      <c r="H54" s="40">
        <v>41475</v>
      </c>
      <c r="I54" s="35">
        <v>97812.6</v>
      </c>
      <c r="J54" s="35" t="str">
        <f>IFERROR(VLOOKUP(CONCATENATE(B54,C54,D54,),Inadimplencia!$A$6:$K$110,6,0),"ATIVO")</f>
        <v>ATIVO</v>
      </c>
      <c r="K54" s="35">
        <f t="shared" si="3"/>
        <v>18974.57</v>
      </c>
      <c r="L54" s="325">
        <f t="shared" si="4"/>
        <v>0.19398901573007976</v>
      </c>
      <c r="M54" s="423" t="str">
        <f t="shared" si="5"/>
        <v>ATIVO0</v>
      </c>
      <c r="N54" s="247" t="s">
        <v>889</v>
      </c>
      <c r="O54" s="249">
        <f>AVERAGEIF($B$5:$B$527,"LONDRINA [ETAPA 04 - AREAS EXTERNAS G4 - G8]",$E$5:$E$527)</f>
        <v>275.25815789473677</v>
      </c>
      <c r="P54" s="249">
        <f>Q54/(SUMIF($B$5:$B$527,"LONDRINA [ETAPA 04 - AREAS EXTERNAS G4 - G8]",$E$5:$E$527))</f>
        <v>427.18871662104777</v>
      </c>
      <c r="Q54" s="249">
        <f>SUMIF($B$5:$B$527,"LONDRINA [ETAPA 04 - AREAS EXTERNAS G4 - G8]",$I$5:$I$527)</f>
        <v>4468312.8100000005</v>
      </c>
      <c r="R54" s="249">
        <f>SUMIF($B$5:$B$527,"LONDRINA [ETAPA 04 - AREAS EXTERNAS G4 - G8]",$E$5:$E$527)</f>
        <v>10459.809999999998</v>
      </c>
      <c r="S54" s="176">
        <f>IF(Vendas!V17&gt;0,Recebíveis!R54*Vendas!V17,Recebíveis!Q54)</f>
        <v>5830826.938908224</v>
      </c>
      <c r="T54" s="38"/>
      <c r="U54" s="38"/>
      <c r="V54" s="38"/>
      <c r="W54" s="37"/>
      <c r="X54" s="203" t="str">
        <f t="shared" si="0"/>
        <v>LONDRINA [ETAPA 01 - CONDOMINIO ARAÇARI]ATIVO</v>
      </c>
      <c r="Y54" s="203" t="str">
        <f t="shared" si="1"/>
        <v>XXII36WESLEY DOS SANTOS ANTUNES</v>
      </c>
      <c r="Z54" s="203" t="str">
        <f t="shared" si="6"/>
        <v>XXII36WESLEY DOS SANTOS ANTUNES</v>
      </c>
      <c r="AA54" s="427" t="s">
        <v>506</v>
      </c>
      <c r="AB54" s="427">
        <v>36</v>
      </c>
      <c r="AC54" s="428" t="s">
        <v>866</v>
      </c>
      <c r="AD54" s="505">
        <v>18974.57</v>
      </c>
      <c r="AE54" s="506">
        <v>149222.89000000001</v>
      </c>
      <c r="AF54" s="60" t="str">
        <f t="shared" si="7"/>
        <v>WESLEY DOS SANTOS ANTUNES</v>
      </c>
      <c r="AG54" s="60" t="str">
        <f t="shared" si="8"/>
        <v>OK</v>
      </c>
    </row>
    <row r="55" spans="1:33">
      <c r="A55" s="61" t="str">
        <f t="shared" si="2"/>
        <v>LONDRINA [ETAPA 01 - CONDOMINIO ARAÇARI]XXIII6</v>
      </c>
      <c r="B55" s="263" t="s">
        <v>34</v>
      </c>
      <c r="C55" s="337" t="s">
        <v>507</v>
      </c>
      <c r="D55" s="166">
        <v>6</v>
      </c>
      <c r="E55" s="197">
        <v>263.74</v>
      </c>
      <c r="F55" s="166">
        <v>2435</v>
      </c>
      <c r="G55" s="338" t="s">
        <v>141</v>
      </c>
      <c r="H55" s="40">
        <v>41442</v>
      </c>
      <c r="I55" s="35">
        <v>96687.08</v>
      </c>
      <c r="J55" s="35" t="str">
        <f>IFERROR(VLOOKUP(CONCATENATE(B55,C55,D55,),Inadimplencia!$A$6:$K$110,6,0),"ATIVO")</f>
        <v>INADIMPLENTE</v>
      </c>
      <c r="K55" s="35">
        <f t="shared" si="3"/>
        <v>103654.21</v>
      </c>
      <c r="L55" s="325">
        <f t="shared" si="4"/>
        <v>1.0720585418444739</v>
      </c>
      <c r="M55" s="423" t="str">
        <f t="shared" si="5"/>
        <v>INADIMPLENTE1</v>
      </c>
      <c r="N55" s="245" t="s">
        <v>916</v>
      </c>
      <c r="O55" s="248"/>
      <c r="P55" s="248"/>
      <c r="Q55" s="177">
        <f>SUM(Q47:Q54)</f>
        <v>63505147.589999996</v>
      </c>
      <c r="R55" s="179"/>
      <c r="S55" s="177">
        <f>SUM(S47:S54)</f>
        <v>89512843.855054319</v>
      </c>
      <c r="T55" s="38"/>
      <c r="U55" s="38"/>
      <c r="V55" s="38"/>
      <c r="W55" s="37"/>
      <c r="X55" s="203" t="str">
        <f t="shared" si="0"/>
        <v>LONDRINA [ETAPA 01 - CONDOMINIO ARAÇARI]INADIMPLENTE</v>
      </c>
      <c r="Y55" s="203" t="str">
        <f t="shared" si="1"/>
        <v>XXIII6DENISON HENRIQUE LEANDRO</v>
      </c>
      <c r="Z55" s="203" t="str">
        <f t="shared" si="6"/>
        <v>XXIII6DENISON HENRIQUE LEANDRO</v>
      </c>
      <c r="AA55" s="427" t="s">
        <v>507</v>
      </c>
      <c r="AB55" s="427">
        <v>6</v>
      </c>
      <c r="AC55" s="428" t="s">
        <v>141</v>
      </c>
      <c r="AD55" s="505">
        <v>103654.21</v>
      </c>
      <c r="AE55" s="506">
        <v>188298.54</v>
      </c>
      <c r="AF55" s="60" t="str">
        <f t="shared" si="7"/>
        <v>DENISON HENRIQUE LEANDRO</v>
      </c>
      <c r="AG55" s="60" t="str">
        <f t="shared" si="8"/>
        <v>OK</v>
      </c>
    </row>
    <row r="56" spans="1:33">
      <c r="A56" s="61" t="str">
        <f t="shared" si="2"/>
        <v>LONDRINA [ETAPA 01 - CONDOMINIO ARAÇARI]XXIII9</v>
      </c>
      <c r="B56" s="263" t="s">
        <v>34</v>
      </c>
      <c r="C56" s="337" t="s">
        <v>507</v>
      </c>
      <c r="D56" s="73">
        <v>9</v>
      </c>
      <c r="E56" s="315">
        <v>263.74</v>
      </c>
      <c r="F56" s="166">
        <v>2507</v>
      </c>
      <c r="G56" s="74" t="s">
        <v>424</v>
      </c>
      <c r="H56" s="40">
        <v>41446</v>
      </c>
      <c r="I56" s="35">
        <v>96687.08</v>
      </c>
      <c r="J56" s="35" t="str">
        <f>IFERROR(VLOOKUP(CONCATENATE(B56,C56,D56,),Inadimplencia!$A$6:$K$110,6,0),"ATIVO")</f>
        <v>ATIVO</v>
      </c>
      <c r="K56" s="35">
        <f t="shared" si="3"/>
        <v>97883.32</v>
      </c>
      <c r="L56" s="325">
        <f t="shared" si="4"/>
        <v>1.012372283866676</v>
      </c>
      <c r="M56" s="423" t="str">
        <f t="shared" si="5"/>
        <v>ATIVO1</v>
      </c>
      <c r="T56" s="38"/>
      <c r="U56" s="38"/>
      <c r="V56" s="38"/>
      <c r="W56" s="37"/>
      <c r="X56" s="203" t="str">
        <f t="shared" si="0"/>
        <v>LONDRINA [ETAPA 01 - CONDOMINIO ARAÇARI]ATIVO</v>
      </c>
      <c r="Y56" s="203" t="str">
        <f t="shared" si="1"/>
        <v>XXIII9ROGERIO SANCHES FRANCO</v>
      </c>
      <c r="Z56" s="203" t="str">
        <f t="shared" si="6"/>
        <v>XXIII9ROGERIO SANCHES FRANCO</v>
      </c>
      <c r="AA56" s="427" t="s">
        <v>507</v>
      </c>
      <c r="AB56" s="427">
        <v>9</v>
      </c>
      <c r="AC56" s="428" t="s">
        <v>424</v>
      </c>
      <c r="AD56" s="505">
        <v>97883.32</v>
      </c>
      <c r="AE56" s="506">
        <v>189194.48</v>
      </c>
      <c r="AF56" s="60" t="str">
        <f t="shared" si="7"/>
        <v>ROGERIO SANCHES FRANCO</v>
      </c>
      <c r="AG56" s="60" t="str">
        <f t="shared" si="8"/>
        <v>OK</v>
      </c>
    </row>
    <row r="57" spans="1:33">
      <c r="A57" s="61" t="str">
        <f t="shared" si="2"/>
        <v>LONDRINA [ETAPA 01 - CONDOMINIO ARAÇARI]XXIII10</v>
      </c>
      <c r="B57" s="263" t="s">
        <v>34</v>
      </c>
      <c r="C57" s="337" t="s">
        <v>507</v>
      </c>
      <c r="D57" s="166">
        <v>10</v>
      </c>
      <c r="E57" s="197">
        <v>263.74</v>
      </c>
      <c r="F57" s="166">
        <v>2508</v>
      </c>
      <c r="G57" s="338" t="s">
        <v>424</v>
      </c>
      <c r="H57" s="40">
        <v>41446</v>
      </c>
      <c r="I57" s="35">
        <v>96687.08</v>
      </c>
      <c r="J57" s="35" t="str">
        <f>IFERROR(VLOOKUP(CONCATENATE(B57,C57,D57,),Inadimplencia!$A$6:$K$110,6,0),"ATIVO")</f>
        <v>ATIVO</v>
      </c>
      <c r="K57" s="35">
        <f t="shared" si="3"/>
        <v>97883.32</v>
      </c>
      <c r="L57" s="325">
        <f t="shared" si="4"/>
        <v>1.012372283866676</v>
      </c>
      <c r="M57" s="423" t="str">
        <f t="shared" si="5"/>
        <v>ATIVO1</v>
      </c>
      <c r="T57" s="38"/>
      <c r="U57" s="38"/>
      <c r="V57" s="38"/>
      <c r="W57" s="37"/>
      <c r="X57" s="203" t="str">
        <f t="shared" si="0"/>
        <v>LONDRINA [ETAPA 01 - CONDOMINIO ARAÇARI]ATIVO</v>
      </c>
      <c r="Y57" s="203" t="str">
        <f t="shared" si="1"/>
        <v>XXIII10ROGERIO SANCHES FRANCO</v>
      </c>
      <c r="Z57" s="203" t="str">
        <f t="shared" si="6"/>
        <v>XXIII10ROGERIO SANCHES FRANCO</v>
      </c>
      <c r="AA57" s="427" t="s">
        <v>507</v>
      </c>
      <c r="AB57" s="427">
        <v>10</v>
      </c>
      <c r="AC57" s="428" t="s">
        <v>424</v>
      </c>
      <c r="AD57" s="505">
        <v>97883.32</v>
      </c>
      <c r="AE57" s="506">
        <v>189227.15</v>
      </c>
      <c r="AF57" s="60" t="str">
        <f t="shared" si="7"/>
        <v>ROGERIO SANCHES FRANCO</v>
      </c>
      <c r="AG57" s="60" t="str">
        <f t="shared" si="8"/>
        <v>OK</v>
      </c>
    </row>
    <row r="58" spans="1:33">
      <c r="A58" s="61" t="str">
        <f t="shared" si="2"/>
        <v>LONDRINA [ETAPA 01 - CONDOMINIO ARAÇARI]XXIII11</v>
      </c>
      <c r="B58" s="263" t="s">
        <v>34</v>
      </c>
      <c r="C58" s="337" t="s">
        <v>507</v>
      </c>
      <c r="D58" s="73">
        <v>11</v>
      </c>
      <c r="E58" s="315">
        <v>263.74</v>
      </c>
      <c r="F58" s="166">
        <v>2537</v>
      </c>
      <c r="G58" s="74" t="s">
        <v>324</v>
      </c>
      <c r="H58" s="40">
        <v>41446</v>
      </c>
      <c r="I58" s="35">
        <v>96687.16</v>
      </c>
      <c r="J58" s="35" t="str">
        <f>IFERROR(VLOOKUP(CONCATENATE(B58,C58,D58,),Inadimplencia!$A$6:$K$110,6,0),"ATIVO")</f>
        <v>INADIMPLENTE</v>
      </c>
      <c r="K58" s="35">
        <f t="shared" si="3"/>
        <v>67519.87</v>
      </c>
      <c r="L58" s="325">
        <f t="shared" si="4"/>
        <v>0.69833336711927407</v>
      </c>
      <c r="M58" s="423" t="str">
        <f t="shared" si="5"/>
        <v>INADIMPLENTE0</v>
      </c>
      <c r="T58" s="38"/>
      <c r="U58" s="38"/>
      <c r="V58" s="38"/>
      <c r="W58" s="37"/>
      <c r="X58" s="203" t="str">
        <f t="shared" si="0"/>
        <v>LONDRINA [ETAPA 01 - CONDOMINIO ARAÇARI]INADIMPLENTE</v>
      </c>
      <c r="Y58" s="203" t="str">
        <f t="shared" si="1"/>
        <v>XXIII11MARA SILVIA SPURIO</v>
      </c>
      <c r="Z58" s="203" t="str">
        <f t="shared" si="6"/>
        <v>XXIII11MARA SILVIA SPURIO</v>
      </c>
      <c r="AA58" s="427" t="s">
        <v>507</v>
      </c>
      <c r="AB58" s="427">
        <v>11</v>
      </c>
      <c r="AC58" s="428" t="s">
        <v>324</v>
      </c>
      <c r="AD58" s="505">
        <v>67519.87</v>
      </c>
      <c r="AE58" s="506">
        <v>156032.26</v>
      </c>
      <c r="AF58" s="60" t="str">
        <f t="shared" si="7"/>
        <v>MARA SILVIA SPURIO</v>
      </c>
      <c r="AG58" s="60" t="str">
        <f t="shared" si="8"/>
        <v>OK</v>
      </c>
    </row>
    <row r="59" spans="1:33">
      <c r="A59" s="61" t="str">
        <f t="shared" si="2"/>
        <v>LONDRINA [ETAPA 01 - CONDOMINIO ARAÇARI]XXIII12</v>
      </c>
      <c r="B59" s="263" t="s">
        <v>34</v>
      </c>
      <c r="C59" s="337" t="s">
        <v>507</v>
      </c>
      <c r="D59" s="166">
        <v>12</v>
      </c>
      <c r="E59" s="197">
        <v>263.74</v>
      </c>
      <c r="F59" s="166">
        <v>2538</v>
      </c>
      <c r="G59" s="338" t="s">
        <v>373</v>
      </c>
      <c r="H59" s="40">
        <v>41453</v>
      </c>
      <c r="I59" s="35">
        <v>96687.08</v>
      </c>
      <c r="J59" s="35" t="str">
        <f>IFERROR(VLOOKUP(CONCATENATE(B59,C59,D59,),Inadimplencia!$A$6:$K$110,6,0),"ATIVO")</f>
        <v>INADIMPLENTE</v>
      </c>
      <c r="K59" s="35">
        <f t="shared" si="3"/>
        <v>64454.71</v>
      </c>
      <c r="L59" s="325">
        <f t="shared" si="4"/>
        <v>0.66663208776188088</v>
      </c>
      <c r="M59" s="423" t="str">
        <f t="shared" si="5"/>
        <v>INADIMPLENTE0</v>
      </c>
      <c r="T59" s="38"/>
      <c r="U59" s="38"/>
      <c r="V59" s="38"/>
      <c r="W59" s="37"/>
      <c r="X59" s="203" t="str">
        <f t="shared" si="0"/>
        <v>LONDRINA [ETAPA 01 - CONDOMINIO ARAÇARI]INADIMPLENTE</v>
      </c>
      <c r="Y59" s="203" t="str">
        <f t="shared" si="1"/>
        <v>XXIII12MIRIAN APARECIDA GONCALVES DIAS</v>
      </c>
      <c r="Z59" s="203" t="str">
        <f t="shared" si="6"/>
        <v>XXIII12MIRIAN APARECIDA GONCALVES DIAS</v>
      </c>
      <c r="AA59" s="427" t="s">
        <v>507</v>
      </c>
      <c r="AB59" s="427">
        <v>12</v>
      </c>
      <c r="AC59" s="428" t="s">
        <v>373</v>
      </c>
      <c r="AD59" s="505">
        <v>64454.71</v>
      </c>
      <c r="AE59" s="506">
        <v>158642.31</v>
      </c>
      <c r="AF59" s="60" t="str">
        <f t="shared" si="7"/>
        <v>MIRIAN APARECIDA GONCALVES DIAS</v>
      </c>
      <c r="AG59" s="60" t="str">
        <f t="shared" si="8"/>
        <v>OK</v>
      </c>
    </row>
    <row r="60" spans="1:33">
      <c r="A60" s="61" t="str">
        <f t="shared" si="2"/>
        <v>LONDRINA [ETAPA 01 - CONDOMINIO ARAÇARI]XXIII18</v>
      </c>
      <c r="B60" s="263" t="s">
        <v>34</v>
      </c>
      <c r="C60" s="337" t="s">
        <v>507</v>
      </c>
      <c r="D60" s="73">
        <v>18</v>
      </c>
      <c r="E60" s="315">
        <v>327.11</v>
      </c>
      <c r="F60" s="166">
        <v>2464</v>
      </c>
      <c r="G60" s="74" t="s">
        <v>130</v>
      </c>
      <c r="H60" s="40">
        <v>41446</v>
      </c>
      <c r="I60" s="35">
        <v>116843.69</v>
      </c>
      <c r="J60" s="35" t="str">
        <f>IFERROR(VLOOKUP(CONCATENATE(B60,C60,D60,),Inadimplencia!$A$6:$K$110,6,0),"ATIVO")</f>
        <v>ATIVO</v>
      </c>
      <c r="K60" s="35">
        <f t="shared" si="3"/>
        <v>118780.02</v>
      </c>
      <c r="L60" s="325">
        <f t="shared" si="4"/>
        <v>1.0165719689270341</v>
      </c>
      <c r="M60" s="423" t="str">
        <f t="shared" si="5"/>
        <v>ATIVO1</v>
      </c>
      <c r="T60" s="38"/>
      <c r="U60" s="38"/>
      <c r="V60" s="38"/>
      <c r="W60" s="37"/>
      <c r="X60" s="203" t="str">
        <f t="shared" si="0"/>
        <v>LONDRINA [ETAPA 01 - CONDOMINIO ARAÇARI]ATIVO</v>
      </c>
      <c r="Y60" s="203" t="str">
        <f t="shared" si="1"/>
        <v>XXIII18DARCI FIN</v>
      </c>
      <c r="Z60" s="203" t="str">
        <f t="shared" si="6"/>
        <v>XXIII18DARCI FIN</v>
      </c>
      <c r="AA60" s="427" t="s">
        <v>507</v>
      </c>
      <c r="AB60" s="427">
        <v>18</v>
      </c>
      <c r="AC60" s="428" t="s">
        <v>130</v>
      </c>
      <c r="AD60" s="505">
        <v>118780.02</v>
      </c>
      <c r="AE60" s="506">
        <v>228521.35</v>
      </c>
      <c r="AF60" s="60" t="str">
        <f t="shared" si="7"/>
        <v>DARCI FIN</v>
      </c>
      <c r="AG60" s="60" t="str">
        <f t="shared" si="8"/>
        <v>OK</v>
      </c>
    </row>
    <row r="61" spans="1:33">
      <c r="A61" s="61" t="str">
        <f t="shared" si="2"/>
        <v>LONDRINA [ETAPA 01 - CONDOMINIO ARAÇARI]XXIII19</v>
      </c>
      <c r="B61" s="263" t="s">
        <v>34</v>
      </c>
      <c r="C61" s="337" t="s">
        <v>507</v>
      </c>
      <c r="D61" s="166">
        <v>19</v>
      </c>
      <c r="E61" s="197">
        <v>268.58</v>
      </c>
      <c r="F61" s="166">
        <v>4672</v>
      </c>
      <c r="G61" s="338" t="s">
        <v>1256</v>
      </c>
      <c r="H61" s="40">
        <v>44054</v>
      </c>
      <c r="I61" s="35">
        <v>155100.6</v>
      </c>
      <c r="J61" s="35" t="str">
        <f>IFERROR(VLOOKUP(CONCATENATE(B61,C61,D61,),Inadimplencia!$A$6:$K$110,6,0),"ATIVO")</f>
        <v>ATIVO</v>
      </c>
      <c r="K61" s="35">
        <f t="shared" si="3"/>
        <v>149347.09</v>
      </c>
      <c r="L61" s="325">
        <f t="shared" si="4"/>
        <v>0.96290465671957426</v>
      </c>
      <c r="M61" s="423" t="str">
        <f t="shared" si="5"/>
        <v>ATIVO0</v>
      </c>
      <c r="T61" s="38"/>
      <c r="U61" s="38"/>
      <c r="V61" s="38"/>
      <c r="W61" s="37"/>
      <c r="X61" s="203" t="str">
        <f t="shared" si="0"/>
        <v>LONDRINA [ETAPA 01 - CONDOMINIO ARAÇARI]ATIVO</v>
      </c>
      <c r="Y61" s="203" t="str">
        <f t="shared" si="1"/>
        <v>XXIII19EVERTON JULIANO D'ADA</v>
      </c>
      <c r="Z61" s="203" t="str">
        <f t="shared" si="6"/>
        <v>XXIII19EVERTON JULIANO D'ADA</v>
      </c>
      <c r="AA61" s="427" t="s">
        <v>507</v>
      </c>
      <c r="AB61" s="427">
        <v>19</v>
      </c>
      <c r="AC61" s="428" t="s">
        <v>1256</v>
      </c>
      <c r="AD61" s="505">
        <v>149347.09</v>
      </c>
      <c r="AE61" s="506">
        <v>172655.69</v>
      </c>
      <c r="AF61" s="60" t="str">
        <f t="shared" si="7"/>
        <v>EVERTON JULIANO D'ADA</v>
      </c>
      <c r="AG61" s="60" t="str">
        <f t="shared" si="8"/>
        <v>OK</v>
      </c>
    </row>
    <row r="62" spans="1:33">
      <c r="A62" s="61" t="str">
        <f t="shared" si="2"/>
        <v>LONDRINA [ETAPA 01 - CONDOMINIO ARAÇARI]XXIII20</v>
      </c>
      <c r="B62" s="263" t="s">
        <v>34</v>
      </c>
      <c r="C62" s="337" t="s">
        <v>507</v>
      </c>
      <c r="D62" s="73">
        <v>20</v>
      </c>
      <c r="E62" s="315">
        <v>268.58</v>
      </c>
      <c r="F62" s="166">
        <v>4668</v>
      </c>
      <c r="G62" s="74" t="s">
        <v>1257</v>
      </c>
      <c r="H62" s="40">
        <v>44050</v>
      </c>
      <c r="I62" s="35">
        <v>164860.60999999999</v>
      </c>
      <c r="J62" s="35" t="str">
        <f>IFERROR(VLOOKUP(CONCATENATE(B62,C62,D62,),Inadimplencia!$A$6:$K$110,6,0),"ATIVO")</f>
        <v>ATIVO</v>
      </c>
      <c r="K62" s="35">
        <f t="shared" si="3"/>
        <v>167499.15</v>
      </c>
      <c r="L62" s="325">
        <f t="shared" si="4"/>
        <v>1.0160046720681186</v>
      </c>
      <c r="M62" s="423" t="str">
        <f t="shared" si="5"/>
        <v>ATIVO1</v>
      </c>
      <c r="T62" s="38"/>
      <c r="U62" s="38"/>
      <c r="V62" s="38"/>
      <c r="W62" s="37"/>
      <c r="X62" s="203" t="str">
        <f t="shared" si="0"/>
        <v>LONDRINA [ETAPA 01 - CONDOMINIO ARAÇARI]ATIVO</v>
      </c>
      <c r="Y62" s="203" t="str">
        <f t="shared" si="1"/>
        <v>XXIII20MARISTELA ROMAGNOLE DE ARAUJO JURKEVICZ</v>
      </c>
      <c r="Z62" s="203" t="str">
        <f t="shared" si="6"/>
        <v>XXIII20MARISTELA ROMAGNOLE DE ARAUJO JURKEVICZ</v>
      </c>
      <c r="AA62" s="427" t="s">
        <v>507</v>
      </c>
      <c r="AB62" s="427">
        <v>20</v>
      </c>
      <c r="AC62" s="428" t="s">
        <v>1257</v>
      </c>
      <c r="AD62" s="505">
        <v>167499.15</v>
      </c>
      <c r="AE62" s="506">
        <v>184665.38</v>
      </c>
      <c r="AF62" s="60" t="str">
        <f t="shared" si="7"/>
        <v>MARISTELA ROMAGNOLE DE ARAUJO JURKEVICZ</v>
      </c>
      <c r="AG62" s="60" t="str">
        <f t="shared" si="8"/>
        <v>OK</v>
      </c>
    </row>
    <row r="63" spans="1:33">
      <c r="A63" s="61" t="str">
        <f t="shared" si="2"/>
        <v>LONDRINA [ETAPA 01 - CONDOMINIO ARAÇARI]XXIII21</v>
      </c>
      <c r="B63" s="263" t="s">
        <v>34</v>
      </c>
      <c r="C63" s="337" t="s">
        <v>507</v>
      </c>
      <c r="D63" s="166">
        <v>21</v>
      </c>
      <c r="E63" s="197">
        <v>268.58</v>
      </c>
      <c r="F63" s="166">
        <v>3780</v>
      </c>
      <c r="G63" s="338" t="s">
        <v>99</v>
      </c>
      <c r="H63" s="40">
        <v>41795</v>
      </c>
      <c r="I63" s="35">
        <v>108570.31</v>
      </c>
      <c r="J63" s="35" t="str">
        <f>IFERROR(VLOOKUP(CONCATENATE(B63,C63,D63,),Inadimplencia!$A$6:$K$110,6,0),"ATIVO")</f>
        <v>ATIVO</v>
      </c>
      <c r="K63" s="35">
        <f t="shared" si="3"/>
        <v>112200.08</v>
      </c>
      <c r="L63" s="325">
        <f t="shared" si="4"/>
        <v>1.0334324365473397</v>
      </c>
      <c r="M63" s="423" t="str">
        <f t="shared" si="5"/>
        <v>ATIVO1</v>
      </c>
      <c r="T63" s="38"/>
      <c r="U63" s="38"/>
      <c r="V63" s="38"/>
      <c r="W63" s="37"/>
      <c r="X63" s="203" t="str">
        <f t="shared" si="0"/>
        <v>LONDRINA [ETAPA 01 - CONDOMINIO ARAÇARI]ATIVO</v>
      </c>
      <c r="Y63" s="203" t="str">
        <f t="shared" si="1"/>
        <v>XXIII21CARLOS KUNIO NAKANO</v>
      </c>
      <c r="Z63" s="203" t="str">
        <f t="shared" si="6"/>
        <v>XXIII21CARLOS KUNIO NAKANO</v>
      </c>
      <c r="AA63" s="427" t="s">
        <v>507</v>
      </c>
      <c r="AB63" s="427">
        <v>21</v>
      </c>
      <c r="AC63" s="428" t="s">
        <v>99</v>
      </c>
      <c r="AD63" s="505">
        <v>112200.08</v>
      </c>
      <c r="AE63" s="506">
        <v>192688.42</v>
      </c>
      <c r="AF63" s="60" t="str">
        <f t="shared" si="7"/>
        <v>CARLOS KUNIO NAKANO</v>
      </c>
      <c r="AG63" s="60" t="str">
        <f t="shared" si="8"/>
        <v>OK</v>
      </c>
    </row>
    <row r="64" spans="1:33">
      <c r="A64" s="61" t="str">
        <f t="shared" si="2"/>
        <v>LONDRINA [ETAPA 01 - CONDOMINIO ARAÇARI]XXIII23</v>
      </c>
      <c r="B64" s="263" t="s">
        <v>34</v>
      </c>
      <c r="C64" s="337" t="s">
        <v>507</v>
      </c>
      <c r="D64" s="73">
        <v>23</v>
      </c>
      <c r="E64" s="315">
        <v>268.58</v>
      </c>
      <c r="F64" s="166">
        <v>2611</v>
      </c>
      <c r="G64" s="74" t="s">
        <v>344</v>
      </c>
      <c r="H64" s="40">
        <v>41438</v>
      </c>
      <c r="I64" s="35">
        <v>98461.43</v>
      </c>
      <c r="J64" s="35" t="str">
        <f>IFERROR(VLOOKUP(CONCATENATE(B64,C64,D64,),Inadimplencia!$A$6:$K$110,6,0),"ATIVO")</f>
        <v>INADIMPLENTE</v>
      </c>
      <c r="K64" s="35">
        <f t="shared" si="3"/>
        <v>104107.92</v>
      </c>
      <c r="L64" s="325">
        <f t="shared" si="4"/>
        <v>1.0573472272340552</v>
      </c>
      <c r="M64" s="423" t="str">
        <f t="shared" si="5"/>
        <v>INADIMPLENTE1</v>
      </c>
      <c r="T64" s="38"/>
      <c r="U64" s="38"/>
      <c r="V64" s="38"/>
      <c r="W64" s="37"/>
      <c r="X64" s="203" t="str">
        <f t="shared" si="0"/>
        <v>LONDRINA [ETAPA 01 - CONDOMINIO ARAÇARI]INADIMPLENTE</v>
      </c>
      <c r="Y64" s="203" t="str">
        <f t="shared" si="1"/>
        <v>XXIII23MARCOS GUIRALDELLI JUNIOR</v>
      </c>
      <c r="Z64" s="203" t="str">
        <f t="shared" si="6"/>
        <v>XXIII23MARCOS GUIRALDELLI JUNIOR</v>
      </c>
      <c r="AA64" s="427" t="s">
        <v>507</v>
      </c>
      <c r="AB64" s="427">
        <v>23</v>
      </c>
      <c r="AC64" s="428" t="s">
        <v>344</v>
      </c>
      <c r="AD64" s="505">
        <v>104107.92</v>
      </c>
      <c r="AE64" s="506">
        <v>239443.08000000002</v>
      </c>
      <c r="AF64" s="60" t="str">
        <f t="shared" si="7"/>
        <v>MARCOS GUIRALDELLI JUNIOR</v>
      </c>
      <c r="AG64" s="60" t="str">
        <f t="shared" si="8"/>
        <v>OK</v>
      </c>
    </row>
    <row r="65" spans="1:33">
      <c r="A65" s="61" t="str">
        <f t="shared" si="2"/>
        <v>LONDRINA [ETAPA 01 - CONDOMINIO ARAÇARI]XXIII26</v>
      </c>
      <c r="B65" s="263" t="s">
        <v>34</v>
      </c>
      <c r="C65" s="337" t="s">
        <v>507</v>
      </c>
      <c r="D65" s="166">
        <v>26</v>
      </c>
      <c r="E65" s="197">
        <v>268.58</v>
      </c>
      <c r="F65" s="166">
        <v>2763</v>
      </c>
      <c r="G65" s="338" t="s">
        <v>416</v>
      </c>
      <c r="H65" s="40">
        <v>41501</v>
      </c>
      <c r="I65" s="35">
        <v>103258.27</v>
      </c>
      <c r="J65" s="35" t="str">
        <f>IFERROR(VLOOKUP(CONCATENATE(B65,C65,D65,),Inadimplencia!$A$6:$K$110,6,0),"ATIVO")</f>
        <v>ATIVO</v>
      </c>
      <c r="K65" s="35">
        <f t="shared" si="3"/>
        <v>89192.74</v>
      </c>
      <c r="L65" s="325">
        <f t="shared" si="4"/>
        <v>0.86378301708909133</v>
      </c>
      <c r="M65" s="423" t="str">
        <f t="shared" si="5"/>
        <v>ATIVO0</v>
      </c>
      <c r="T65" s="38"/>
      <c r="U65" s="38"/>
      <c r="V65" s="38"/>
      <c r="W65" s="37"/>
      <c r="X65" s="203" t="str">
        <f t="shared" si="0"/>
        <v>LONDRINA [ETAPA 01 - CONDOMINIO ARAÇARI]ATIVO</v>
      </c>
      <c r="Y65" s="203" t="str">
        <f t="shared" si="1"/>
        <v>XXIII26ROBERTO MARTINS</v>
      </c>
      <c r="Z65" s="203" t="str">
        <f t="shared" si="6"/>
        <v>XXIII26ROBERTO MARTINS</v>
      </c>
      <c r="AA65" s="427" t="s">
        <v>507</v>
      </c>
      <c r="AB65" s="427">
        <v>26</v>
      </c>
      <c r="AC65" s="428" t="s">
        <v>416</v>
      </c>
      <c r="AD65" s="505">
        <v>89192.74</v>
      </c>
      <c r="AE65" s="506">
        <v>185791.65</v>
      </c>
      <c r="AF65" s="60" t="str">
        <f t="shared" si="7"/>
        <v>ROBERTO MARTINS</v>
      </c>
      <c r="AG65" s="60" t="str">
        <f t="shared" si="8"/>
        <v>OK</v>
      </c>
    </row>
    <row r="66" spans="1:33">
      <c r="A66" s="61" t="str">
        <f t="shared" si="2"/>
        <v>LONDRINA [ETAPA 01 - CONDOMINIO ARAÇARI]XXIII27</v>
      </c>
      <c r="B66" s="263" t="s">
        <v>34</v>
      </c>
      <c r="C66" s="337" t="s">
        <v>507</v>
      </c>
      <c r="D66" s="73">
        <v>27</v>
      </c>
      <c r="E66" s="315">
        <v>268.58</v>
      </c>
      <c r="F66" s="166">
        <v>2362</v>
      </c>
      <c r="G66" s="74" t="s">
        <v>357</v>
      </c>
      <c r="H66" s="40">
        <v>41445</v>
      </c>
      <c r="I66" s="35">
        <v>98461.43</v>
      </c>
      <c r="J66" s="35" t="str">
        <f>IFERROR(VLOOKUP(CONCATENATE(B66,C66,D66,),Inadimplencia!$A$6:$K$110,6,0),"ATIVO")</f>
        <v>ATIVO</v>
      </c>
      <c r="K66" s="35">
        <f t="shared" si="3"/>
        <v>87825.61</v>
      </c>
      <c r="L66" s="325">
        <f t="shared" si="4"/>
        <v>0.89197983413403614</v>
      </c>
      <c r="M66" s="423" t="str">
        <f t="shared" si="5"/>
        <v>ATIVO0</v>
      </c>
      <c r="T66" s="38"/>
      <c r="U66" s="38"/>
      <c r="V66" s="38"/>
      <c r="W66" s="37"/>
      <c r="X66" s="203" t="str">
        <f t="shared" si="0"/>
        <v>LONDRINA [ETAPA 01 - CONDOMINIO ARAÇARI]ATIVO</v>
      </c>
      <c r="Y66" s="203" t="str">
        <f t="shared" si="1"/>
        <v>XXIII27MARINA APARECIDA BERNINI</v>
      </c>
      <c r="Z66" s="203" t="str">
        <f t="shared" si="6"/>
        <v>XXIII27MARINA APARECIDA BERNINI</v>
      </c>
      <c r="AA66" s="427" t="s">
        <v>507</v>
      </c>
      <c r="AB66" s="427">
        <v>27</v>
      </c>
      <c r="AC66" s="428" t="s">
        <v>357</v>
      </c>
      <c r="AD66" s="505">
        <v>87825.61</v>
      </c>
      <c r="AE66" s="506">
        <v>178642.89</v>
      </c>
      <c r="AF66" s="60" t="str">
        <f t="shared" si="7"/>
        <v>MARINA APARECIDA BERNINI</v>
      </c>
      <c r="AG66" s="60" t="str">
        <f t="shared" si="8"/>
        <v>OK</v>
      </c>
    </row>
    <row r="67" spans="1:33">
      <c r="A67" s="61" t="str">
        <f t="shared" si="2"/>
        <v>LONDRINA [ETAPA 01 - CONDOMINIO ARAÇARI]XXIII29</v>
      </c>
      <c r="B67" s="263" t="s">
        <v>34</v>
      </c>
      <c r="C67" s="337" t="s">
        <v>507</v>
      </c>
      <c r="D67" s="166">
        <v>29</v>
      </c>
      <c r="E67" s="197">
        <v>268.58</v>
      </c>
      <c r="F67" s="166">
        <v>2356</v>
      </c>
      <c r="G67" s="338" t="s">
        <v>788</v>
      </c>
      <c r="H67" s="40">
        <v>41444</v>
      </c>
      <c r="I67" s="35">
        <v>98461.62</v>
      </c>
      <c r="J67" s="35" t="str">
        <f>IFERROR(VLOOKUP(CONCATENATE(B67,C67,D67,),Inadimplencia!$A$6:$K$110,6,0),"ATIVO")</f>
        <v>ATIVO</v>
      </c>
      <c r="K67" s="35">
        <f t="shared" si="3"/>
        <v>85935.56</v>
      </c>
      <c r="L67" s="325">
        <f t="shared" si="4"/>
        <v>0.87278230847715077</v>
      </c>
      <c r="M67" s="423" t="str">
        <f t="shared" si="5"/>
        <v>ATIVO0</v>
      </c>
      <c r="T67" s="38"/>
      <c r="U67" s="38"/>
      <c r="V67" s="38"/>
      <c r="W67" s="37"/>
      <c r="X67" s="203" t="str">
        <f t="shared" si="0"/>
        <v>LONDRINA [ETAPA 01 - CONDOMINIO ARAÇARI]ATIVO</v>
      </c>
      <c r="Y67" s="203" t="str">
        <f t="shared" si="1"/>
        <v>XXIII29VINICIUS MENDONCA DE OLIVEIRA</v>
      </c>
      <c r="Z67" s="203" t="str">
        <f t="shared" si="6"/>
        <v>XXIII29VINICIUS MENDONCA DE OLIVEIRA</v>
      </c>
      <c r="AA67" s="427" t="s">
        <v>507</v>
      </c>
      <c r="AB67" s="427">
        <v>29</v>
      </c>
      <c r="AC67" s="428" t="s">
        <v>788</v>
      </c>
      <c r="AD67" s="505">
        <v>85935.56</v>
      </c>
      <c r="AE67" s="506">
        <v>196537.32</v>
      </c>
      <c r="AF67" s="60" t="str">
        <f t="shared" si="7"/>
        <v>VINICIUS MENDONCA DE OLIVEIRA</v>
      </c>
      <c r="AG67" s="60" t="str">
        <f t="shared" si="8"/>
        <v>OK</v>
      </c>
    </row>
    <row r="68" spans="1:33">
      <c r="A68" s="61" t="str">
        <f t="shared" si="2"/>
        <v>LONDRINA [ETAPA 01 - CONDOMINIO ARAÇARI]XXIII30</v>
      </c>
      <c r="B68" s="263" t="s">
        <v>34</v>
      </c>
      <c r="C68" s="337" t="s">
        <v>507</v>
      </c>
      <c r="D68" s="73">
        <v>30</v>
      </c>
      <c r="E68" s="315">
        <v>268.58</v>
      </c>
      <c r="F68" s="166">
        <v>6481</v>
      </c>
      <c r="G68" s="74" t="s">
        <v>639</v>
      </c>
      <c r="H68" s="40">
        <v>43272</v>
      </c>
      <c r="I68" s="35">
        <v>162897.51</v>
      </c>
      <c r="J68" s="35" t="str">
        <f>IFERROR(VLOOKUP(CONCATENATE(B68,C68,D68,),Inadimplencia!$A$6:$K$110,6,0),"ATIVO")</f>
        <v>ATIVO</v>
      </c>
      <c r="K68" s="35">
        <f t="shared" si="3"/>
        <v>155185.29</v>
      </c>
      <c r="L68" s="325">
        <f t="shared" si="4"/>
        <v>0.95265599824085712</v>
      </c>
      <c r="M68" s="423" t="str">
        <f t="shared" si="5"/>
        <v>ATIVO0</v>
      </c>
      <c r="T68" s="38"/>
      <c r="U68" s="38"/>
      <c r="V68" s="38"/>
      <c r="W68" s="37"/>
      <c r="X68" s="203" t="str">
        <f t="shared" si="0"/>
        <v>LONDRINA [ETAPA 01 - CONDOMINIO ARAÇARI]ATIVO</v>
      </c>
      <c r="Y68" s="203" t="str">
        <f t="shared" si="1"/>
        <v>XXIII30EDUARDO FAGANELLO HELBEL</v>
      </c>
      <c r="Z68" s="203" t="str">
        <f t="shared" si="6"/>
        <v>XXIII30EDUARDO FAGANELLO HELBEL</v>
      </c>
      <c r="AA68" s="427" t="s">
        <v>507</v>
      </c>
      <c r="AB68" s="427">
        <v>30</v>
      </c>
      <c r="AC68" s="428" t="s">
        <v>639</v>
      </c>
      <c r="AD68" s="505">
        <v>155185.29</v>
      </c>
      <c r="AE68" s="506">
        <v>231523.01</v>
      </c>
      <c r="AF68" s="60" t="str">
        <f t="shared" si="7"/>
        <v>EDUARDO FAGANELLO HELBEL</v>
      </c>
      <c r="AG68" s="60" t="str">
        <f t="shared" si="8"/>
        <v>OK</v>
      </c>
    </row>
    <row r="69" spans="1:33">
      <c r="A69" s="61" t="str">
        <f t="shared" si="2"/>
        <v>LONDRINA [ETAPA 01 - CONDOMINIO ARAÇARI]XXIII31</v>
      </c>
      <c r="B69" s="263" t="s">
        <v>34</v>
      </c>
      <c r="C69" s="337" t="s">
        <v>507</v>
      </c>
      <c r="D69" s="166">
        <v>31</v>
      </c>
      <c r="E69" s="197">
        <v>268.58</v>
      </c>
      <c r="F69" s="166">
        <v>2674</v>
      </c>
      <c r="G69" s="338" t="s">
        <v>857</v>
      </c>
      <c r="H69" s="40">
        <v>43419</v>
      </c>
      <c r="I69" s="35">
        <v>162896.34</v>
      </c>
      <c r="J69" s="35" t="str">
        <f>IFERROR(VLOOKUP(CONCATENATE(B69,C69,D69,),Inadimplencia!$A$6:$K$110,6,0),"ATIVO")</f>
        <v>ATIVO</v>
      </c>
      <c r="K69" s="35">
        <f t="shared" si="3"/>
        <v>155587.25</v>
      </c>
      <c r="L69" s="325">
        <f t="shared" si="4"/>
        <v>0.95513042220592559</v>
      </c>
      <c r="M69" s="423" t="str">
        <f t="shared" si="5"/>
        <v>ATIVO0</v>
      </c>
      <c r="T69" s="38"/>
      <c r="U69" s="38"/>
      <c r="V69" s="38"/>
      <c r="W69" s="37"/>
      <c r="X69" s="203" t="str">
        <f t="shared" ref="X69:X132" si="16">CONCATENATE(B69,J69)</f>
        <v>LONDRINA [ETAPA 01 - CONDOMINIO ARAÇARI]ATIVO</v>
      </c>
      <c r="Y69" s="203" t="str">
        <f t="shared" ref="Y69:Y132" si="17">CONCATENATE(C69,D69,G69)</f>
        <v>XXIII31VALDIR DAMA</v>
      </c>
      <c r="Z69" s="203" t="str">
        <f t="shared" si="6"/>
        <v>XXIII31VALDIR DAMA</v>
      </c>
      <c r="AA69" s="427" t="s">
        <v>507</v>
      </c>
      <c r="AB69" s="427">
        <v>31</v>
      </c>
      <c r="AC69" s="428" t="s">
        <v>857</v>
      </c>
      <c r="AD69" s="505">
        <v>155587.25</v>
      </c>
      <c r="AE69" s="506">
        <v>220290.69</v>
      </c>
      <c r="AF69" s="60" t="str">
        <f t="shared" si="7"/>
        <v>VALDIR DAMA</v>
      </c>
      <c r="AG69" s="60" t="str">
        <f t="shared" si="8"/>
        <v>OK</v>
      </c>
    </row>
    <row r="70" spans="1:33">
      <c r="A70" s="61" t="str">
        <f t="shared" ref="A70:A133" si="18">CONCATENATE(B70,C70,D70)</f>
        <v>LONDRINA [ETAPA 01 - CONDOMINIO ARAÇARI]XXIII32</v>
      </c>
      <c r="B70" s="263" t="s">
        <v>34</v>
      </c>
      <c r="C70" s="337" t="s">
        <v>507</v>
      </c>
      <c r="D70" s="73">
        <v>32</v>
      </c>
      <c r="E70" s="315">
        <v>268.58</v>
      </c>
      <c r="F70" s="166">
        <v>6565</v>
      </c>
      <c r="G70" s="74" t="s">
        <v>761</v>
      </c>
      <c r="H70" s="40">
        <v>43299</v>
      </c>
      <c r="I70" s="35">
        <v>162897.51</v>
      </c>
      <c r="J70" s="35" t="str">
        <f>IFERROR(VLOOKUP(CONCATENATE(B70,C70,D70,),Inadimplencia!$A$6:$K$110,6,0),"ATIVO")</f>
        <v>INADIMPLENTE</v>
      </c>
      <c r="K70" s="35">
        <f t="shared" ref="K70:K133" si="19">VLOOKUP(Y70,$Z$5:$AD$520,5,0)</f>
        <v>186653.39</v>
      </c>
      <c r="L70" s="325">
        <f t="shared" ref="L70:L133" si="20">K70/I70</f>
        <v>1.1458332911288822</v>
      </c>
      <c r="M70" s="423" t="str">
        <f t="shared" ref="M70:M133" si="21">CONCATENATE(J70,IF(L70&gt;100%,1,0))</f>
        <v>INADIMPLENTE1</v>
      </c>
      <c r="T70" s="38"/>
      <c r="U70" s="38"/>
      <c r="V70" s="38"/>
      <c r="W70" s="37"/>
      <c r="X70" s="203" t="str">
        <f t="shared" si="16"/>
        <v>LONDRINA [ETAPA 01 - CONDOMINIO ARAÇARI]INADIMPLENTE</v>
      </c>
      <c r="Y70" s="203" t="str">
        <f t="shared" si="17"/>
        <v>XXIII32SERGIO PEREIRA JUNIOR</v>
      </c>
      <c r="Z70" s="203" t="str">
        <f t="shared" ref="Z70:Z133" si="22">CONCATENATE(AA70,AB70,AC70)</f>
        <v>XXIII32SERGIO PEREIRA JUNIOR</v>
      </c>
      <c r="AA70" s="427" t="s">
        <v>507</v>
      </c>
      <c r="AB70" s="427">
        <v>32</v>
      </c>
      <c r="AC70" s="428" t="s">
        <v>761</v>
      </c>
      <c r="AD70" s="505">
        <v>186653.39</v>
      </c>
      <c r="AE70" s="506">
        <v>233144.49</v>
      </c>
      <c r="AF70" s="60" t="str">
        <f t="shared" ref="AF70:AF133" si="23">VLOOKUP(AC70,$G$5:$G$520,1,0)</f>
        <v>SERGIO PEREIRA JUNIOR</v>
      </c>
      <c r="AG70" s="60" t="str">
        <f t="shared" ref="AG70:AG133" si="24">IF(AC70=AF70,"OK","NÃO BATE")</f>
        <v>OK</v>
      </c>
    </row>
    <row r="71" spans="1:33">
      <c r="A71" s="61" t="str">
        <f t="shared" si="18"/>
        <v>LONDRINA [ETAPA 01 - CONDOMINIO ARAÇARI]XXIII33</v>
      </c>
      <c r="B71" s="263" t="s">
        <v>34</v>
      </c>
      <c r="C71" s="337" t="s">
        <v>507</v>
      </c>
      <c r="D71" s="166">
        <v>33</v>
      </c>
      <c r="E71" s="197">
        <v>266.81</v>
      </c>
      <c r="F71" s="166">
        <v>4834</v>
      </c>
      <c r="G71" s="338" t="s">
        <v>191</v>
      </c>
      <c r="H71" s="40">
        <v>44105</v>
      </c>
      <c r="I71" s="35">
        <v>213072.4</v>
      </c>
      <c r="J71" s="35" t="str">
        <f>IFERROR(VLOOKUP(CONCATENATE(B71,C71,D71,),Inadimplencia!$A$6:$K$110,6,0),"ATIVO")</f>
        <v>ATIVO</v>
      </c>
      <c r="K71" s="35">
        <f t="shared" si="19"/>
        <v>137624.99</v>
      </c>
      <c r="L71" s="325">
        <f t="shared" si="20"/>
        <v>0.64590716582720242</v>
      </c>
      <c r="M71" s="423" t="str">
        <f t="shared" si="21"/>
        <v>ATIVO0</v>
      </c>
      <c r="T71" s="38"/>
      <c r="U71" s="38"/>
      <c r="V71" s="38"/>
      <c r="W71" s="37"/>
      <c r="X71" s="203" t="str">
        <f t="shared" si="16"/>
        <v>LONDRINA [ETAPA 01 - CONDOMINIO ARAÇARI]ATIVO</v>
      </c>
      <c r="Y71" s="203" t="str">
        <f t="shared" si="17"/>
        <v>XXIII33ERMESON TIAGO MENDES LIMA</v>
      </c>
      <c r="Z71" s="203" t="str">
        <f t="shared" si="22"/>
        <v>XXIII33ERMESON TIAGO MENDES LIMA</v>
      </c>
      <c r="AA71" s="427" t="s">
        <v>507</v>
      </c>
      <c r="AB71" s="427">
        <v>33</v>
      </c>
      <c r="AC71" s="428" t="s">
        <v>191</v>
      </c>
      <c r="AD71" s="505">
        <v>137624.99</v>
      </c>
      <c r="AE71" s="506">
        <v>226019.9</v>
      </c>
      <c r="AF71" s="60" t="str">
        <f t="shared" si="23"/>
        <v>ERMESON TIAGO MENDES LIMA</v>
      </c>
      <c r="AG71" s="60" t="str">
        <f t="shared" si="24"/>
        <v>OK</v>
      </c>
    </row>
    <row r="72" spans="1:33">
      <c r="A72" s="61" t="str">
        <f t="shared" si="18"/>
        <v>LONDRINA [ETAPA 01 - CONDOMINIO ARAÇARI]XXIV1</v>
      </c>
      <c r="B72" s="263" t="s">
        <v>34</v>
      </c>
      <c r="C72" s="337" t="s">
        <v>508</v>
      </c>
      <c r="D72" s="73">
        <v>1</v>
      </c>
      <c r="E72" s="315">
        <v>330.15</v>
      </c>
      <c r="F72" s="166">
        <v>2713</v>
      </c>
      <c r="G72" s="74" t="s">
        <v>283</v>
      </c>
      <c r="H72" s="40">
        <v>41479</v>
      </c>
      <c r="I72" s="35">
        <v>117929.58</v>
      </c>
      <c r="J72" s="35" t="str">
        <f>IFERROR(VLOOKUP(CONCATENATE(B72,C72,D72,),Inadimplencia!$A$6:$K$110,6,0),"ATIVO")</f>
        <v>ATIVO</v>
      </c>
      <c r="K72" s="35">
        <f t="shared" si="19"/>
        <v>119305.13</v>
      </c>
      <c r="L72" s="325">
        <f t="shared" si="20"/>
        <v>1.011664164325863</v>
      </c>
      <c r="M72" s="423" t="str">
        <f t="shared" si="21"/>
        <v>ATIVO1</v>
      </c>
      <c r="T72" s="38"/>
      <c r="U72" s="38"/>
      <c r="V72" s="38"/>
      <c r="W72" s="37"/>
      <c r="X72" s="203" t="str">
        <f t="shared" si="16"/>
        <v>LONDRINA [ETAPA 01 - CONDOMINIO ARAÇARI]ATIVO</v>
      </c>
      <c r="Y72" s="203" t="str">
        <f t="shared" si="17"/>
        <v>XXIV1JOSEMARIS APARECIDA MARTINELLI</v>
      </c>
      <c r="Z72" s="203" t="str">
        <f t="shared" si="22"/>
        <v>XXIV1JOSEMARIS APARECIDA MARTINELLI</v>
      </c>
      <c r="AA72" s="427" t="s">
        <v>508</v>
      </c>
      <c r="AB72" s="427">
        <v>1</v>
      </c>
      <c r="AC72" s="428" t="s">
        <v>283</v>
      </c>
      <c r="AD72" s="505">
        <v>119305.13</v>
      </c>
      <c r="AE72" s="506">
        <v>225778.66</v>
      </c>
      <c r="AF72" s="60" t="str">
        <f t="shared" si="23"/>
        <v>JOSEMARIS APARECIDA MARTINELLI</v>
      </c>
      <c r="AG72" s="60" t="str">
        <f t="shared" si="24"/>
        <v>OK</v>
      </c>
    </row>
    <row r="73" spans="1:33">
      <c r="A73" s="61" t="str">
        <f t="shared" si="18"/>
        <v>LONDRINA [ETAPA 01 - CONDOMINIO ARAÇARI]XXIV3</v>
      </c>
      <c r="B73" s="263" t="s">
        <v>34</v>
      </c>
      <c r="C73" s="337" t="s">
        <v>508</v>
      </c>
      <c r="D73" s="166">
        <v>3</v>
      </c>
      <c r="E73" s="197">
        <v>256.14</v>
      </c>
      <c r="F73" s="166">
        <v>2663</v>
      </c>
      <c r="G73" s="338" t="s">
        <v>1363</v>
      </c>
      <c r="H73" s="40">
        <v>41462</v>
      </c>
      <c r="I73" s="35">
        <v>98716.36</v>
      </c>
      <c r="J73" s="35" t="str">
        <f>IFERROR(VLOOKUP(CONCATENATE(B73,C73,D73,),Inadimplencia!$A$6:$K$110,6,0),"ATIVO")</f>
        <v>ATRASO</v>
      </c>
      <c r="K73" s="35">
        <f t="shared" si="19"/>
        <v>108236.21</v>
      </c>
      <c r="L73" s="325">
        <f t="shared" si="20"/>
        <v>1.0964363961556121</v>
      </c>
      <c r="M73" s="423" t="str">
        <f t="shared" si="21"/>
        <v>ATRASO1</v>
      </c>
      <c r="T73" s="38"/>
      <c r="U73" s="38"/>
      <c r="V73" s="38"/>
      <c r="W73" s="37"/>
      <c r="X73" s="203" t="str">
        <f t="shared" si="16"/>
        <v>LONDRINA [ETAPA 01 - CONDOMINIO ARAÇARI]ATRASO</v>
      </c>
      <c r="Y73" s="203" t="str">
        <f t="shared" si="17"/>
        <v>XXIV3LARISSA BASSI PICONI</v>
      </c>
      <c r="Z73" s="203" t="str">
        <f t="shared" si="22"/>
        <v>XXIV3LARISSA BASSI PICONI</v>
      </c>
      <c r="AA73" s="427" t="s">
        <v>508</v>
      </c>
      <c r="AB73" s="427">
        <v>3</v>
      </c>
      <c r="AC73" s="428" t="s">
        <v>1363</v>
      </c>
      <c r="AD73" s="505">
        <v>108236.21</v>
      </c>
      <c r="AE73" s="506">
        <v>203002.96</v>
      </c>
      <c r="AF73" s="60" t="str">
        <f t="shared" si="23"/>
        <v>LARISSA BASSI PICONI</v>
      </c>
      <c r="AG73" s="60" t="str">
        <f t="shared" si="24"/>
        <v>OK</v>
      </c>
    </row>
    <row r="74" spans="1:33">
      <c r="A74" s="61" t="str">
        <f t="shared" si="18"/>
        <v>LONDRINA [ETAPA 01 - CONDOMINIO ARAÇARI]XXIV5</v>
      </c>
      <c r="B74" s="263" t="s">
        <v>34</v>
      </c>
      <c r="C74" s="337" t="s">
        <v>508</v>
      </c>
      <c r="D74" s="73">
        <v>5</v>
      </c>
      <c r="E74" s="315">
        <v>256.14</v>
      </c>
      <c r="F74" s="166">
        <v>2449</v>
      </c>
      <c r="G74" s="74" t="s">
        <v>190</v>
      </c>
      <c r="H74" s="40">
        <v>41445</v>
      </c>
      <c r="I74" s="35">
        <v>98716.36</v>
      </c>
      <c r="J74" s="35" t="str">
        <f>IFERROR(VLOOKUP(CONCATENATE(B74,C74,D74,),Inadimplencia!$A$6:$K$110,6,0),"ATIVO")</f>
        <v>ATIVO</v>
      </c>
      <c r="K74" s="35">
        <f t="shared" si="19"/>
        <v>7792.45</v>
      </c>
      <c r="L74" s="325">
        <f t="shared" si="20"/>
        <v>7.8937776879131283E-2</v>
      </c>
      <c r="M74" s="423" t="str">
        <f t="shared" si="21"/>
        <v>ATIVO0</v>
      </c>
      <c r="T74" s="38"/>
      <c r="U74" s="38"/>
      <c r="V74" s="38"/>
      <c r="W74" s="37"/>
      <c r="X74" s="203" t="str">
        <f t="shared" si="16"/>
        <v>LONDRINA [ETAPA 01 - CONDOMINIO ARAÇARI]ATIVO</v>
      </c>
      <c r="Y74" s="203" t="str">
        <f t="shared" si="17"/>
        <v>XXIV5ERICA DE CAMARGO CORREA FERRAZ MARANGONI</v>
      </c>
      <c r="Z74" s="203" t="str">
        <f t="shared" si="22"/>
        <v>XXIV5ERICA DE CAMARGO CORREA FERRAZ MARANGONI</v>
      </c>
      <c r="AA74" s="427" t="s">
        <v>508</v>
      </c>
      <c r="AB74" s="427">
        <v>5</v>
      </c>
      <c r="AC74" s="428" t="s">
        <v>190</v>
      </c>
      <c r="AD74" s="505">
        <v>7792.45</v>
      </c>
      <c r="AE74" s="506">
        <v>189214.86000000002</v>
      </c>
      <c r="AF74" s="60" t="str">
        <f t="shared" si="23"/>
        <v>ERICA DE CAMARGO CORREA FERRAZ MARANGONI</v>
      </c>
      <c r="AG74" s="60" t="str">
        <f t="shared" si="24"/>
        <v>OK</v>
      </c>
    </row>
    <row r="75" spans="1:33">
      <c r="A75" s="61" t="str">
        <f t="shared" si="18"/>
        <v>LONDRINA [ETAPA 01 - CONDOMINIO ARAÇARI]XXIV6</v>
      </c>
      <c r="B75" s="263" t="s">
        <v>34</v>
      </c>
      <c r="C75" s="337" t="s">
        <v>508</v>
      </c>
      <c r="D75" s="166">
        <v>6</v>
      </c>
      <c r="E75" s="197">
        <v>256.14</v>
      </c>
      <c r="F75" s="166">
        <v>3773</v>
      </c>
      <c r="G75" s="338" t="s">
        <v>1137</v>
      </c>
      <c r="H75" s="40">
        <v>43866</v>
      </c>
      <c r="I75" s="35">
        <v>156980</v>
      </c>
      <c r="J75" s="35" t="str">
        <f>IFERROR(VLOOKUP(CONCATENATE(B75,C75,D75,),Inadimplencia!$A$6:$K$110,6,0),"ATIVO")</f>
        <v>ATIVO</v>
      </c>
      <c r="K75" s="35">
        <f t="shared" si="19"/>
        <v>155083.96</v>
      </c>
      <c r="L75" s="325">
        <f t="shared" si="20"/>
        <v>0.98792177347432786</v>
      </c>
      <c r="M75" s="423" t="str">
        <f t="shared" si="21"/>
        <v>ATIVO0</v>
      </c>
      <c r="T75" s="38"/>
      <c r="U75" s="38"/>
      <c r="V75" s="38"/>
      <c r="W75" s="37"/>
      <c r="X75" s="203" t="str">
        <f t="shared" si="16"/>
        <v>LONDRINA [ETAPA 01 - CONDOMINIO ARAÇARI]ATIVO</v>
      </c>
      <c r="Y75" s="203" t="str">
        <f t="shared" si="17"/>
        <v>XXIV6RODRIGO ALBUQUERQUE LINDOLFO</v>
      </c>
      <c r="Z75" s="203" t="str">
        <f t="shared" si="22"/>
        <v>XXIV6RODRIGO ALBUQUERQUE LINDOLFO</v>
      </c>
      <c r="AA75" s="427" t="s">
        <v>508</v>
      </c>
      <c r="AB75" s="427">
        <v>6</v>
      </c>
      <c r="AC75" s="428" t="s">
        <v>1137</v>
      </c>
      <c r="AD75" s="505">
        <v>155083.96</v>
      </c>
      <c r="AE75" s="506">
        <v>185733.41</v>
      </c>
      <c r="AF75" s="60" t="str">
        <f t="shared" si="23"/>
        <v>RODRIGO ALBUQUERQUE LINDOLFO</v>
      </c>
      <c r="AG75" s="60" t="str">
        <f t="shared" si="24"/>
        <v>OK</v>
      </c>
    </row>
    <row r="76" spans="1:33">
      <c r="A76" s="61" t="str">
        <f t="shared" si="18"/>
        <v>LONDRINA [ETAPA 01 - CONDOMINIO ARAÇARI]XXIV9</v>
      </c>
      <c r="B76" s="263" t="s">
        <v>34</v>
      </c>
      <c r="C76" s="337" t="s">
        <v>508</v>
      </c>
      <c r="D76" s="73">
        <v>9</v>
      </c>
      <c r="E76" s="315">
        <v>256.14</v>
      </c>
      <c r="F76" s="166">
        <v>5049</v>
      </c>
      <c r="G76" s="74" t="s">
        <v>1478</v>
      </c>
      <c r="H76" s="40">
        <v>44242</v>
      </c>
      <c r="I76" s="35">
        <v>164500.1</v>
      </c>
      <c r="J76" s="35" t="str">
        <f>IFERROR(VLOOKUP(CONCATENATE(B76,C76,D76,),Inadimplencia!$A$6:$K$110,6,0),"ATIVO")</f>
        <v>ATIVO</v>
      </c>
      <c r="K76" s="35">
        <f t="shared" si="19"/>
        <v>92285.83</v>
      </c>
      <c r="L76" s="325">
        <f t="shared" si="20"/>
        <v>0.56100774406824072</v>
      </c>
      <c r="M76" s="423" t="str">
        <f t="shared" si="21"/>
        <v>ATIVO0</v>
      </c>
      <c r="N76" s="28"/>
      <c r="T76" s="38"/>
      <c r="U76" s="38"/>
      <c r="V76" s="38"/>
      <c r="W76" s="37"/>
      <c r="X76" s="203" t="str">
        <f t="shared" si="16"/>
        <v>LONDRINA [ETAPA 01 - CONDOMINIO ARAÇARI]ATIVO</v>
      </c>
      <c r="Y76" s="203" t="str">
        <f t="shared" si="17"/>
        <v>XXIV9MARIANA LIE NAKAYAMA</v>
      </c>
      <c r="Z76" s="203" t="str">
        <f t="shared" si="22"/>
        <v>XXIV9MARIANA LIE NAKAYAMA</v>
      </c>
      <c r="AA76" s="427" t="s">
        <v>508</v>
      </c>
      <c r="AB76" s="427">
        <v>9</v>
      </c>
      <c r="AC76" s="428" t="s">
        <v>1478</v>
      </c>
      <c r="AD76" s="505">
        <v>92285.83</v>
      </c>
      <c r="AE76" s="506">
        <v>164975.36000000002</v>
      </c>
      <c r="AF76" s="60" t="str">
        <f t="shared" si="23"/>
        <v>MARIANA LIE NAKAYAMA</v>
      </c>
      <c r="AG76" s="60" t="str">
        <f t="shared" si="24"/>
        <v>OK</v>
      </c>
    </row>
    <row r="77" spans="1:33">
      <c r="A77" s="61" t="str">
        <f t="shared" si="18"/>
        <v>LONDRINA [ETAPA 01 - CONDOMINIO ARAÇARI]XXIV10</v>
      </c>
      <c r="B77" s="263" t="s">
        <v>34</v>
      </c>
      <c r="C77" s="337" t="s">
        <v>508</v>
      </c>
      <c r="D77" s="166">
        <v>10</v>
      </c>
      <c r="E77" s="197">
        <v>256.14</v>
      </c>
      <c r="F77" s="166">
        <v>2557</v>
      </c>
      <c r="G77" s="338" t="s">
        <v>1126</v>
      </c>
      <c r="H77" s="40">
        <v>41456</v>
      </c>
      <c r="I77" s="35">
        <v>93900.92</v>
      </c>
      <c r="J77" s="35" t="str">
        <f>IFERROR(VLOOKUP(CONCATENATE(B77,C77,D77,),Inadimplencia!$A$6:$K$110,6,0),"ATIVO")</f>
        <v>INADIMPLENTE</v>
      </c>
      <c r="K77" s="35">
        <f t="shared" si="19"/>
        <v>172605.52</v>
      </c>
      <c r="L77" s="325">
        <f t="shared" si="20"/>
        <v>1.8381664418197392</v>
      </c>
      <c r="M77" s="423" t="str">
        <f t="shared" si="21"/>
        <v>INADIMPLENTE1</v>
      </c>
      <c r="N77" s="28"/>
      <c r="T77" s="38"/>
      <c r="U77" s="38"/>
      <c r="V77" s="38"/>
      <c r="W77" s="37"/>
      <c r="X77" s="203" t="str">
        <f t="shared" si="16"/>
        <v>LONDRINA [ETAPA 01 - CONDOMINIO ARAÇARI]INADIMPLENTE</v>
      </c>
      <c r="Y77" s="203" t="str">
        <f t="shared" si="17"/>
        <v>XXIV10GUSTAVO APARECIDO BRANDAO MEIRELES</v>
      </c>
      <c r="Z77" s="203" t="str">
        <f t="shared" si="22"/>
        <v>XXIV10GUSTAVO APARECIDO BRANDAO MEIRELES</v>
      </c>
      <c r="AA77" s="427" t="s">
        <v>508</v>
      </c>
      <c r="AB77" s="427">
        <v>10</v>
      </c>
      <c r="AC77" s="428" t="s">
        <v>1126</v>
      </c>
      <c r="AD77" s="505">
        <v>172605.52</v>
      </c>
      <c r="AE77" s="506">
        <v>206355.14</v>
      </c>
      <c r="AF77" s="60" t="str">
        <f t="shared" si="23"/>
        <v>GUSTAVO APARECIDO BRANDAO MEIRELES</v>
      </c>
      <c r="AG77" s="60" t="str">
        <f t="shared" si="24"/>
        <v>OK</v>
      </c>
    </row>
    <row r="78" spans="1:33">
      <c r="A78" s="61" t="str">
        <f t="shared" si="18"/>
        <v>LONDRINA [ETAPA 01 - CONDOMINIO ARAÇARI]XXIV11</v>
      </c>
      <c r="B78" s="263" t="s">
        <v>34</v>
      </c>
      <c r="C78" s="337" t="s">
        <v>508</v>
      </c>
      <c r="D78" s="73">
        <v>11</v>
      </c>
      <c r="E78" s="315">
        <v>256.14</v>
      </c>
      <c r="F78" s="166">
        <v>3573</v>
      </c>
      <c r="G78" s="74" t="s">
        <v>1127</v>
      </c>
      <c r="H78" s="40">
        <v>41694</v>
      </c>
      <c r="I78" s="35">
        <v>96068.01</v>
      </c>
      <c r="J78" s="35" t="str">
        <f>IFERROR(VLOOKUP(CONCATENATE(B78,C78,D78,),Inadimplencia!$A$6:$K$110,6,0),"ATIVO")</f>
        <v>ATIVO</v>
      </c>
      <c r="K78" s="35">
        <f t="shared" si="19"/>
        <v>99281.57</v>
      </c>
      <c r="L78" s="325">
        <f t="shared" si="20"/>
        <v>1.0334508854716571</v>
      </c>
      <c r="M78" s="423" t="str">
        <f t="shared" si="21"/>
        <v>ATIVO1</v>
      </c>
      <c r="N78" s="28"/>
      <c r="T78" s="38"/>
      <c r="U78" s="38"/>
      <c r="V78" s="38"/>
      <c r="W78" s="37"/>
      <c r="X78" s="203" t="str">
        <f t="shared" si="16"/>
        <v>LONDRINA [ETAPA 01 - CONDOMINIO ARAÇARI]ATIVO</v>
      </c>
      <c r="Y78" s="203" t="str">
        <f t="shared" si="17"/>
        <v>XXIV11C. C. FIGUEIRA DOS SANTOS FOGOES - ME.</v>
      </c>
      <c r="Z78" s="203" t="str">
        <f t="shared" si="22"/>
        <v>XXIV11C. C. FIGUEIRA DOS SANTOS FOGOES - ME.</v>
      </c>
      <c r="AA78" s="427" t="s">
        <v>508</v>
      </c>
      <c r="AB78" s="427">
        <v>11</v>
      </c>
      <c r="AC78" s="428" t="s">
        <v>1127</v>
      </c>
      <c r="AD78" s="505">
        <v>99281.57</v>
      </c>
      <c r="AE78" s="506">
        <v>186683.98</v>
      </c>
      <c r="AF78" s="60" t="str">
        <f t="shared" si="23"/>
        <v>C. C. FIGUEIRA DOS SANTOS FOGOES - ME.</v>
      </c>
      <c r="AG78" s="60" t="str">
        <f t="shared" si="24"/>
        <v>OK</v>
      </c>
    </row>
    <row r="79" spans="1:33">
      <c r="A79" s="61" t="str">
        <f t="shared" si="18"/>
        <v>LONDRINA [ETAPA 01 - CONDOMINIO ARAÇARI]XXIV13</v>
      </c>
      <c r="B79" s="263" t="s">
        <v>34</v>
      </c>
      <c r="C79" s="337" t="s">
        <v>508</v>
      </c>
      <c r="D79" s="166">
        <v>13</v>
      </c>
      <c r="E79" s="197">
        <v>256.14</v>
      </c>
      <c r="F79" s="166">
        <v>2528</v>
      </c>
      <c r="G79" s="338" t="s">
        <v>309</v>
      </c>
      <c r="H79" s="40">
        <v>41452</v>
      </c>
      <c r="I79" s="35">
        <v>91493.21</v>
      </c>
      <c r="J79" s="35" t="str">
        <f>IFERROR(VLOOKUP(CONCATENATE(B79,C79,D79,),Inadimplencia!$A$6:$K$110,6,0),"ATIVO")</f>
        <v>ATIVO</v>
      </c>
      <c r="K79" s="35">
        <f t="shared" si="19"/>
        <v>94012.03</v>
      </c>
      <c r="L79" s="325">
        <f t="shared" si="20"/>
        <v>1.0275301303779809</v>
      </c>
      <c r="M79" s="423" t="str">
        <f t="shared" si="21"/>
        <v>ATIVO1</v>
      </c>
      <c r="N79" s="28"/>
      <c r="T79" s="38"/>
      <c r="U79" s="38"/>
      <c r="V79" s="38"/>
      <c r="W79" s="37"/>
      <c r="X79" s="203" t="str">
        <f t="shared" si="16"/>
        <v>LONDRINA [ETAPA 01 - CONDOMINIO ARAÇARI]ATIVO</v>
      </c>
      <c r="Y79" s="203" t="str">
        <f t="shared" si="17"/>
        <v>XXIV13LUCIANA MELANI</v>
      </c>
      <c r="Z79" s="203" t="str">
        <f t="shared" si="22"/>
        <v>XXIV13LUCIANA MELANI</v>
      </c>
      <c r="AA79" s="427" t="s">
        <v>508</v>
      </c>
      <c r="AB79" s="427">
        <v>13</v>
      </c>
      <c r="AC79" s="428" t="s">
        <v>309</v>
      </c>
      <c r="AD79" s="505">
        <v>94012.03</v>
      </c>
      <c r="AE79" s="506">
        <v>223400.59</v>
      </c>
      <c r="AF79" s="60" t="str">
        <f t="shared" si="23"/>
        <v>LUCIANA MELANI</v>
      </c>
      <c r="AG79" s="60" t="str">
        <f t="shared" si="24"/>
        <v>OK</v>
      </c>
    </row>
    <row r="80" spans="1:33">
      <c r="A80" s="61" t="str">
        <f t="shared" si="18"/>
        <v>LONDRINA [ETAPA 01 - CONDOMINIO ARAÇARI]XXV2</v>
      </c>
      <c r="B80" s="263" t="s">
        <v>34</v>
      </c>
      <c r="C80" s="337" t="s">
        <v>509</v>
      </c>
      <c r="D80" s="73">
        <v>2</v>
      </c>
      <c r="E80" s="315">
        <v>255.53</v>
      </c>
      <c r="F80" s="166">
        <v>2623</v>
      </c>
      <c r="G80" s="74" t="s">
        <v>399</v>
      </c>
      <c r="H80" s="40">
        <v>41460</v>
      </c>
      <c r="I80" s="35">
        <v>92476.31</v>
      </c>
      <c r="J80" s="35" t="str">
        <f>IFERROR(VLOOKUP(CONCATENATE(B80,C80,D80,),Inadimplencia!$A$6:$K$110,6,0),"ATIVO")</f>
        <v>INADIMPLENTE</v>
      </c>
      <c r="K80" s="35">
        <f t="shared" si="19"/>
        <v>134730.51999999999</v>
      </c>
      <c r="L80" s="325">
        <f t="shared" si="20"/>
        <v>1.4569192910054476</v>
      </c>
      <c r="M80" s="423" t="str">
        <f t="shared" si="21"/>
        <v>INADIMPLENTE1</v>
      </c>
      <c r="N80" s="28"/>
      <c r="T80" s="38"/>
      <c r="U80" s="38"/>
      <c r="V80" s="38"/>
      <c r="W80" s="37"/>
      <c r="X80" s="203" t="str">
        <f t="shared" si="16"/>
        <v>LONDRINA [ETAPA 01 - CONDOMINIO ARAÇARI]INADIMPLENTE</v>
      </c>
      <c r="Y80" s="203" t="str">
        <f t="shared" si="17"/>
        <v>XXV2PEDRO LUCAS BACILI</v>
      </c>
      <c r="Z80" s="203" t="str">
        <f t="shared" si="22"/>
        <v>XXV2PEDRO LUCAS BACILI</v>
      </c>
      <c r="AA80" s="427" t="s">
        <v>509</v>
      </c>
      <c r="AB80" s="427">
        <v>2</v>
      </c>
      <c r="AC80" s="428" t="s">
        <v>399</v>
      </c>
      <c r="AD80" s="505">
        <v>134730.51999999999</v>
      </c>
      <c r="AE80" s="506">
        <v>186931.57</v>
      </c>
      <c r="AF80" s="60" t="str">
        <f t="shared" si="23"/>
        <v>PEDRO LUCAS BACILI</v>
      </c>
      <c r="AG80" s="60" t="str">
        <f t="shared" si="24"/>
        <v>OK</v>
      </c>
    </row>
    <row r="81" spans="1:33">
      <c r="A81" s="61" t="str">
        <f t="shared" si="18"/>
        <v>LONDRINA [ETAPA 01 - CONDOMINIO ARAÇARI]XXV6</v>
      </c>
      <c r="B81" s="263" t="s">
        <v>34</v>
      </c>
      <c r="C81" s="337" t="s">
        <v>509</v>
      </c>
      <c r="D81" s="166">
        <v>6</v>
      </c>
      <c r="E81" s="197">
        <v>261.2</v>
      </c>
      <c r="F81" s="166">
        <v>2373</v>
      </c>
      <c r="G81" s="338" t="s">
        <v>461</v>
      </c>
      <c r="H81" s="40">
        <v>41446</v>
      </c>
      <c r="I81" s="35">
        <v>94528.28</v>
      </c>
      <c r="J81" s="35" t="str">
        <f>IFERROR(VLOOKUP(CONCATENATE(B81,C81,D81,),Inadimplencia!$A$6:$K$110,6,0),"ATIVO")</f>
        <v>ATIVO</v>
      </c>
      <c r="K81" s="35">
        <f t="shared" si="19"/>
        <v>49387.87</v>
      </c>
      <c r="L81" s="325">
        <f t="shared" si="20"/>
        <v>0.52246660999226902</v>
      </c>
      <c r="M81" s="423" t="str">
        <f t="shared" si="21"/>
        <v>ATIVO0</v>
      </c>
      <c r="N81" s="28"/>
      <c r="T81" s="38"/>
      <c r="U81" s="38"/>
      <c r="V81" s="38"/>
      <c r="W81" s="37"/>
      <c r="X81" s="203" t="str">
        <f t="shared" si="16"/>
        <v>LONDRINA [ETAPA 01 - CONDOMINIO ARAÇARI]ATIVO</v>
      </c>
      <c r="Y81" s="203" t="str">
        <f t="shared" si="17"/>
        <v>XXV6VALDETE PIRES CARDIA</v>
      </c>
      <c r="Z81" s="203" t="str">
        <f t="shared" si="22"/>
        <v>XXV6VALDETE PIRES CARDIA</v>
      </c>
      <c r="AA81" s="427" t="s">
        <v>509</v>
      </c>
      <c r="AB81" s="427">
        <v>6</v>
      </c>
      <c r="AC81" s="428" t="s">
        <v>461</v>
      </c>
      <c r="AD81" s="505">
        <v>49387.87</v>
      </c>
      <c r="AE81" s="506">
        <v>161857.51999999999</v>
      </c>
      <c r="AF81" s="60" t="str">
        <f t="shared" si="23"/>
        <v>VALDETE PIRES CARDIA</v>
      </c>
      <c r="AG81" s="60" t="str">
        <f t="shared" si="24"/>
        <v>OK</v>
      </c>
    </row>
    <row r="82" spans="1:33">
      <c r="A82" s="61" t="str">
        <f t="shared" si="18"/>
        <v>LONDRINA [ETAPA 01 - CONDOMINIO ARAÇARI]XXV7</v>
      </c>
      <c r="B82" s="263" t="s">
        <v>34</v>
      </c>
      <c r="C82" s="337" t="s">
        <v>509</v>
      </c>
      <c r="D82" s="73">
        <v>7</v>
      </c>
      <c r="E82" s="315">
        <v>260.61</v>
      </c>
      <c r="F82" s="166">
        <v>4751</v>
      </c>
      <c r="G82" s="74" t="s">
        <v>355</v>
      </c>
      <c r="H82" s="40">
        <v>42125</v>
      </c>
      <c r="I82" s="35">
        <v>140730.35999999999</v>
      </c>
      <c r="J82" s="35" t="str">
        <f>IFERROR(VLOOKUP(CONCATENATE(B82,C82,D82,),Inadimplencia!$A$6:$K$110,6,0),"ATIVO")</f>
        <v>ATIVO</v>
      </c>
      <c r="K82" s="35">
        <f t="shared" si="19"/>
        <v>8888.130000000001</v>
      </c>
      <c r="L82" s="325">
        <f t="shared" si="20"/>
        <v>6.3157160970809728E-2</v>
      </c>
      <c r="M82" s="423" t="str">
        <f t="shared" si="21"/>
        <v>ATIVO0</v>
      </c>
      <c r="N82" s="28"/>
      <c r="T82" s="38"/>
      <c r="U82" s="38"/>
      <c r="V82" s="38"/>
      <c r="W82" s="37"/>
      <c r="X82" s="203" t="str">
        <f t="shared" si="16"/>
        <v>LONDRINA [ETAPA 01 - CONDOMINIO ARAÇARI]ATIVO</v>
      </c>
      <c r="Y82" s="203" t="str">
        <f t="shared" si="17"/>
        <v>XXV7MARIA LUCIA GIMENES</v>
      </c>
      <c r="Z82" s="203" t="str">
        <f t="shared" si="22"/>
        <v>XXV7MARIA LUCIA GIMENES</v>
      </c>
      <c r="AA82" s="427" t="s">
        <v>509</v>
      </c>
      <c r="AB82" s="427">
        <v>7</v>
      </c>
      <c r="AC82" s="428" t="s">
        <v>355</v>
      </c>
      <c r="AD82" s="505">
        <v>8888.130000000001</v>
      </c>
      <c r="AE82" s="506">
        <v>155104.35</v>
      </c>
      <c r="AF82" s="60" t="str">
        <f t="shared" si="23"/>
        <v>MARIA LUCIA GIMENES</v>
      </c>
      <c r="AG82" s="60" t="str">
        <f t="shared" si="24"/>
        <v>OK</v>
      </c>
    </row>
    <row r="83" spans="1:33">
      <c r="A83" s="61" t="str">
        <f t="shared" si="18"/>
        <v>LONDRINA [ETAPA 01 - CONDOMINIO ARAÇARI]XXV9</v>
      </c>
      <c r="B83" s="263" t="s">
        <v>34</v>
      </c>
      <c r="C83" s="337" t="s">
        <v>509</v>
      </c>
      <c r="D83" s="166">
        <v>9</v>
      </c>
      <c r="E83" s="197">
        <v>260</v>
      </c>
      <c r="F83" s="166">
        <v>2671</v>
      </c>
      <c r="G83" s="338" t="s">
        <v>136</v>
      </c>
      <c r="H83" s="40">
        <v>41436</v>
      </c>
      <c r="I83" s="35">
        <v>94094</v>
      </c>
      <c r="J83" s="35" t="str">
        <f>IFERROR(VLOOKUP(CONCATENATE(B83,C83,D83,),Inadimplencia!$A$6:$K$110,6,0),"ATIVO")</f>
        <v>ATIVO</v>
      </c>
      <c r="K83" s="35">
        <f t="shared" si="19"/>
        <v>95567.63</v>
      </c>
      <c r="L83" s="325">
        <f t="shared" si="20"/>
        <v>1.0156612536399772</v>
      </c>
      <c r="M83" s="423" t="str">
        <f t="shared" si="21"/>
        <v>ATIVO1</v>
      </c>
      <c r="N83" s="28"/>
      <c r="T83" s="38"/>
      <c r="U83" s="38"/>
      <c r="V83" s="38"/>
      <c r="W83" s="37"/>
      <c r="X83" s="203" t="str">
        <f t="shared" si="16"/>
        <v>LONDRINA [ETAPA 01 - CONDOMINIO ARAÇARI]ATIVO</v>
      </c>
      <c r="Y83" s="203" t="str">
        <f t="shared" si="17"/>
        <v>XXV9DEBORA SKAU DE AQUINO</v>
      </c>
      <c r="Z83" s="203" t="str">
        <f t="shared" si="22"/>
        <v>XXV9DEBORA SKAU DE AQUINO</v>
      </c>
      <c r="AA83" s="427" t="s">
        <v>509</v>
      </c>
      <c r="AB83" s="427">
        <v>9</v>
      </c>
      <c r="AC83" s="428" t="s">
        <v>136</v>
      </c>
      <c r="AD83" s="505">
        <v>95567.63</v>
      </c>
      <c r="AE83" s="506">
        <v>184283.54</v>
      </c>
      <c r="AF83" s="60" t="str">
        <f t="shared" si="23"/>
        <v>DEBORA SKAU DE AQUINO</v>
      </c>
      <c r="AG83" s="60" t="str">
        <f t="shared" si="24"/>
        <v>OK</v>
      </c>
    </row>
    <row r="84" spans="1:33">
      <c r="A84" s="61" t="str">
        <f t="shared" si="18"/>
        <v>LONDRINA [ETAPA 01 - CONDOMINIO ARAÇARI]XXV11</v>
      </c>
      <c r="B84" s="263" t="s">
        <v>34</v>
      </c>
      <c r="C84" s="337" t="s">
        <v>509</v>
      </c>
      <c r="D84" s="73">
        <v>11</v>
      </c>
      <c r="E84" s="315">
        <v>260</v>
      </c>
      <c r="F84" s="166">
        <v>2372</v>
      </c>
      <c r="G84" s="74" t="s">
        <v>138</v>
      </c>
      <c r="H84" s="40">
        <v>41451</v>
      </c>
      <c r="I84" s="35">
        <v>94094</v>
      </c>
      <c r="J84" s="35" t="str">
        <f>IFERROR(VLOOKUP(CONCATENATE(B84,C84,D84,),Inadimplencia!$A$6:$K$110,6,0),"ATIVO")</f>
        <v>ATIVO</v>
      </c>
      <c r="K84" s="35">
        <f t="shared" si="19"/>
        <v>49038.98</v>
      </c>
      <c r="L84" s="325">
        <f t="shared" si="20"/>
        <v>0.52117010648925544</v>
      </c>
      <c r="M84" s="423" t="str">
        <f t="shared" si="21"/>
        <v>ATIVO0</v>
      </c>
      <c r="N84" s="28"/>
      <c r="T84" s="38"/>
      <c r="U84" s="38"/>
      <c r="V84" s="38"/>
      <c r="W84" s="37"/>
      <c r="X84" s="203" t="str">
        <f t="shared" si="16"/>
        <v>LONDRINA [ETAPA 01 - CONDOMINIO ARAÇARI]ATIVO</v>
      </c>
      <c r="Y84" s="203" t="str">
        <f t="shared" si="17"/>
        <v>XXV11DEJAIR DA SILVA</v>
      </c>
      <c r="Z84" s="203" t="str">
        <f t="shared" si="22"/>
        <v>XXV11DEJAIR DA SILVA</v>
      </c>
      <c r="AA84" s="427" t="s">
        <v>509</v>
      </c>
      <c r="AB84" s="427">
        <v>11</v>
      </c>
      <c r="AC84" s="428" t="s">
        <v>138</v>
      </c>
      <c r="AD84" s="505">
        <v>49038.98</v>
      </c>
      <c r="AE84" s="506">
        <v>158996.72</v>
      </c>
      <c r="AF84" s="60" t="str">
        <f t="shared" si="23"/>
        <v>DEJAIR DA SILVA</v>
      </c>
      <c r="AG84" s="60" t="str">
        <f t="shared" si="24"/>
        <v>OK</v>
      </c>
    </row>
    <row r="85" spans="1:33">
      <c r="A85" s="61" t="str">
        <f t="shared" si="18"/>
        <v>LONDRINA [ETAPA 01 - CONDOMINIO ARAÇARI]XXV17</v>
      </c>
      <c r="B85" s="263" t="s">
        <v>34</v>
      </c>
      <c r="C85" s="337" t="s">
        <v>509</v>
      </c>
      <c r="D85" s="166">
        <v>17</v>
      </c>
      <c r="E85" s="197">
        <v>260</v>
      </c>
      <c r="F85" s="166">
        <v>3617</v>
      </c>
      <c r="G85" s="338" t="s">
        <v>1234</v>
      </c>
      <c r="H85" s="40">
        <v>41725</v>
      </c>
      <c r="I85" s="35">
        <v>95879.86</v>
      </c>
      <c r="J85" s="35" t="str">
        <f>IFERROR(VLOOKUP(CONCATENATE(B85,C85,D85,),Inadimplencia!$A$6:$K$110,6,0),"ATIVO")</f>
        <v>ATRASO</v>
      </c>
      <c r="K85" s="35">
        <f t="shared" si="19"/>
        <v>101985.79000000001</v>
      </c>
      <c r="L85" s="325">
        <f t="shared" si="20"/>
        <v>1.0636831342890989</v>
      </c>
      <c r="M85" s="423" t="str">
        <f t="shared" si="21"/>
        <v>ATRASO1</v>
      </c>
      <c r="N85" s="28"/>
      <c r="T85" s="38"/>
      <c r="U85" s="38"/>
      <c r="V85" s="38"/>
      <c r="W85" s="37"/>
      <c r="X85" s="203" t="str">
        <f t="shared" si="16"/>
        <v>LONDRINA [ETAPA 01 - CONDOMINIO ARAÇARI]ATRASO</v>
      </c>
      <c r="Y85" s="203" t="str">
        <f t="shared" si="17"/>
        <v>XXV17RODOLFO VINNICIUS DA SILVA EVANGELISTA</v>
      </c>
      <c r="Z85" s="203" t="str">
        <f t="shared" si="22"/>
        <v>XXV17RODOLFO VINNICIUS DA SILVA EVANGELISTA</v>
      </c>
      <c r="AA85" s="427" t="s">
        <v>509</v>
      </c>
      <c r="AB85" s="427">
        <v>17</v>
      </c>
      <c r="AC85" s="428" t="s">
        <v>1234</v>
      </c>
      <c r="AD85" s="505">
        <v>101985.79000000001</v>
      </c>
      <c r="AE85" s="506">
        <v>174789.01</v>
      </c>
      <c r="AF85" s="60" t="str">
        <f t="shared" si="23"/>
        <v>RODOLFO VINNICIUS DA SILVA EVANGELISTA</v>
      </c>
      <c r="AG85" s="60" t="str">
        <f t="shared" si="24"/>
        <v>OK</v>
      </c>
    </row>
    <row r="86" spans="1:33">
      <c r="A86" s="61" t="str">
        <f t="shared" si="18"/>
        <v>LONDRINA [ETAPA 01 - CONDOMINIO ARAÇARI]XXV18</v>
      </c>
      <c r="B86" s="263" t="s">
        <v>34</v>
      </c>
      <c r="C86" s="337" t="s">
        <v>509</v>
      </c>
      <c r="D86" s="73">
        <v>18</v>
      </c>
      <c r="E86" s="315">
        <v>260</v>
      </c>
      <c r="F86" s="166">
        <v>3590</v>
      </c>
      <c r="G86" s="74" t="s">
        <v>157</v>
      </c>
      <c r="H86" s="40">
        <v>41709</v>
      </c>
      <c r="I86" s="35">
        <v>103870.9</v>
      </c>
      <c r="J86" s="35" t="str">
        <f>IFERROR(VLOOKUP(CONCATENATE(B86,C86,D86,),Inadimplencia!$A$6:$K$110,6,0),"ATIVO")</f>
        <v>ATIVO</v>
      </c>
      <c r="K86" s="35">
        <f t="shared" si="19"/>
        <v>105762.96</v>
      </c>
      <c r="L86" s="325">
        <f t="shared" si="20"/>
        <v>1.0182154963517214</v>
      </c>
      <c r="M86" s="423" t="str">
        <f t="shared" si="21"/>
        <v>ATIVO1</v>
      </c>
      <c r="N86" s="28"/>
      <c r="T86" s="38"/>
      <c r="U86" s="38"/>
      <c r="V86" s="38"/>
      <c r="W86" s="37"/>
      <c r="X86" s="203" t="str">
        <f t="shared" si="16"/>
        <v>LONDRINA [ETAPA 01 - CONDOMINIO ARAÇARI]ATIVO</v>
      </c>
      <c r="Y86" s="203" t="str">
        <f t="shared" si="17"/>
        <v>XXV18EDINARA FERREIRA</v>
      </c>
      <c r="Z86" s="203" t="str">
        <f t="shared" si="22"/>
        <v>XXV18EDINARA FERREIRA</v>
      </c>
      <c r="AA86" s="427" t="s">
        <v>509</v>
      </c>
      <c r="AB86" s="427">
        <v>18</v>
      </c>
      <c r="AC86" s="428" t="s">
        <v>157</v>
      </c>
      <c r="AD86" s="505">
        <v>105762.96</v>
      </c>
      <c r="AE86" s="506">
        <v>189220.34</v>
      </c>
      <c r="AF86" s="60" t="str">
        <f t="shared" si="23"/>
        <v>EDINARA FERREIRA</v>
      </c>
      <c r="AG86" s="60" t="str">
        <f t="shared" si="24"/>
        <v>OK</v>
      </c>
    </row>
    <row r="87" spans="1:33">
      <c r="A87" s="61" t="str">
        <f t="shared" si="18"/>
        <v>LONDRINA [ETAPA 01 - CONDOMINIO ARAÇARI]XXV20</v>
      </c>
      <c r="B87" s="263" t="s">
        <v>34</v>
      </c>
      <c r="C87" s="337" t="s">
        <v>509</v>
      </c>
      <c r="D87" s="166">
        <v>20</v>
      </c>
      <c r="E87" s="197">
        <v>260</v>
      </c>
      <c r="F87" s="166">
        <v>3589</v>
      </c>
      <c r="G87" s="338" t="s">
        <v>275</v>
      </c>
      <c r="H87" s="40">
        <v>41703</v>
      </c>
      <c r="I87" s="35">
        <v>103869.79</v>
      </c>
      <c r="J87" s="35" t="str">
        <f>IFERROR(VLOOKUP(CONCATENATE(B87,C87,D87,),Inadimplencia!$A$6:$K$110,6,0),"ATIVO")</f>
        <v>ATIVO</v>
      </c>
      <c r="K87" s="35">
        <f t="shared" si="19"/>
        <v>96393.430000000008</v>
      </c>
      <c r="L87" s="325">
        <f t="shared" si="20"/>
        <v>0.9280218049925778</v>
      </c>
      <c r="M87" s="423" t="str">
        <f t="shared" si="21"/>
        <v>ATIVO0</v>
      </c>
      <c r="N87" s="28"/>
      <c r="T87" s="38"/>
      <c r="U87" s="38"/>
      <c r="V87" s="38"/>
      <c r="W87" s="37"/>
      <c r="X87" s="203" t="str">
        <f t="shared" si="16"/>
        <v>LONDRINA [ETAPA 01 - CONDOMINIO ARAÇARI]ATIVO</v>
      </c>
      <c r="Y87" s="203" t="str">
        <f t="shared" si="17"/>
        <v>XXV20JOSE MARIA DE ANDRADE</v>
      </c>
      <c r="Z87" s="203" t="str">
        <f t="shared" si="22"/>
        <v>XXV20JOSE MARIA DE ANDRADE</v>
      </c>
      <c r="AA87" s="427" t="s">
        <v>509</v>
      </c>
      <c r="AB87" s="427">
        <v>20</v>
      </c>
      <c r="AC87" s="428" t="s">
        <v>275</v>
      </c>
      <c r="AD87" s="505">
        <v>96393.430000000008</v>
      </c>
      <c r="AE87" s="506">
        <v>181754.07</v>
      </c>
      <c r="AF87" s="60" t="str">
        <f t="shared" si="23"/>
        <v>JOSE MARIA DE ANDRADE</v>
      </c>
      <c r="AG87" s="60" t="str">
        <f t="shared" si="24"/>
        <v>OK</v>
      </c>
    </row>
    <row r="88" spans="1:33">
      <c r="A88" s="61" t="str">
        <f t="shared" si="18"/>
        <v>LONDRINA [ETAPA 01 - CONDOMINIO ARAÇARI]XXV23</v>
      </c>
      <c r="B88" s="263" t="s">
        <v>34</v>
      </c>
      <c r="C88" s="337" t="s">
        <v>509</v>
      </c>
      <c r="D88" s="73">
        <v>23</v>
      </c>
      <c r="E88" s="315">
        <v>260</v>
      </c>
      <c r="F88" s="166">
        <v>5095</v>
      </c>
      <c r="G88" s="74" t="s">
        <v>1490</v>
      </c>
      <c r="H88" s="40">
        <v>44256</v>
      </c>
      <c r="I88" s="35">
        <v>177627.1</v>
      </c>
      <c r="J88" s="35" t="str">
        <f>IFERROR(VLOOKUP(CONCATENATE(B88,C88,D88,),Inadimplencia!$A$6:$K$110,6,0),"ATIVO")</f>
        <v>ATIVO</v>
      </c>
      <c r="K88" s="35">
        <f t="shared" si="19"/>
        <v>171328.01</v>
      </c>
      <c r="L88" s="325">
        <f t="shared" si="20"/>
        <v>0.9645375621174922</v>
      </c>
      <c r="M88" s="423" t="str">
        <f t="shared" si="21"/>
        <v>ATIVO0</v>
      </c>
      <c r="N88" s="28"/>
      <c r="T88" s="38"/>
      <c r="U88" s="38"/>
      <c r="V88" s="38"/>
      <c r="W88" s="37"/>
      <c r="X88" s="203" t="str">
        <f t="shared" si="16"/>
        <v>LONDRINA [ETAPA 01 - CONDOMINIO ARAÇARI]ATIVO</v>
      </c>
      <c r="Y88" s="203" t="str">
        <f t="shared" si="17"/>
        <v>XXV23SERES DE FATIMA PACHER</v>
      </c>
      <c r="Z88" s="203" t="str">
        <f t="shared" si="22"/>
        <v>XXV23SERES DE FATIMA PACHER</v>
      </c>
      <c r="AA88" s="427" t="s">
        <v>509</v>
      </c>
      <c r="AB88" s="427">
        <v>23</v>
      </c>
      <c r="AC88" s="428" t="s">
        <v>1490</v>
      </c>
      <c r="AD88" s="505">
        <v>171328.01</v>
      </c>
      <c r="AE88" s="506">
        <v>178886.61000000002</v>
      </c>
      <c r="AF88" s="60" t="str">
        <f t="shared" si="23"/>
        <v>SERES DE FATIMA PACHER</v>
      </c>
      <c r="AG88" s="60" t="str">
        <f t="shared" si="24"/>
        <v>OK</v>
      </c>
    </row>
    <row r="89" spans="1:33">
      <c r="A89" s="61" t="str">
        <f t="shared" si="18"/>
        <v>LONDRINA [ETAPA 01 - CONDOMINIO ARAÇARI]XXV25</v>
      </c>
      <c r="B89" s="263" t="s">
        <v>34</v>
      </c>
      <c r="C89" s="337" t="s">
        <v>509</v>
      </c>
      <c r="D89" s="166">
        <v>25</v>
      </c>
      <c r="E89" s="197">
        <v>260</v>
      </c>
      <c r="F89" s="166">
        <v>3832</v>
      </c>
      <c r="G89" s="338" t="s">
        <v>128</v>
      </c>
      <c r="H89" s="40">
        <v>41831</v>
      </c>
      <c r="I89" s="35">
        <v>104825.61</v>
      </c>
      <c r="J89" s="35" t="str">
        <f>IFERROR(VLOOKUP(CONCATENATE(B89,C89,D89,),Inadimplencia!$A$6:$K$110,6,0),"ATIVO")</f>
        <v>ATIVO</v>
      </c>
      <c r="K89" s="35">
        <f t="shared" si="19"/>
        <v>5794.3</v>
      </c>
      <c r="L89" s="325">
        <f t="shared" si="20"/>
        <v>5.5275614422849534E-2</v>
      </c>
      <c r="M89" s="423" t="str">
        <f t="shared" si="21"/>
        <v>ATIVO0</v>
      </c>
      <c r="N89" s="28"/>
      <c r="T89" s="38"/>
      <c r="U89" s="38"/>
      <c r="V89" s="38"/>
      <c r="W89" s="37"/>
      <c r="X89" s="203" t="str">
        <f t="shared" si="16"/>
        <v>LONDRINA [ETAPA 01 - CONDOMINIO ARAÇARI]ATIVO</v>
      </c>
      <c r="Y89" s="203" t="str">
        <f t="shared" si="17"/>
        <v>XXV25DANIELLY NUNES GOMES CIQUINI</v>
      </c>
      <c r="Z89" s="203" t="str">
        <f t="shared" si="22"/>
        <v>XXV25DANIELLY NUNES GOMES CIQUINI</v>
      </c>
      <c r="AA89" s="427" t="s">
        <v>509</v>
      </c>
      <c r="AB89" s="427">
        <v>25</v>
      </c>
      <c r="AC89" s="428" t="s">
        <v>128</v>
      </c>
      <c r="AD89" s="505">
        <v>5794.3</v>
      </c>
      <c r="AE89" s="506">
        <v>142610.01999999999</v>
      </c>
      <c r="AF89" s="60" t="str">
        <f t="shared" si="23"/>
        <v>DANIELLY NUNES GOMES CIQUINI</v>
      </c>
      <c r="AG89" s="60" t="str">
        <f t="shared" si="24"/>
        <v>OK</v>
      </c>
    </row>
    <row r="90" spans="1:33">
      <c r="A90" s="61" t="str">
        <f t="shared" si="18"/>
        <v>LONDRINA [ETAPA 01 - CONDOMINIO ARAÇARI]XXV26</v>
      </c>
      <c r="B90" s="263" t="s">
        <v>34</v>
      </c>
      <c r="C90" s="337" t="s">
        <v>509</v>
      </c>
      <c r="D90" s="73">
        <v>26</v>
      </c>
      <c r="E90" s="315">
        <v>253.97</v>
      </c>
      <c r="F90" s="166">
        <v>3789</v>
      </c>
      <c r="G90" s="74" t="s">
        <v>366</v>
      </c>
      <c r="H90" s="40">
        <v>41806</v>
      </c>
      <c r="I90" s="35">
        <v>103192.39</v>
      </c>
      <c r="J90" s="35" t="str">
        <f>IFERROR(VLOOKUP(CONCATENATE(B90,C90,D90,),Inadimplencia!$A$6:$K$110,6,0),"ATIVO")</f>
        <v>INADIMPLENTE</v>
      </c>
      <c r="K90" s="35">
        <f t="shared" si="19"/>
        <v>191370.97</v>
      </c>
      <c r="L90" s="325">
        <f t="shared" si="20"/>
        <v>1.8545066162340071</v>
      </c>
      <c r="M90" s="423" t="str">
        <f t="shared" si="21"/>
        <v>INADIMPLENTE1</v>
      </c>
      <c r="N90" s="28"/>
      <c r="T90" s="38"/>
      <c r="U90" s="38"/>
      <c r="V90" s="38"/>
      <c r="W90" s="37"/>
      <c r="X90" s="203" t="str">
        <f t="shared" si="16"/>
        <v>LONDRINA [ETAPA 01 - CONDOMINIO ARAÇARI]INADIMPLENTE</v>
      </c>
      <c r="Y90" s="203" t="str">
        <f t="shared" si="17"/>
        <v>XXV26MATEUS DOS SANTOS GONSALES</v>
      </c>
      <c r="Z90" s="203" t="str">
        <f t="shared" si="22"/>
        <v>XXV26MATEUS DOS SANTOS GONSALES</v>
      </c>
      <c r="AA90" s="427" t="s">
        <v>509</v>
      </c>
      <c r="AB90" s="427">
        <v>26</v>
      </c>
      <c r="AC90" s="428" t="s">
        <v>366</v>
      </c>
      <c r="AD90" s="505">
        <v>191370.97</v>
      </c>
      <c r="AE90" s="506">
        <v>251391.37</v>
      </c>
      <c r="AF90" s="60" t="str">
        <f t="shared" si="23"/>
        <v>MATEUS DOS SANTOS GONSALES</v>
      </c>
      <c r="AG90" s="60" t="str">
        <f t="shared" si="24"/>
        <v>OK</v>
      </c>
    </row>
    <row r="91" spans="1:33">
      <c r="A91" s="61" t="str">
        <f t="shared" si="18"/>
        <v>LONDRINA [ETAPA 01 - CONDOMINIO ARAÇARI]XXV - A4</v>
      </c>
      <c r="B91" s="263" t="s">
        <v>34</v>
      </c>
      <c r="C91" s="337" t="s">
        <v>1076</v>
      </c>
      <c r="D91" s="166">
        <v>4</v>
      </c>
      <c r="E91" s="197">
        <v>250.71</v>
      </c>
      <c r="F91" s="166">
        <v>2812</v>
      </c>
      <c r="G91" s="338" t="s">
        <v>486</v>
      </c>
      <c r="H91" s="40">
        <v>41551</v>
      </c>
      <c r="I91" s="35">
        <v>96387.96</v>
      </c>
      <c r="J91" s="35" t="str">
        <f>IFERROR(VLOOKUP(CONCATENATE(B91,C91,D91,),Inadimplencia!$A$6:$K$110,6,0),"ATIVO")</f>
        <v>ATIVO</v>
      </c>
      <c r="K91" s="35">
        <f t="shared" si="19"/>
        <v>66441</v>
      </c>
      <c r="L91" s="325">
        <f t="shared" si="20"/>
        <v>0.68930808370672014</v>
      </c>
      <c r="M91" s="423" t="str">
        <f t="shared" si="21"/>
        <v>ATIVO0</v>
      </c>
      <c r="N91" s="28"/>
      <c r="T91" s="38"/>
      <c r="U91" s="38"/>
      <c r="V91" s="38"/>
      <c r="W91" s="37"/>
      <c r="X91" s="203" t="str">
        <f t="shared" si="16"/>
        <v>LONDRINA [ETAPA 01 - CONDOMINIO ARAÇARI]ATIVO</v>
      </c>
      <c r="Y91" s="203" t="str">
        <f t="shared" si="17"/>
        <v>XXV - A4WILSON ALVES DE ANDRADE</v>
      </c>
      <c r="Z91" s="203" t="str">
        <f t="shared" si="22"/>
        <v>XXV - A4WILSON ALVES DE ANDRADE</v>
      </c>
      <c r="AA91" s="427" t="s">
        <v>1076</v>
      </c>
      <c r="AB91" s="427">
        <v>4</v>
      </c>
      <c r="AC91" s="428" t="s">
        <v>486</v>
      </c>
      <c r="AD91" s="505">
        <v>66441</v>
      </c>
      <c r="AE91" s="506">
        <v>156039.47</v>
      </c>
      <c r="AF91" s="60" t="str">
        <f t="shared" si="23"/>
        <v>WILSON ALVES DE ANDRADE</v>
      </c>
      <c r="AG91" s="60" t="str">
        <f t="shared" si="24"/>
        <v>OK</v>
      </c>
    </row>
    <row r="92" spans="1:33">
      <c r="A92" s="61" t="str">
        <f t="shared" si="18"/>
        <v>LONDRINA [ETAPA 01 - CONDOMINIO ARAÇARI]XXV - A6</v>
      </c>
      <c r="B92" s="263" t="s">
        <v>34</v>
      </c>
      <c r="C92" s="337" t="s">
        <v>1076</v>
      </c>
      <c r="D92" s="73">
        <v>6</v>
      </c>
      <c r="E92" s="315">
        <v>250.71</v>
      </c>
      <c r="F92" s="166">
        <v>2631</v>
      </c>
      <c r="G92" s="74" t="s">
        <v>321</v>
      </c>
      <c r="H92" s="40">
        <v>41431</v>
      </c>
      <c r="I92" s="35">
        <v>90731.95</v>
      </c>
      <c r="J92" s="35" t="str">
        <f>IFERROR(VLOOKUP(CONCATENATE(B92,C92,D92,),Inadimplencia!$A$6:$K$110,6,0),"ATIVO")</f>
        <v>ATIVO</v>
      </c>
      <c r="K92" s="35">
        <f t="shared" si="19"/>
        <v>10808.68</v>
      </c>
      <c r="L92" s="325">
        <f t="shared" si="20"/>
        <v>0.11912760609686004</v>
      </c>
      <c r="M92" s="423" t="str">
        <f t="shared" si="21"/>
        <v>ATIVO0</v>
      </c>
      <c r="N92" s="28"/>
      <c r="T92" s="38"/>
      <c r="U92" s="38"/>
      <c r="V92" s="38"/>
      <c r="W92" s="37"/>
      <c r="X92" s="203" t="str">
        <f t="shared" si="16"/>
        <v>LONDRINA [ETAPA 01 - CONDOMINIO ARAÇARI]ATIVO</v>
      </c>
      <c r="Y92" s="203" t="str">
        <f t="shared" si="17"/>
        <v>XXV - A6LUIZ HIROAKI SATO</v>
      </c>
      <c r="Z92" s="203" t="str">
        <f t="shared" si="22"/>
        <v>XXV - A6LUIZ HIROAKI SATO</v>
      </c>
      <c r="AA92" s="427" t="s">
        <v>1076</v>
      </c>
      <c r="AB92" s="427">
        <v>6</v>
      </c>
      <c r="AC92" s="428" t="s">
        <v>321</v>
      </c>
      <c r="AD92" s="505">
        <v>10808.68</v>
      </c>
      <c r="AE92" s="506">
        <v>118851.99</v>
      </c>
      <c r="AF92" s="60" t="str">
        <f t="shared" si="23"/>
        <v>LUIZ HIROAKI SATO</v>
      </c>
      <c r="AG92" s="60" t="str">
        <f t="shared" si="24"/>
        <v>OK</v>
      </c>
    </row>
    <row r="93" spans="1:33">
      <c r="A93" s="61" t="str">
        <f t="shared" si="18"/>
        <v>LONDRINA [ETAPA 01 - CONDOMINIO ARAÇARI]XXV - A8</v>
      </c>
      <c r="B93" s="263" t="s">
        <v>34</v>
      </c>
      <c r="C93" s="337" t="s">
        <v>1076</v>
      </c>
      <c r="D93" s="166">
        <v>8</v>
      </c>
      <c r="E93" s="197">
        <v>250.71</v>
      </c>
      <c r="F93" s="166">
        <v>2407</v>
      </c>
      <c r="G93" s="338" t="s">
        <v>236</v>
      </c>
      <c r="H93" s="40">
        <v>41431</v>
      </c>
      <c r="I93" s="35">
        <v>90731.95</v>
      </c>
      <c r="J93" s="35" t="str">
        <f>IFERROR(VLOOKUP(CONCATENATE(B93,C93,D93,),Inadimplencia!$A$6:$K$110,6,0),"ATIVO")</f>
        <v>ATIVO</v>
      </c>
      <c r="K93" s="35">
        <f t="shared" si="19"/>
        <v>12193.050000000001</v>
      </c>
      <c r="L93" s="325">
        <f t="shared" si="20"/>
        <v>0.13438540668419449</v>
      </c>
      <c r="M93" s="423" t="str">
        <f t="shared" si="21"/>
        <v>ATIVO0</v>
      </c>
      <c r="N93" s="28"/>
      <c r="T93" s="38"/>
      <c r="U93" s="38"/>
      <c r="V93" s="38"/>
      <c r="W93" s="37"/>
      <c r="X93" s="203" t="str">
        <f t="shared" si="16"/>
        <v>LONDRINA [ETAPA 01 - CONDOMINIO ARAÇARI]ATIVO</v>
      </c>
      <c r="Y93" s="203" t="str">
        <f t="shared" si="17"/>
        <v>XXV - A8HELIO YASSUO NISHIMURA</v>
      </c>
      <c r="Z93" s="203" t="str">
        <f t="shared" si="22"/>
        <v>XXV - A8HELIO YASSUO NISHIMURA</v>
      </c>
      <c r="AA93" s="427" t="s">
        <v>1076</v>
      </c>
      <c r="AB93" s="427">
        <v>8</v>
      </c>
      <c r="AC93" s="428" t="s">
        <v>236</v>
      </c>
      <c r="AD93" s="505">
        <v>12193.050000000001</v>
      </c>
      <c r="AE93" s="506">
        <v>118851.68000000001</v>
      </c>
      <c r="AF93" s="60" t="str">
        <f t="shared" si="23"/>
        <v>HELIO YASSUO NISHIMURA</v>
      </c>
      <c r="AG93" s="60" t="str">
        <f t="shared" si="24"/>
        <v>OK</v>
      </c>
    </row>
    <row r="94" spans="1:33">
      <c r="A94" s="61" t="str">
        <f t="shared" si="18"/>
        <v>LONDRINA [ETAPA 01 - CONDOMINIO ARAÇARI]XXV - A9</v>
      </c>
      <c r="B94" s="263" t="s">
        <v>34</v>
      </c>
      <c r="C94" s="337" t="s">
        <v>1076</v>
      </c>
      <c r="D94" s="73">
        <v>9</v>
      </c>
      <c r="E94" s="315">
        <v>250.71</v>
      </c>
      <c r="F94" s="166">
        <v>2408</v>
      </c>
      <c r="G94" s="74" t="s">
        <v>236</v>
      </c>
      <c r="H94" s="40">
        <v>41431</v>
      </c>
      <c r="I94" s="35">
        <v>90731.95</v>
      </c>
      <c r="J94" s="35" t="str">
        <f>IFERROR(VLOOKUP(CONCATENATE(B94,C94,D94,),Inadimplencia!$A$6:$K$110,6,0),"ATIVO")</f>
        <v>ATIVO</v>
      </c>
      <c r="K94" s="35">
        <f t="shared" si="19"/>
        <v>12193.050000000001</v>
      </c>
      <c r="L94" s="325">
        <f t="shared" si="20"/>
        <v>0.13438540668419449</v>
      </c>
      <c r="M94" s="423" t="str">
        <f t="shared" si="21"/>
        <v>ATIVO0</v>
      </c>
      <c r="N94" s="28"/>
      <c r="T94" s="38"/>
      <c r="U94" s="38"/>
      <c r="V94" s="38"/>
      <c r="W94" s="37"/>
      <c r="X94" s="203" t="str">
        <f t="shared" si="16"/>
        <v>LONDRINA [ETAPA 01 - CONDOMINIO ARAÇARI]ATIVO</v>
      </c>
      <c r="Y94" s="203" t="str">
        <f t="shared" si="17"/>
        <v>XXV - A9HELIO YASSUO NISHIMURA</v>
      </c>
      <c r="Z94" s="203" t="str">
        <f t="shared" si="22"/>
        <v>XXV - A9HELIO YASSUO NISHIMURA</v>
      </c>
      <c r="AA94" s="427" t="s">
        <v>1076</v>
      </c>
      <c r="AB94" s="427">
        <v>9</v>
      </c>
      <c r="AC94" s="428" t="s">
        <v>236</v>
      </c>
      <c r="AD94" s="505">
        <v>12193.050000000001</v>
      </c>
      <c r="AE94" s="506">
        <v>118850.68000000001</v>
      </c>
      <c r="AF94" s="60" t="str">
        <f t="shared" si="23"/>
        <v>HELIO YASSUO NISHIMURA</v>
      </c>
      <c r="AG94" s="60" t="str">
        <f t="shared" si="24"/>
        <v>OK</v>
      </c>
    </row>
    <row r="95" spans="1:33">
      <c r="A95" s="61" t="str">
        <f t="shared" si="18"/>
        <v>LONDRINA [ETAPA 01 - CONDOMINIO ARAÇARI]XXV - A11</v>
      </c>
      <c r="B95" s="263" t="s">
        <v>34</v>
      </c>
      <c r="C95" s="337" t="s">
        <v>1076</v>
      </c>
      <c r="D95" s="166">
        <v>11</v>
      </c>
      <c r="E95" s="197">
        <v>250.71</v>
      </c>
      <c r="F95" s="166">
        <v>2429</v>
      </c>
      <c r="G95" s="338" t="s">
        <v>295</v>
      </c>
      <c r="H95" s="40">
        <v>41452</v>
      </c>
      <c r="I95" s="35">
        <v>90731.95</v>
      </c>
      <c r="J95" s="35" t="str">
        <f>IFERROR(VLOOKUP(CONCATENATE(B95,C95,D95,),Inadimplencia!$A$6:$K$110,6,0),"ATIVO")</f>
        <v>INADIMPLENTE</v>
      </c>
      <c r="K95" s="35">
        <f t="shared" si="19"/>
        <v>76891.02</v>
      </c>
      <c r="L95" s="325">
        <f t="shared" si="20"/>
        <v>0.84745252361488987</v>
      </c>
      <c r="M95" s="423" t="str">
        <f t="shared" si="21"/>
        <v>INADIMPLENTE0</v>
      </c>
      <c r="N95" s="28"/>
      <c r="T95" s="38"/>
      <c r="U95" s="38"/>
      <c r="V95" s="38"/>
      <c r="W95" s="37"/>
      <c r="X95" s="203" t="str">
        <f t="shared" si="16"/>
        <v>LONDRINA [ETAPA 01 - CONDOMINIO ARAÇARI]INADIMPLENTE</v>
      </c>
      <c r="Y95" s="203" t="str">
        <f t="shared" si="17"/>
        <v>XXV - A11KEIGO FUKUDA</v>
      </c>
      <c r="Z95" s="203" t="str">
        <f t="shared" si="22"/>
        <v>XXV - A11KEIGO FUKUDA</v>
      </c>
      <c r="AA95" s="427" t="s">
        <v>1076</v>
      </c>
      <c r="AB95" s="427">
        <v>11</v>
      </c>
      <c r="AC95" s="428" t="s">
        <v>295</v>
      </c>
      <c r="AD95" s="505">
        <v>76891.02</v>
      </c>
      <c r="AE95" s="506">
        <v>159964.81</v>
      </c>
      <c r="AF95" s="60" t="str">
        <f t="shared" si="23"/>
        <v>KEIGO FUKUDA</v>
      </c>
      <c r="AG95" s="60" t="str">
        <f t="shared" si="24"/>
        <v>OK</v>
      </c>
    </row>
    <row r="96" spans="1:33">
      <c r="A96" s="61" t="str">
        <f t="shared" si="18"/>
        <v>LONDRINA [ETAPA 01 - CONDOMINIO ARAÇARI]XXV - A14</v>
      </c>
      <c r="B96" s="263" t="s">
        <v>34</v>
      </c>
      <c r="C96" s="337" t="s">
        <v>1076</v>
      </c>
      <c r="D96" s="166">
        <v>14</v>
      </c>
      <c r="E96" s="197">
        <v>257.62</v>
      </c>
      <c r="F96" s="166">
        <v>2561</v>
      </c>
      <c r="G96" s="338" t="s">
        <v>360</v>
      </c>
      <c r="H96" s="40">
        <v>41445</v>
      </c>
      <c r="I96" s="35">
        <v>93232.68</v>
      </c>
      <c r="J96" s="35" t="str">
        <f>IFERROR(VLOOKUP(CONCATENATE(B96,C96,D96,),Inadimplencia!$A$6:$K$110,6,0),"ATIVO")</f>
        <v>ATIVO</v>
      </c>
      <c r="K96" s="35">
        <f t="shared" si="19"/>
        <v>16482.420000000002</v>
      </c>
      <c r="L96" s="325">
        <f t="shared" si="20"/>
        <v>0.17678801038434167</v>
      </c>
      <c r="M96" s="423" t="str">
        <f t="shared" si="21"/>
        <v>ATIVO0</v>
      </c>
      <c r="N96" s="28"/>
      <c r="T96" s="38"/>
      <c r="U96" s="38"/>
      <c r="V96" s="38"/>
      <c r="W96" s="37"/>
      <c r="X96" s="203" t="str">
        <f t="shared" si="16"/>
        <v>LONDRINA [ETAPA 01 - CONDOMINIO ARAÇARI]ATIVO</v>
      </c>
      <c r="Y96" s="203" t="str">
        <f t="shared" si="17"/>
        <v>XXV - A14MARLENE MOREIRA DA SILVA</v>
      </c>
      <c r="Z96" s="203" t="str">
        <f t="shared" si="22"/>
        <v>XXV - A14MARLENE MOREIRA DA SILVA</v>
      </c>
      <c r="AA96" s="427" t="s">
        <v>1076</v>
      </c>
      <c r="AB96" s="427">
        <v>14</v>
      </c>
      <c r="AC96" s="428" t="s">
        <v>360</v>
      </c>
      <c r="AD96" s="505">
        <v>16482.420000000002</v>
      </c>
      <c r="AE96" s="506">
        <v>128768.18000000001</v>
      </c>
      <c r="AF96" s="60" t="str">
        <f t="shared" si="23"/>
        <v>MARLENE MOREIRA DA SILVA</v>
      </c>
      <c r="AG96" s="60" t="str">
        <f t="shared" si="24"/>
        <v>OK</v>
      </c>
    </row>
    <row r="97" spans="1:33">
      <c r="A97" s="61" t="str">
        <f t="shared" si="18"/>
        <v>LONDRINA [ETAPA 01 - CONDOMINIO ARAÇARI]XXV - A16</v>
      </c>
      <c r="B97" s="263" t="s">
        <v>34</v>
      </c>
      <c r="C97" s="337" t="s">
        <v>1076</v>
      </c>
      <c r="D97" s="166">
        <v>16</v>
      </c>
      <c r="E97" s="197">
        <v>257.62</v>
      </c>
      <c r="F97" s="166">
        <v>2444</v>
      </c>
      <c r="G97" s="338" t="s">
        <v>195</v>
      </c>
      <c r="H97" s="40">
        <v>41445</v>
      </c>
      <c r="I97" s="35">
        <v>93232.68</v>
      </c>
      <c r="J97" s="35" t="str">
        <f>IFERROR(VLOOKUP(CONCATENATE(B97,C97,D97,),Inadimplencia!$A$6:$K$110,6,0),"ATIVO")</f>
        <v>ATIVO</v>
      </c>
      <c r="K97" s="35">
        <f t="shared" si="19"/>
        <v>94388.37</v>
      </c>
      <c r="L97" s="325">
        <f t="shared" si="20"/>
        <v>1.012395760799754</v>
      </c>
      <c r="M97" s="423" t="str">
        <f t="shared" si="21"/>
        <v>ATIVO1</v>
      </c>
      <c r="T97" s="38"/>
      <c r="U97" s="38"/>
      <c r="V97" s="38"/>
      <c r="X97" s="203" t="str">
        <f t="shared" si="16"/>
        <v>LONDRINA [ETAPA 01 - CONDOMINIO ARAÇARI]ATIVO</v>
      </c>
      <c r="Y97" s="203" t="str">
        <f t="shared" si="17"/>
        <v>XXV - A16EVERALDO FIORINI DE OLIVEIRA</v>
      </c>
      <c r="Z97" s="203" t="str">
        <f t="shared" si="22"/>
        <v>XXV - A16EVERALDO FIORINI DE OLIVEIRA</v>
      </c>
      <c r="AA97" s="427" t="s">
        <v>1076</v>
      </c>
      <c r="AB97" s="427">
        <v>16</v>
      </c>
      <c r="AC97" s="428" t="s">
        <v>195</v>
      </c>
      <c r="AD97" s="505">
        <v>94388.37</v>
      </c>
      <c r="AE97" s="506">
        <v>183071.87</v>
      </c>
      <c r="AF97" s="60" t="str">
        <f t="shared" si="23"/>
        <v>EVERALDO FIORINI DE OLIVEIRA</v>
      </c>
      <c r="AG97" s="60" t="str">
        <f t="shared" si="24"/>
        <v>OK</v>
      </c>
    </row>
    <row r="98" spans="1:33">
      <c r="A98" s="61" t="str">
        <f t="shared" si="18"/>
        <v>LONDRINA [ETAPA 01 - CONDOMINIO ARAÇARI]XXV - A18</v>
      </c>
      <c r="B98" s="263" t="s">
        <v>34</v>
      </c>
      <c r="C98" s="337" t="s">
        <v>1076</v>
      </c>
      <c r="D98" s="73">
        <v>18</v>
      </c>
      <c r="E98" s="315">
        <v>257.62</v>
      </c>
      <c r="F98" s="166">
        <v>4738</v>
      </c>
      <c r="G98" s="74" t="s">
        <v>1274</v>
      </c>
      <c r="H98" s="40">
        <v>44046</v>
      </c>
      <c r="I98" s="35">
        <v>158132.89000000001</v>
      </c>
      <c r="J98" s="35" t="str">
        <f>IFERROR(VLOOKUP(CONCATENATE(B98,C98,D98,),Inadimplencia!$A$6:$K$110,6,0),"ATIVO")</f>
        <v>ATIVO</v>
      </c>
      <c r="K98" s="35">
        <f t="shared" si="19"/>
        <v>160690.75</v>
      </c>
      <c r="L98" s="325">
        <f t="shared" si="20"/>
        <v>1.0161753826164814</v>
      </c>
      <c r="M98" s="423" t="str">
        <f t="shared" si="21"/>
        <v>ATIVO1</v>
      </c>
      <c r="N98" s="28"/>
      <c r="T98" s="38"/>
      <c r="U98" s="38"/>
      <c r="V98" s="38"/>
      <c r="X98" s="203" t="str">
        <f t="shared" si="16"/>
        <v>LONDRINA [ETAPA 01 - CONDOMINIO ARAÇARI]ATIVO</v>
      </c>
      <c r="Y98" s="203" t="str">
        <f t="shared" si="17"/>
        <v>XXV - A18ALEXANDRE GREIN</v>
      </c>
      <c r="Z98" s="203" t="str">
        <f t="shared" si="22"/>
        <v>XXV - A18ALEXANDRE GREIN</v>
      </c>
      <c r="AA98" s="427" t="s">
        <v>1076</v>
      </c>
      <c r="AB98" s="427">
        <v>18</v>
      </c>
      <c r="AC98" s="428" t="s">
        <v>1274</v>
      </c>
      <c r="AD98" s="505">
        <v>160690.75</v>
      </c>
      <c r="AE98" s="506">
        <v>177156.38</v>
      </c>
      <c r="AF98" s="60" t="str">
        <f t="shared" si="23"/>
        <v>ALEXANDRE GREIN</v>
      </c>
      <c r="AG98" s="60" t="str">
        <f t="shared" si="24"/>
        <v>OK</v>
      </c>
    </row>
    <row r="99" spans="1:33">
      <c r="A99" s="61" t="str">
        <f t="shared" si="18"/>
        <v>LONDRINA [ETAPA 01 - CONDOMINIO ARAÇARI]XXV - A20</v>
      </c>
      <c r="B99" s="263" t="s">
        <v>34</v>
      </c>
      <c r="C99" s="337" t="s">
        <v>1076</v>
      </c>
      <c r="D99" s="166">
        <v>20</v>
      </c>
      <c r="E99" s="197">
        <v>257.62</v>
      </c>
      <c r="F99" s="166">
        <v>3567</v>
      </c>
      <c r="G99" s="338" t="s">
        <v>331</v>
      </c>
      <c r="H99" s="40">
        <v>41687</v>
      </c>
      <c r="I99" s="35">
        <v>94899.03</v>
      </c>
      <c r="J99" s="35" t="str">
        <f>IFERROR(VLOOKUP(CONCATENATE(B99,C99,D99,),Inadimplencia!$A$6:$K$110,6,0),"ATIVO")</f>
        <v>ATIVO</v>
      </c>
      <c r="K99" s="35">
        <f t="shared" si="19"/>
        <v>98021.95</v>
      </c>
      <c r="L99" s="325">
        <f t="shared" si="20"/>
        <v>1.0329078179197406</v>
      </c>
      <c r="M99" s="423" t="str">
        <f t="shared" si="21"/>
        <v>ATIVO1</v>
      </c>
      <c r="N99" s="28"/>
      <c r="W99" s="37"/>
      <c r="X99" s="203" t="str">
        <f t="shared" si="16"/>
        <v>LONDRINA [ETAPA 01 - CONDOMINIO ARAÇARI]ATIVO</v>
      </c>
      <c r="Y99" s="203" t="str">
        <f t="shared" si="17"/>
        <v>XXV - A20MARCELO JOSE SIMOES DE OLIVEIRA</v>
      </c>
      <c r="Z99" s="203" t="str">
        <f t="shared" si="22"/>
        <v>XXV - A20MARCELO JOSE SIMOES DE OLIVEIRA</v>
      </c>
      <c r="AA99" s="427" t="s">
        <v>1076</v>
      </c>
      <c r="AB99" s="427">
        <v>20</v>
      </c>
      <c r="AC99" s="428" t="s">
        <v>331</v>
      </c>
      <c r="AD99" s="505">
        <v>98021.95</v>
      </c>
      <c r="AE99" s="506">
        <v>174887.6</v>
      </c>
      <c r="AF99" s="60" t="str">
        <f t="shared" si="23"/>
        <v>MARCELO JOSE SIMOES DE OLIVEIRA</v>
      </c>
      <c r="AG99" s="60" t="str">
        <f t="shared" si="24"/>
        <v>OK</v>
      </c>
    </row>
    <row r="100" spans="1:33">
      <c r="A100" s="61" t="str">
        <f t="shared" si="18"/>
        <v>LONDRINA [ETAPA 01 - CONDOMINIO ARAÇARI]XXV - A21</v>
      </c>
      <c r="B100" s="263" t="s">
        <v>34</v>
      </c>
      <c r="C100" s="337" t="s">
        <v>1076</v>
      </c>
      <c r="D100" s="73">
        <v>21</v>
      </c>
      <c r="E100" s="315">
        <v>257.62</v>
      </c>
      <c r="F100" s="166">
        <v>3568</v>
      </c>
      <c r="G100" s="74" t="s">
        <v>331</v>
      </c>
      <c r="H100" s="40">
        <v>41687</v>
      </c>
      <c r="I100" s="35">
        <v>94899.01</v>
      </c>
      <c r="J100" s="35" t="str">
        <f>IFERROR(VLOOKUP(CONCATENATE(B100,C100,D100,),Inadimplencia!$A$6:$K$110,6,0),"ATIVO")</f>
        <v>ATIVO</v>
      </c>
      <c r="K100" s="35">
        <f t="shared" si="19"/>
        <v>98021.95</v>
      </c>
      <c r="L100" s="325">
        <f t="shared" si="20"/>
        <v>1.0329080356054294</v>
      </c>
      <c r="M100" s="423" t="str">
        <f t="shared" si="21"/>
        <v>ATIVO1</v>
      </c>
      <c r="N100" s="28"/>
      <c r="T100" s="38"/>
      <c r="U100" s="38"/>
      <c r="V100" s="38"/>
      <c r="W100" s="37"/>
      <c r="X100" s="203" t="str">
        <f t="shared" si="16"/>
        <v>LONDRINA [ETAPA 01 - CONDOMINIO ARAÇARI]ATIVO</v>
      </c>
      <c r="Y100" s="203" t="str">
        <f t="shared" si="17"/>
        <v>XXV - A21MARCELO JOSE SIMOES DE OLIVEIRA</v>
      </c>
      <c r="Z100" s="203" t="str">
        <f t="shared" si="22"/>
        <v>XXV - A21MARCELO JOSE SIMOES DE OLIVEIRA</v>
      </c>
      <c r="AA100" s="427" t="s">
        <v>1076</v>
      </c>
      <c r="AB100" s="427">
        <v>21</v>
      </c>
      <c r="AC100" s="428" t="s">
        <v>331</v>
      </c>
      <c r="AD100" s="505">
        <v>98021.95</v>
      </c>
      <c r="AE100" s="506">
        <v>174887.6</v>
      </c>
      <c r="AF100" s="60" t="str">
        <f t="shared" si="23"/>
        <v>MARCELO JOSE SIMOES DE OLIVEIRA</v>
      </c>
      <c r="AG100" s="60" t="str">
        <f t="shared" si="24"/>
        <v>OK</v>
      </c>
    </row>
    <row r="101" spans="1:33">
      <c r="A101" s="61" t="str">
        <f t="shared" si="18"/>
        <v>LONDRINA [ETAPA 01 - CONDOMINIO ARAÇARI]XXV - A23</v>
      </c>
      <c r="B101" s="263" t="s">
        <v>34</v>
      </c>
      <c r="C101" s="337" t="s">
        <v>1076</v>
      </c>
      <c r="D101" s="166">
        <v>23</v>
      </c>
      <c r="E101" s="197">
        <v>257.62</v>
      </c>
      <c r="F101" s="166">
        <v>3911</v>
      </c>
      <c r="G101" s="338" t="s">
        <v>445</v>
      </c>
      <c r="H101" s="40">
        <v>41893</v>
      </c>
      <c r="I101" s="35">
        <v>113754.98</v>
      </c>
      <c r="J101" s="35" t="str">
        <f>IFERROR(VLOOKUP(CONCATENATE(B101,C101,D101,),Inadimplencia!$A$6:$K$110,6,0),"ATIVO")</f>
        <v>ATIVO</v>
      </c>
      <c r="K101" s="35">
        <f t="shared" si="19"/>
        <v>115520.2</v>
      </c>
      <c r="L101" s="325">
        <f t="shared" si="20"/>
        <v>1.0155177382124281</v>
      </c>
      <c r="M101" s="423" t="str">
        <f t="shared" si="21"/>
        <v>ATIVO1</v>
      </c>
      <c r="N101" s="28"/>
      <c r="T101" s="38"/>
      <c r="U101" s="38"/>
      <c r="V101" s="38"/>
      <c r="W101" s="37"/>
      <c r="X101" s="203" t="str">
        <f t="shared" si="16"/>
        <v>LONDRINA [ETAPA 01 - CONDOMINIO ARAÇARI]ATIVO</v>
      </c>
      <c r="Y101" s="203" t="str">
        <f t="shared" si="17"/>
        <v>XXV - A23SILVIA HELENA FIORINI ALVES</v>
      </c>
      <c r="Z101" s="203" t="str">
        <f t="shared" si="22"/>
        <v>XXV - A23SILVIA HELENA FIORINI ALVES</v>
      </c>
      <c r="AA101" s="427" t="s">
        <v>1076</v>
      </c>
      <c r="AB101" s="427">
        <v>23</v>
      </c>
      <c r="AC101" s="428" t="s">
        <v>445</v>
      </c>
      <c r="AD101" s="505">
        <v>115520.2</v>
      </c>
      <c r="AE101" s="506">
        <v>201905.51</v>
      </c>
      <c r="AF101" s="60" t="str">
        <f t="shared" si="23"/>
        <v>SILVIA HELENA FIORINI ALVES</v>
      </c>
      <c r="AG101" s="60" t="str">
        <f t="shared" si="24"/>
        <v>OK</v>
      </c>
    </row>
    <row r="102" spans="1:33">
      <c r="A102" s="61" t="str">
        <f t="shared" si="18"/>
        <v>LONDRINA [ETAPA 02 - AREAS EXTERNAS G2 - G6]VIII1</v>
      </c>
      <c r="B102" s="263" t="s">
        <v>38</v>
      </c>
      <c r="C102" s="337" t="s">
        <v>533</v>
      </c>
      <c r="D102" s="73">
        <v>1</v>
      </c>
      <c r="E102" s="315">
        <v>359.22</v>
      </c>
      <c r="F102" s="166">
        <v>2580</v>
      </c>
      <c r="G102" s="74" t="s">
        <v>228</v>
      </c>
      <c r="H102" s="40">
        <v>41444</v>
      </c>
      <c r="I102" s="35">
        <v>113456.04</v>
      </c>
      <c r="J102" s="35" t="str">
        <f>IFERROR(VLOOKUP(CONCATENATE(B102,C102,D102,),Inadimplencia!$A$6:$K$110,6,0),"ATIVO")</f>
        <v>ATIVO</v>
      </c>
      <c r="K102" s="35">
        <f t="shared" si="19"/>
        <v>114855.86</v>
      </c>
      <c r="L102" s="325">
        <f t="shared" si="20"/>
        <v>1.0123379945219313</v>
      </c>
      <c r="M102" s="423" t="str">
        <f t="shared" si="21"/>
        <v>ATIVO1</v>
      </c>
      <c r="N102" s="28"/>
      <c r="T102" s="38"/>
      <c r="U102" s="38"/>
      <c r="V102" s="38"/>
      <c r="W102" s="37"/>
      <c r="X102" s="203" t="str">
        <f t="shared" si="16"/>
        <v>LONDRINA [ETAPA 02 - AREAS EXTERNAS G2 - G6]ATIVO</v>
      </c>
      <c r="Y102" s="203" t="str">
        <f t="shared" si="17"/>
        <v>VIII1GMO EMPREENDIMENTOS E ASSESSORIA EMPRESARIAL LTDA</v>
      </c>
      <c r="Z102" s="203" t="str">
        <f t="shared" si="22"/>
        <v>VIII1GMO EMPREENDIMENTOS E ASSESSORIA EMPRESARIAL LTDA</v>
      </c>
      <c r="AA102" s="427" t="s">
        <v>533</v>
      </c>
      <c r="AB102" s="427">
        <v>1</v>
      </c>
      <c r="AC102" s="428" t="s">
        <v>228</v>
      </c>
      <c r="AD102" s="505">
        <v>114855.86</v>
      </c>
      <c r="AE102" s="506">
        <v>222996.43</v>
      </c>
      <c r="AF102" s="60" t="str">
        <f t="shared" si="23"/>
        <v>GMO EMPREENDIMENTOS E ASSESSORIA EMPRESARIAL LTDA</v>
      </c>
      <c r="AG102" s="60" t="str">
        <f t="shared" si="24"/>
        <v>OK</v>
      </c>
    </row>
    <row r="103" spans="1:33">
      <c r="A103" s="61" t="str">
        <f t="shared" si="18"/>
        <v>LONDRINA [ETAPA 02 - AREAS EXTERNAS G2 - G6]VIII3</v>
      </c>
      <c r="B103" s="263" t="s">
        <v>38</v>
      </c>
      <c r="C103" s="337" t="s">
        <v>533</v>
      </c>
      <c r="D103" s="166">
        <v>3</v>
      </c>
      <c r="E103" s="197">
        <v>251.25</v>
      </c>
      <c r="F103" s="166">
        <v>2419</v>
      </c>
      <c r="G103" s="338" t="s">
        <v>261</v>
      </c>
      <c r="H103" s="40">
        <v>41445</v>
      </c>
      <c r="I103" s="35">
        <v>79354.8</v>
      </c>
      <c r="J103" s="35" t="str">
        <f>IFERROR(VLOOKUP(CONCATENATE(B103,C103,D103,),Inadimplencia!$A$6:$K$110,6,0),"ATIVO")</f>
        <v>ATIVO</v>
      </c>
      <c r="K103" s="35">
        <f t="shared" si="19"/>
        <v>80728.75</v>
      </c>
      <c r="L103" s="325">
        <f t="shared" si="20"/>
        <v>1.0173140125109004</v>
      </c>
      <c r="M103" s="423" t="str">
        <f t="shared" si="21"/>
        <v>ATIVO1</v>
      </c>
      <c r="N103" s="28"/>
      <c r="T103" s="38"/>
      <c r="U103" s="38"/>
      <c r="V103" s="38"/>
      <c r="W103" s="37"/>
      <c r="X103" s="203" t="str">
        <f t="shared" si="16"/>
        <v>LONDRINA [ETAPA 02 - AREAS EXTERNAS G2 - G6]ATIVO</v>
      </c>
      <c r="Y103" s="203" t="str">
        <f t="shared" si="17"/>
        <v>VIII3JOAO CARVALHO DE SOUZA</v>
      </c>
      <c r="Z103" s="203" t="str">
        <f t="shared" si="22"/>
        <v>VIII3JOAO CARVALHO DE SOUZA</v>
      </c>
      <c r="AA103" s="427" t="s">
        <v>533</v>
      </c>
      <c r="AB103" s="427">
        <v>3</v>
      </c>
      <c r="AC103" s="428" t="s">
        <v>261</v>
      </c>
      <c r="AD103" s="505">
        <v>80728.75</v>
      </c>
      <c r="AE103" s="506">
        <v>155991.56</v>
      </c>
      <c r="AF103" s="60" t="str">
        <f t="shared" si="23"/>
        <v>JOAO CARVALHO DE SOUZA</v>
      </c>
      <c r="AG103" s="60" t="str">
        <f t="shared" si="24"/>
        <v>OK</v>
      </c>
    </row>
    <row r="104" spans="1:33">
      <c r="A104" s="61" t="str">
        <f t="shared" si="18"/>
        <v>LONDRINA [ETAPA 02 - AREAS EXTERNAS G2 - G6]VIII12</v>
      </c>
      <c r="B104" s="263" t="s">
        <v>38</v>
      </c>
      <c r="C104" s="337" t="s">
        <v>533</v>
      </c>
      <c r="D104" s="73">
        <v>12</v>
      </c>
      <c r="E104" s="315">
        <v>251.25</v>
      </c>
      <c r="F104" s="166">
        <v>4782</v>
      </c>
      <c r="G104" s="74" t="s">
        <v>1322</v>
      </c>
      <c r="H104" s="40">
        <v>44085</v>
      </c>
      <c r="I104" s="35">
        <v>141000</v>
      </c>
      <c r="J104" s="35" t="str">
        <f>IFERROR(VLOOKUP(CONCATENATE(B104,C104,D104,),Inadimplencia!$A$6:$K$110,6,0),"ATIVO")</f>
        <v>ATIVO</v>
      </c>
      <c r="K104" s="35">
        <f t="shared" si="19"/>
        <v>87824.400000000009</v>
      </c>
      <c r="L104" s="325">
        <f t="shared" si="20"/>
        <v>0.62286808510638303</v>
      </c>
      <c r="M104" s="423" t="str">
        <f t="shared" si="21"/>
        <v>ATIVO0</v>
      </c>
      <c r="N104" s="28"/>
      <c r="T104" s="38"/>
      <c r="U104" s="38"/>
      <c r="V104" s="38"/>
      <c r="W104" s="37"/>
      <c r="X104" s="203" t="str">
        <f t="shared" si="16"/>
        <v>LONDRINA [ETAPA 02 - AREAS EXTERNAS G2 - G6]ATIVO</v>
      </c>
      <c r="Y104" s="203" t="str">
        <f t="shared" si="17"/>
        <v>VIII12GUILHERME STELLBRINK</v>
      </c>
      <c r="Z104" s="203" t="str">
        <f t="shared" si="22"/>
        <v>VIII12GUILHERME STELLBRINK</v>
      </c>
      <c r="AA104" s="427" t="s">
        <v>533</v>
      </c>
      <c r="AB104" s="427">
        <v>12</v>
      </c>
      <c r="AC104" s="428" t="s">
        <v>1322</v>
      </c>
      <c r="AD104" s="505">
        <v>87824.400000000009</v>
      </c>
      <c r="AE104" s="506">
        <v>144965.97</v>
      </c>
      <c r="AF104" s="60" t="str">
        <f t="shared" si="23"/>
        <v>GUILHERME STELLBRINK</v>
      </c>
      <c r="AG104" s="60" t="str">
        <f t="shared" si="24"/>
        <v>OK</v>
      </c>
    </row>
    <row r="105" spans="1:33">
      <c r="A105" s="61" t="str">
        <f t="shared" si="18"/>
        <v>LONDRINA [ETAPA 02 - AREAS EXTERNAS G2 - G6]VIII14</v>
      </c>
      <c r="B105" s="263" t="s">
        <v>38</v>
      </c>
      <c r="C105" s="337" t="s">
        <v>533</v>
      </c>
      <c r="D105" s="166">
        <v>14</v>
      </c>
      <c r="E105" s="197">
        <v>251.25</v>
      </c>
      <c r="F105" s="166">
        <v>3902</v>
      </c>
      <c r="G105" s="338" t="s">
        <v>1162</v>
      </c>
      <c r="H105" s="40">
        <v>43955</v>
      </c>
      <c r="I105" s="35">
        <v>145700</v>
      </c>
      <c r="J105" s="35" t="str">
        <f>IFERROR(VLOOKUP(CONCATENATE(B105,C105,D105,),Inadimplencia!$A$6:$K$110,6,0),"ATIVO")</f>
        <v>ATIVO</v>
      </c>
      <c r="K105" s="35">
        <f t="shared" si="19"/>
        <v>138617.25</v>
      </c>
      <c r="L105" s="325">
        <f t="shared" si="20"/>
        <v>0.95138812628689085</v>
      </c>
      <c r="M105" s="423" t="str">
        <f t="shared" si="21"/>
        <v>ATIVO0</v>
      </c>
      <c r="N105" s="28"/>
      <c r="X105" s="203" t="str">
        <f t="shared" si="16"/>
        <v>LONDRINA [ETAPA 02 - AREAS EXTERNAS G2 - G6]ATIVO</v>
      </c>
      <c r="Y105" s="203" t="str">
        <f t="shared" si="17"/>
        <v>VIII14ELIO JOSE DE SOUZA</v>
      </c>
      <c r="Z105" s="203" t="str">
        <f t="shared" si="22"/>
        <v>VIII14ELIO JOSE DE SOUZA</v>
      </c>
      <c r="AA105" s="427" t="s">
        <v>533</v>
      </c>
      <c r="AB105" s="427">
        <v>14</v>
      </c>
      <c r="AC105" s="428" t="s">
        <v>1162</v>
      </c>
      <c r="AD105" s="505">
        <v>138617.25</v>
      </c>
      <c r="AE105" s="506">
        <v>166685.44</v>
      </c>
      <c r="AF105" s="60" t="str">
        <f t="shared" si="23"/>
        <v>ELIO JOSE DE SOUZA</v>
      </c>
      <c r="AG105" s="60" t="str">
        <f t="shared" si="24"/>
        <v>OK</v>
      </c>
    </row>
    <row r="106" spans="1:33">
      <c r="A106" s="61" t="str">
        <f t="shared" si="18"/>
        <v>LONDRINA [ETAPA 02 - AREAS EXTERNAS G2 - G6]VIII19</v>
      </c>
      <c r="B106" s="263" t="s">
        <v>38</v>
      </c>
      <c r="C106" s="337" t="s">
        <v>533</v>
      </c>
      <c r="D106" s="73">
        <v>19</v>
      </c>
      <c r="E106" s="315">
        <v>251.25</v>
      </c>
      <c r="F106" s="166">
        <v>2586</v>
      </c>
      <c r="G106" s="74" t="s">
        <v>94</v>
      </c>
      <c r="H106" s="40">
        <v>41446</v>
      </c>
      <c r="I106" s="35">
        <v>79354.8</v>
      </c>
      <c r="J106" s="35" t="str">
        <f>IFERROR(VLOOKUP(CONCATENATE(B106,C106,D106,),Inadimplencia!$A$6:$K$110,6,0),"ATIVO")</f>
        <v>INADIMPLENTE</v>
      </c>
      <c r="K106" s="35">
        <f t="shared" si="19"/>
        <v>195355.97</v>
      </c>
      <c r="L106" s="325">
        <f t="shared" si="20"/>
        <v>2.4618040748637764</v>
      </c>
      <c r="M106" s="423" t="str">
        <f t="shared" si="21"/>
        <v>INADIMPLENTE1</v>
      </c>
      <c r="N106" s="28"/>
      <c r="X106" s="203" t="str">
        <f t="shared" si="16"/>
        <v>LONDRINA [ETAPA 02 - AREAS EXTERNAS G2 - G6]INADIMPLENTE</v>
      </c>
      <c r="Y106" s="203" t="str">
        <f t="shared" si="17"/>
        <v>VIII19CARLOS ALBERTO DA COSTA</v>
      </c>
      <c r="Z106" s="203" t="str">
        <f t="shared" si="22"/>
        <v>VIII19CARLOS ALBERTO DA COSTA</v>
      </c>
      <c r="AA106" s="427" t="s">
        <v>533</v>
      </c>
      <c r="AB106" s="427">
        <v>19</v>
      </c>
      <c r="AC106" s="428" t="s">
        <v>94</v>
      </c>
      <c r="AD106" s="505">
        <v>195355.97</v>
      </c>
      <c r="AE106" s="506">
        <v>223527.64</v>
      </c>
      <c r="AF106" s="60" t="str">
        <f t="shared" si="23"/>
        <v>CARLOS ALBERTO DA COSTA</v>
      </c>
      <c r="AG106" s="60" t="str">
        <f t="shared" si="24"/>
        <v>OK</v>
      </c>
    </row>
    <row r="107" spans="1:33" ht="25.5">
      <c r="A107" s="61" t="str">
        <f t="shared" si="18"/>
        <v>LONDRINA [ETAPA 02 - AREAS EXTERNAS G2 - G6]VIII21</v>
      </c>
      <c r="B107" s="263" t="s">
        <v>38</v>
      </c>
      <c r="C107" s="337" t="s">
        <v>533</v>
      </c>
      <c r="D107" s="166">
        <v>21</v>
      </c>
      <c r="E107" s="197">
        <v>251.25</v>
      </c>
      <c r="F107" s="166">
        <v>2710</v>
      </c>
      <c r="G107" s="338" t="s">
        <v>1244</v>
      </c>
      <c r="H107" s="40">
        <v>41477</v>
      </c>
      <c r="I107" s="35">
        <v>77767.7</v>
      </c>
      <c r="J107" s="35" t="str">
        <f>IFERROR(VLOOKUP(CONCATENATE(B107,C107,D107,),Inadimplencia!$A$6:$K$110,6,0),"ATIVO")</f>
        <v>ATIVO</v>
      </c>
      <c r="K107" s="35">
        <f t="shared" si="19"/>
        <v>106891.97</v>
      </c>
      <c r="L107" s="325">
        <f t="shared" si="20"/>
        <v>1.3745034249437749</v>
      </c>
      <c r="M107" s="423" t="str">
        <f t="shared" si="21"/>
        <v>ATIVO1</v>
      </c>
      <c r="N107" s="28"/>
      <c r="X107" s="203" t="str">
        <f t="shared" si="16"/>
        <v>LONDRINA [ETAPA 02 - AREAS EXTERNAS G2 - G6]ATIVO</v>
      </c>
      <c r="Y107" s="203" t="str">
        <f t="shared" si="17"/>
        <v>VIII21RGS CONSULTORIA EMPRESARIAL E ADMINISTRADORA DE BENS LTDA</v>
      </c>
      <c r="Z107" s="203" t="str">
        <f t="shared" si="22"/>
        <v>VIII21RGS CONSULTORIA EMPRESARIAL E ADMINISTRADORA DE BENS LTDA</v>
      </c>
      <c r="AA107" s="427" t="s">
        <v>533</v>
      </c>
      <c r="AB107" s="427">
        <v>21</v>
      </c>
      <c r="AC107" s="428" t="s">
        <v>1244</v>
      </c>
      <c r="AD107" s="505">
        <v>106891.97</v>
      </c>
      <c r="AE107" s="506">
        <v>165564.76</v>
      </c>
      <c r="AF107" s="60" t="str">
        <f t="shared" si="23"/>
        <v>RGS CONSULTORIA EMPRESARIAL E ADMINISTRADORA DE BENS LTDA</v>
      </c>
      <c r="AG107" s="60" t="str">
        <f t="shared" si="24"/>
        <v>OK</v>
      </c>
    </row>
    <row r="108" spans="1:33">
      <c r="A108" s="61" t="str">
        <f t="shared" si="18"/>
        <v>LONDRINA [ETAPA 02 - AREAS EXTERNAS G2 - G6]VIII22</v>
      </c>
      <c r="B108" s="263" t="s">
        <v>38</v>
      </c>
      <c r="C108" s="337" t="s">
        <v>533</v>
      </c>
      <c r="D108" s="73">
        <v>22</v>
      </c>
      <c r="E108" s="315">
        <v>251.25</v>
      </c>
      <c r="F108" s="166">
        <v>2647</v>
      </c>
      <c r="G108" s="74" t="s">
        <v>250</v>
      </c>
      <c r="H108" s="40">
        <v>41462</v>
      </c>
      <c r="I108" s="35">
        <v>79354.8</v>
      </c>
      <c r="J108" s="35" t="str">
        <f>IFERROR(VLOOKUP(CONCATENATE(B108,C108,D108,),Inadimplencia!$A$6:$K$110,6,0),"ATIVO")</f>
        <v>ATIVO</v>
      </c>
      <c r="K108" s="35">
        <f t="shared" si="19"/>
        <v>25166.880000000001</v>
      </c>
      <c r="L108" s="325">
        <f t="shared" si="20"/>
        <v>0.3171437644603729</v>
      </c>
      <c r="M108" s="423" t="str">
        <f t="shared" si="21"/>
        <v>ATIVO0</v>
      </c>
      <c r="N108" s="28"/>
      <c r="X108" s="203" t="str">
        <f t="shared" si="16"/>
        <v>LONDRINA [ETAPA 02 - AREAS EXTERNAS G2 - G6]ATIVO</v>
      </c>
      <c r="Y108" s="203" t="str">
        <f t="shared" si="17"/>
        <v>VIII22JAIME DOS SANTOS MENDES GOMES</v>
      </c>
      <c r="Z108" s="203" t="str">
        <f t="shared" si="22"/>
        <v>VIII22JAIME DOS SANTOS MENDES GOMES</v>
      </c>
      <c r="AA108" s="427" t="s">
        <v>533</v>
      </c>
      <c r="AB108" s="427">
        <v>22</v>
      </c>
      <c r="AC108" s="428" t="s">
        <v>250</v>
      </c>
      <c r="AD108" s="505">
        <v>25166.880000000001</v>
      </c>
      <c r="AE108" s="506">
        <v>115570.82</v>
      </c>
      <c r="AF108" s="60" t="str">
        <f t="shared" si="23"/>
        <v>JAIME DOS SANTOS MENDES GOMES</v>
      </c>
      <c r="AG108" s="60" t="str">
        <f t="shared" si="24"/>
        <v>OK</v>
      </c>
    </row>
    <row r="109" spans="1:33">
      <c r="A109" s="61" t="str">
        <f t="shared" si="18"/>
        <v>LONDRINA [ETAPA 02 - AREAS EXTERNAS G2 - G6]VIII23</v>
      </c>
      <c r="B109" s="263" t="s">
        <v>38</v>
      </c>
      <c r="C109" s="337" t="s">
        <v>533</v>
      </c>
      <c r="D109" s="166">
        <v>23</v>
      </c>
      <c r="E109" s="197">
        <v>251.25</v>
      </c>
      <c r="F109" s="166">
        <v>2470</v>
      </c>
      <c r="G109" s="338" t="s">
        <v>288</v>
      </c>
      <c r="H109" s="40">
        <v>41449</v>
      </c>
      <c r="I109" s="35">
        <v>79354.8</v>
      </c>
      <c r="J109" s="35" t="str">
        <f>IFERROR(VLOOKUP(CONCATENATE(B109,C109,D109,),Inadimplencia!$A$6:$K$110,6,0),"ATIVO")</f>
        <v>INADIMPLENTE</v>
      </c>
      <c r="K109" s="35">
        <f t="shared" si="19"/>
        <v>84211.72</v>
      </c>
      <c r="L109" s="325">
        <f t="shared" si="20"/>
        <v>1.06120511928705</v>
      </c>
      <c r="M109" s="423" t="str">
        <f t="shared" si="21"/>
        <v>INADIMPLENTE1</v>
      </c>
      <c r="N109" s="28"/>
      <c r="X109" s="203" t="str">
        <f t="shared" si="16"/>
        <v>LONDRINA [ETAPA 02 - AREAS EXTERNAS G2 - G6]INADIMPLENTE</v>
      </c>
      <c r="Y109" s="203" t="str">
        <f t="shared" si="17"/>
        <v>VIII23JULIANA DE SOUZA</v>
      </c>
      <c r="Z109" s="203" t="str">
        <f t="shared" si="22"/>
        <v>VIII23JULIANA DE SOUZA</v>
      </c>
      <c r="AA109" s="427" t="s">
        <v>533</v>
      </c>
      <c r="AB109" s="427">
        <v>23</v>
      </c>
      <c r="AC109" s="428" t="s">
        <v>288</v>
      </c>
      <c r="AD109" s="505">
        <v>84211.72</v>
      </c>
      <c r="AE109" s="506">
        <v>157035.66</v>
      </c>
      <c r="AF109" s="60" t="str">
        <f t="shared" si="23"/>
        <v>JULIANA DE SOUZA</v>
      </c>
      <c r="AG109" s="60" t="str">
        <f t="shared" si="24"/>
        <v>OK</v>
      </c>
    </row>
    <row r="110" spans="1:33">
      <c r="A110" s="61" t="str">
        <f t="shared" si="18"/>
        <v>LONDRINA [ETAPA 02 - AREAS EXTERNAS G2 - G6]VIII26</v>
      </c>
      <c r="B110" s="263" t="s">
        <v>38</v>
      </c>
      <c r="C110" s="337" t="s">
        <v>533</v>
      </c>
      <c r="D110" s="73">
        <v>26</v>
      </c>
      <c r="E110" s="315">
        <v>251.25</v>
      </c>
      <c r="F110" s="166">
        <v>4552</v>
      </c>
      <c r="G110" s="74" t="s">
        <v>1242</v>
      </c>
      <c r="H110" s="40">
        <v>44034</v>
      </c>
      <c r="I110" s="35">
        <v>145700</v>
      </c>
      <c r="J110" s="35" t="str">
        <f>IFERROR(VLOOKUP(CONCATENATE(B110,C110,D110,),Inadimplencia!$A$6:$K$110,6,0),"ATIVO")</f>
        <v>ATIVO</v>
      </c>
      <c r="K110" s="35">
        <f t="shared" si="19"/>
        <v>137887.20000000001</v>
      </c>
      <c r="L110" s="325">
        <f t="shared" si="20"/>
        <v>0.94637748798901866</v>
      </c>
      <c r="M110" s="423" t="str">
        <f t="shared" si="21"/>
        <v>ATIVO0</v>
      </c>
      <c r="N110" s="28"/>
      <c r="X110" s="203" t="str">
        <f t="shared" si="16"/>
        <v>LONDRINA [ETAPA 02 - AREAS EXTERNAS G2 - G6]ATIVO</v>
      </c>
      <c r="Y110" s="203" t="str">
        <f t="shared" si="17"/>
        <v>VIII26LUCIANE APARECIDA DE PAULA</v>
      </c>
      <c r="Z110" s="203" t="str">
        <f t="shared" si="22"/>
        <v>VIII26LUCIANE APARECIDA DE PAULA</v>
      </c>
      <c r="AA110" s="427" t="s">
        <v>533</v>
      </c>
      <c r="AB110" s="427">
        <v>26</v>
      </c>
      <c r="AC110" s="428" t="s">
        <v>1242</v>
      </c>
      <c r="AD110" s="505">
        <v>137887.20000000001</v>
      </c>
      <c r="AE110" s="506">
        <v>164504.47</v>
      </c>
      <c r="AF110" s="60" t="str">
        <f t="shared" si="23"/>
        <v>LUCIANE APARECIDA DE PAULA</v>
      </c>
      <c r="AG110" s="60" t="str">
        <f t="shared" si="24"/>
        <v>OK</v>
      </c>
    </row>
    <row r="111" spans="1:33">
      <c r="A111" s="61" t="str">
        <f t="shared" si="18"/>
        <v>LONDRINA [ETAPA 02 - AREAS EXTERNAS G2 - G6]VIII27</v>
      </c>
      <c r="B111" s="263" t="s">
        <v>38</v>
      </c>
      <c r="C111" s="337" t="s">
        <v>533</v>
      </c>
      <c r="D111" s="166">
        <v>27</v>
      </c>
      <c r="E111" s="197">
        <v>251.25</v>
      </c>
      <c r="F111" s="166">
        <v>2712</v>
      </c>
      <c r="G111" s="338" t="s">
        <v>387</v>
      </c>
      <c r="H111" s="40">
        <v>41484</v>
      </c>
      <c r="I111" s="35">
        <v>79354.8</v>
      </c>
      <c r="J111" s="35" t="str">
        <f>IFERROR(VLOOKUP(CONCATENATE(B111,C111,D111,),Inadimplencia!$A$6:$K$110,6,0),"ATIVO")</f>
        <v>ATIVO</v>
      </c>
      <c r="K111" s="35">
        <f t="shared" si="19"/>
        <v>80284.36</v>
      </c>
      <c r="L111" s="325">
        <f t="shared" si="20"/>
        <v>1.0117139731938081</v>
      </c>
      <c r="M111" s="423" t="str">
        <f t="shared" si="21"/>
        <v>ATIVO1</v>
      </c>
      <c r="N111" s="28"/>
      <c r="X111" s="203" t="str">
        <f t="shared" si="16"/>
        <v>LONDRINA [ETAPA 02 - AREAS EXTERNAS G2 - G6]ATIVO</v>
      </c>
      <c r="Y111" s="203" t="str">
        <f t="shared" si="17"/>
        <v>VIII27OSVALDO TOSHIYUKI HIGASHI</v>
      </c>
      <c r="Z111" s="203" t="str">
        <f t="shared" si="22"/>
        <v>VIII27OSVALDO TOSHIYUKI HIGASHI</v>
      </c>
      <c r="AA111" s="427" t="s">
        <v>533</v>
      </c>
      <c r="AB111" s="427">
        <v>27</v>
      </c>
      <c r="AC111" s="428" t="s">
        <v>387</v>
      </c>
      <c r="AD111" s="505">
        <v>80284.36</v>
      </c>
      <c r="AE111" s="506">
        <v>155536.69</v>
      </c>
      <c r="AF111" s="60" t="str">
        <f t="shared" si="23"/>
        <v>OSVALDO TOSHIYUKI HIGASHI</v>
      </c>
      <c r="AG111" s="60" t="str">
        <f t="shared" si="24"/>
        <v>OK</v>
      </c>
    </row>
    <row r="112" spans="1:33">
      <c r="A112" s="61" t="str">
        <f t="shared" si="18"/>
        <v>LONDRINA [ETAPA 02 - AREAS EXTERNAS G2 - G6]VIII28</v>
      </c>
      <c r="B112" s="263" t="s">
        <v>38</v>
      </c>
      <c r="C112" s="337" t="s">
        <v>533</v>
      </c>
      <c r="D112" s="73">
        <v>28</v>
      </c>
      <c r="E112" s="315">
        <v>251.25</v>
      </c>
      <c r="F112" s="166">
        <v>3444</v>
      </c>
      <c r="G112" s="74" t="s">
        <v>1117</v>
      </c>
      <c r="H112" s="40">
        <v>43803</v>
      </c>
      <c r="I112" s="35">
        <v>145700</v>
      </c>
      <c r="J112" s="35" t="str">
        <f>IFERROR(VLOOKUP(CONCATENATE(B112,C112,D112,),Inadimplencia!$A$6:$K$110,6,0),"ATIVO")</f>
        <v>INADIMPLENTE</v>
      </c>
      <c r="K112" s="35">
        <f t="shared" si="19"/>
        <v>151802.38</v>
      </c>
      <c r="L112" s="325">
        <f t="shared" si="20"/>
        <v>1.0418831846259438</v>
      </c>
      <c r="M112" s="423" t="str">
        <f t="shared" si="21"/>
        <v>INADIMPLENTE1</v>
      </c>
      <c r="N112" s="28"/>
      <c r="X112" s="203" t="str">
        <f t="shared" si="16"/>
        <v>LONDRINA [ETAPA 02 - AREAS EXTERNAS G2 - G6]INADIMPLENTE</v>
      </c>
      <c r="Y112" s="203" t="str">
        <f t="shared" si="17"/>
        <v>VIII28DANILO HENRIQUE DE OLIVEIRA</v>
      </c>
      <c r="Z112" s="203" t="str">
        <f t="shared" si="22"/>
        <v>VIII28DANILO HENRIQUE DE OLIVEIRA</v>
      </c>
      <c r="AA112" s="427" t="s">
        <v>533</v>
      </c>
      <c r="AB112" s="427">
        <v>28</v>
      </c>
      <c r="AC112" s="428" t="s">
        <v>1117</v>
      </c>
      <c r="AD112" s="505">
        <v>151802.38</v>
      </c>
      <c r="AE112" s="506">
        <v>177689.4</v>
      </c>
      <c r="AF112" s="60" t="str">
        <f t="shared" si="23"/>
        <v>DANILO HENRIQUE DE OLIVEIRA</v>
      </c>
      <c r="AG112" s="60" t="str">
        <f t="shared" si="24"/>
        <v>OK</v>
      </c>
    </row>
    <row r="113" spans="1:33">
      <c r="A113" s="61" t="str">
        <f t="shared" si="18"/>
        <v>LONDRINA [ETAPA 02 - AREAS EXTERNAS G2 - G6]VIII32</v>
      </c>
      <c r="B113" s="263" t="s">
        <v>38</v>
      </c>
      <c r="C113" s="337" t="s">
        <v>533</v>
      </c>
      <c r="D113" s="166">
        <v>32</v>
      </c>
      <c r="E113" s="197">
        <v>251.25</v>
      </c>
      <c r="F113" s="166">
        <v>2610</v>
      </c>
      <c r="G113" s="338" t="s">
        <v>264</v>
      </c>
      <c r="H113" s="40">
        <v>41454</v>
      </c>
      <c r="I113" s="35">
        <v>79354.8</v>
      </c>
      <c r="J113" s="35" t="str">
        <f>IFERROR(VLOOKUP(CONCATENATE(B113,C113,D113,),Inadimplencia!$A$6:$K$110,6,0),"ATIVO")</f>
        <v>ATIVO</v>
      </c>
      <c r="K113" s="35">
        <f t="shared" si="19"/>
        <v>80343.63</v>
      </c>
      <c r="L113" s="325">
        <f t="shared" si="20"/>
        <v>1.0124608719321326</v>
      </c>
      <c r="M113" s="423" t="str">
        <f t="shared" si="21"/>
        <v>ATIVO1</v>
      </c>
      <c r="N113" s="28"/>
      <c r="X113" s="203" t="str">
        <f t="shared" si="16"/>
        <v>LONDRINA [ETAPA 02 - AREAS EXTERNAS G2 - G6]ATIVO</v>
      </c>
      <c r="Y113" s="203" t="str">
        <f t="shared" si="17"/>
        <v>VIII32JOAQUIM MOREIRA DIAS</v>
      </c>
      <c r="Z113" s="203" t="str">
        <f t="shared" si="22"/>
        <v>VIII32JOAQUIM MOREIRA DIAS</v>
      </c>
      <c r="AA113" s="427" t="s">
        <v>533</v>
      </c>
      <c r="AB113" s="427">
        <v>32</v>
      </c>
      <c r="AC113" s="428" t="s">
        <v>264</v>
      </c>
      <c r="AD113" s="505">
        <v>80343.63</v>
      </c>
      <c r="AE113" s="506">
        <v>155580.30000000002</v>
      </c>
      <c r="AF113" s="60" t="str">
        <f t="shared" si="23"/>
        <v>JOAQUIM MOREIRA DIAS</v>
      </c>
      <c r="AG113" s="60" t="str">
        <f t="shared" si="24"/>
        <v>OK</v>
      </c>
    </row>
    <row r="114" spans="1:33">
      <c r="A114" s="61" t="str">
        <f t="shared" si="18"/>
        <v>LONDRINA [ETAPA 02 - AREAS EXTERNAS G2 - G6]VIII34</v>
      </c>
      <c r="B114" s="263" t="s">
        <v>38</v>
      </c>
      <c r="C114" s="337" t="s">
        <v>533</v>
      </c>
      <c r="D114" s="73">
        <v>34</v>
      </c>
      <c r="E114" s="315">
        <v>368.4</v>
      </c>
      <c r="F114" s="166">
        <v>3550</v>
      </c>
      <c r="G114" s="74" t="s">
        <v>280</v>
      </c>
      <c r="H114" s="40">
        <v>41677</v>
      </c>
      <c r="I114" s="35">
        <v>138518.39999999999</v>
      </c>
      <c r="J114" s="35" t="str">
        <f>IFERROR(VLOOKUP(CONCATENATE(B114,C114,D114,),Inadimplencia!$A$6:$K$110,6,0),"ATIVO")</f>
        <v>ATIVO</v>
      </c>
      <c r="K114" s="35">
        <f t="shared" si="19"/>
        <v>39568.03</v>
      </c>
      <c r="L114" s="325">
        <f t="shared" si="20"/>
        <v>0.28565179788389122</v>
      </c>
      <c r="M114" s="423" t="str">
        <f t="shared" si="21"/>
        <v>ATIVO0</v>
      </c>
      <c r="N114" s="28"/>
      <c r="X114" s="203" t="str">
        <f t="shared" si="16"/>
        <v>LONDRINA [ETAPA 02 - AREAS EXTERNAS G2 - G6]ATIVO</v>
      </c>
      <c r="Y114" s="203" t="str">
        <f t="shared" si="17"/>
        <v>VIII34JOSE TADEI FERRAZ DE GOUVEIA</v>
      </c>
      <c r="Z114" s="203" t="str">
        <f t="shared" si="22"/>
        <v>VIII34JOSE TADEI FERRAZ DE GOUVEIA</v>
      </c>
      <c r="AA114" s="427" t="s">
        <v>533</v>
      </c>
      <c r="AB114" s="427">
        <v>34</v>
      </c>
      <c r="AC114" s="428" t="s">
        <v>280</v>
      </c>
      <c r="AD114" s="505">
        <v>39568.03</v>
      </c>
      <c r="AE114" s="506">
        <v>225729.33000000002</v>
      </c>
      <c r="AF114" s="60" t="str">
        <f t="shared" si="23"/>
        <v>JOSE TADEI FERRAZ DE GOUVEIA</v>
      </c>
      <c r="AG114" s="60" t="str">
        <f t="shared" si="24"/>
        <v>OK</v>
      </c>
    </row>
    <row r="115" spans="1:33">
      <c r="A115" s="61" t="str">
        <f t="shared" si="18"/>
        <v>LONDRINA [ETAPA 02 - AREAS EXTERNAS G2 - G6]XII4</v>
      </c>
      <c r="B115" s="263" t="s">
        <v>38</v>
      </c>
      <c r="C115" s="337" t="s">
        <v>510</v>
      </c>
      <c r="D115" s="166">
        <v>4</v>
      </c>
      <c r="E115" s="197">
        <v>252.75</v>
      </c>
      <c r="F115" s="166">
        <v>2476</v>
      </c>
      <c r="G115" s="338" t="s">
        <v>423</v>
      </c>
      <c r="H115" s="40">
        <v>41439</v>
      </c>
      <c r="I115" s="35">
        <v>83154.75</v>
      </c>
      <c r="J115" s="35" t="str">
        <f>IFERROR(VLOOKUP(CONCATENATE(B115,C115,D115,),Inadimplencia!$A$6:$K$110,6,0),"ATIVO")</f>
        <v>ATIVO</v>
      </c>
      <c r="K115" s="35">
        <f t="shared" si="19"/>
        <v>84462.48</v>
      </c>
      <c r="L115" s="325">
        <f t="shared" si="20"/>
        <v>1.0157264618076538</v>
      </c>
      <c r="M115" s="423" t="str">
        <f t="shared" si="21"/>
        <v>ATIVO1</v>
      </c>
      <c r="N115" s="28"/>
      <c r="X115" s="203" t="str">
        <f t="shared" si="16"/>
        <v>LONDRINA [ETAPA 02 - AREAS EXTERNAS G2 - G6]ATIVO</v>
      </c>
      <c r="Y115" s="203" t="str">
        <f t="shared" si="17"/>
        <v>XII4ROGERIO FRANCISCO MANOEL</v>
      </c>
      <c r="Z115" s="203" t="str">
        <f t="shared" si="22"/>
        <v>XII4ROGERIO FRANCISCO MANOEL</v>
      </c>
      <c r="AA115" s="427" t="s">
        <v>510</v>
      </c>
      <c r="AB115" s="427">
        <v>4</v>
      </c>
      <c r="AC115" s="428" t="s">
        <v>423</v>
      </c>
      <c r="AD115" s="505">
        <v>84462.48</v>
      </c>
      <c r="AE115" s="506">
        <v>163865.37</v>
      </c>
      <c r="AF115" s="60" t="str">
        <f t="shared" si="23"/>
        <v>ROGERIO FRANCISCO MANOEL</v>
      </c>
      <c r="AG115" s="60" t="str">
        <f t="shared" si="24"/>
        <v>OK</v>
      </c>
    </row>
    <row r="116" spans="1:33">
      <c r="A116" s="61" t="str">
        <f t="shared" si="18"/>
        <v>LONDRINA [ETAPA 02 - AREAS EXTERNAS G2 - G6]XII6</v>
      </c>
      <c r="B116" s="263" t="s">
        <v>38</v>
      </c>
      <c r="C116" s="337" t="s">
        <v>510</v>
      </c>
      <c r="D116" s="73">
        <v>6</v>
      </c>
      <c r="E116" s="315">
        <v>252.75</v>
      </c>
      <c r="F116" s="166">
        <v>2332</v>
      </c>
      <c r="G116" s="74" t="s">
        <v>417</v>
      </c>
      <c r="H116" s="40">
        <v>41441</v>
      </c>
      <c r="I116" s="35">
        <v>83154.75</v>
      </c>
      <c r="J116" s="35" t="str">
        <f>IFERROR(VLOOKUP(CONCATENATE(B116,C116,D116,),Inadimplencia!$A$6:$K$110,6,0),"ATIVO")</f>
        <v>INADIMPLENTE</v>
      </c>
      <c r="K116" s="35">
        <f t="shared" si="19"/>
        <v>101059.75</v>
      </c>
      <c r="L116" s="325">
        <f t="shared" si="20"/>
        <v>1.2153214338327034</v>
      </c>
      <c r="M116" s="423" t="str">
        <f t="shared" si="21"/>
        <v>INADIMPLENTE1</v>
      </c>
      <c r="X116" s="203" t="str">
        <f t="shared" si="16"/>
        <v>LONDRINA [ETAPA 02 - AREAS EXTERNAS G2 - G6]INADIMPLENTE</v>
      </c>
      <c r="Y116" s="203" t="str">
        <f t="shared" si="17"/>
        <v>XII6ROBERTO NUNES</v>
      </c>
      <c r="Z116" s="203" t="str">
        <f t="shared" si="22"/>
        <v>XII6ROBERTO NUNES</v>
      </c>
      <c r="AA116" s="427" t="s">
        <v>510</v>
      </c>
      <c r="AB116" s="427">
        <v>6</v>
      </c>
      <c r="AC116" s="428" t="s">
        <v>417</v>
      </c>
      <c r="AD116" s="505">
        <v>101059.75</v>
      </c>
      <c r="AE116" s="506">
        <v>165747.72</v>
      </c>
      <c r="AF116" s="60" t="str">
        <f t="shared" si="23"/>
        <v>ROBERTO NUNES</v>
      </c>
      <c r="AG116" s="60" t="str">
        <f t="shared" si="24"/>
        <v>OK</v>
      </c>
    </row>
    <row r="117" spans="1:33">
      <c r="A117" s="61" t="str">
        <f t="shared" si="18"/>
        <v>LONDRINA [ETAPA 02 - AREAS EXTERNAS G2 - G6]XII11</v>
      </c>
      <c r="B117" s="263" t="s">
        <v>38</v>
      </c>
      <c r="C117" s="337" t="s">
        <v>510</v>
      </c>
      <c r="D117" s="166">
        <v>11</v>
      </c>
      <c r="E117" s="197">
        <v>252.75</v>
      </c>
      <c r="F117" s="166">
        <v>2656</v>
      </c>
      <c r="G117" s="338" t="s">
        <v>460</v>
      </c>
      <c r="H117" s="40">
        <v>41442</v>
      </c>
      <c r="I117" s="35">
        <v>83154.75</v>
      </c>
      <c r="J117" s="35" t="str">
        <f>IFERROR(VLOOKUP(CONCATENATE(B117,C117,D117,),Inadimplencia!$A$6:$K$110,6,0),"ATIVO")</f>
        <v>INADIMPLENTE</v>
      </c>
      <c r="K117" s="35">
        <f t="shared" si="19"/>
        <v>153750.87</v>
      </c>
      <c r="L117" s="325">
        <f t="shared" si="20"/>
        <v>1.8489727886861544</v>
      </c>
      <c r="M117" s="423" t="str">
        <f t="shared" si="21"/>
        <v>INADIMPLENTE1</v>
      </c>
      <c r="N117" s="28"/>
      <c r="X117" s="203" t="str">
        <f t="shared" si="16"/>
        <v>LONDRINA [ETAPA 02 - AREAS EXTERNAS G2 - G6]INADIMPLENTE</v>
      </c>
      <c r="Y117" s="203" t="str">
        <f t="shared" si="17"/>
        <v>XII11VALDENILSON  PEREIRA MEIRELES</v>
      </c>
      <c r="Z117" s="203" t="str">
        <f t="shared" si="22"/>
        <v>XII11VALDENILSON  PEREIRA MEIRELES</v>
      </c>
      <c r="AA117" s="427" t="s">
        <v>510</v>
      </c>
      <c r="AB117" s="427">
        <v>11</v>
      </c>
      <c r="AC117" s="428" t="s">
        <v>460</v>
      </c>
      <c r="AD117" s="505">
        <v>153750.87</v>
      </c>
      <c r="AE117" s="506">
        <v>182252.04</v>
      </c>
      <c r="AF117" s="60" t="str">
        <f t="shared" si="23"/>
        <v>VALDENILSON  PEREIRA MEIRELES</v>
      </c>
      <c r="AG117" s="60" t="str">
        <f t="shared" si="24"/>
        <v>OK</v>
      </c>
    </row>
    <row r="118" spans="1:33">
      <c r="A118" s="61" t="str">
        <f t="shared" si="18"/>
        <v>LONDRINA [ETAPA 02 - AREAS EXTERNAS G2 - G6]XII14</v>
      </c>
      <c r="B118" s="263" t="s">
        <v>38</v>
      </c>
      <c r="C118" s="337" t="s">
        <v>510</v>
      </c>
      <c r="D118" s="73">
        <v>14</v>
      </c>
      <c r="E118" s="315">
        <v>252.75</v>
      </c>
      <c r="F118" s="166">
        <v>2498</v>
      </c>
      <c r="G118" s="74" t="s">
        <v>75</v>
      </c>
      <c r="H118" s="40">
        <v>41446</v>
      </c>
      <c r="I118" s="35">
        <v>83154.75</v>
      </c>
      <c r="J118" s="35" t="str">
        <f>IFERROR(VLOOKUP(CONCATENATE(B118,C118,D118,),Inadimplencia!$A$6:$K$110,6,0),"ATIVO")</f>
        <v>INADIMPLENTE</v>
      </c>
      <c r="K118" s="35">
        <f t="shared" si="19"/>
        <v>209140.76</v>
      </c>
      <c r="L118" s="325">
        <f t="shared" si="20"/>
        <v>2.5150789341558961</v>
      </c>
      <c r="M118" s="423" t="str">
        <f t="shared" si="21"/>
        <v>INADIMPLENTE1</v>
      </c>
      <c r="N118" s="28"/>
      <c r="X118" s="203" t="str">
        <f t="shared" si="16"/>
        <v>LONDRINA [ETAPA 02 - AREAS EXTERNAS G2 - G6]INADIMPLENTE</v>
      </c>
      <c r="Y118" s="203" t="str">
        <f t="shared" si="17"/>
        <v>XII14ANGELA FERREIRA DA SILVA</v>
      </c>
      <c r="Z118" s="203" t="str">
        <f t="shared" si="22"/>
        <v>XII14ANGELA FERREIRA DA SILVA</v>
      </c>
      <c r="AA118" s="427" t="s">
        <v>510</v>
      </c>
      <c r="AB118" s="427">
        <v>14</v>
      </c>
      <c r="AC118" s="428" t="s">
        <v>75</v>
      </c>
      <c r="AD118" s="505">
        <v>209140.76</v>
      </c>
      <c r="AE118" s="506">
        <v>243578.97</v>
      </c>
      <c r="AF118" s="60" t="str">
        <f t="shared" si="23"/>
        <v>ANGELA FERREIRA DA SILVA</v>
      </c>
      <c r="AG118" s="60" t="str">
        <f t="shared" si="24"/>
        <v>OK</v>
      </c>
    </row>
    <row r="119" spans="1:33">
      <c r="A119" s="61" t="str">
        <f t="shared" si="18"/>
        <v>LONDRINA [ETAPA 02 - AREAS EXTERNAS G2 - G6]XII15</v>
      </c>
      <c r="B119" s="263" t="s">
        <v>38</v>
      </c>
      <c r="C119" s="337" t="s">
        <v>510</v>
      </c>
      <c r="D119" s="166">
        <v>15</v>
      </c>
      <c r="E119" s="197">
        <v>252.75</v>
      </c>
      <c r="F119" s="166">
        <v>2389</v>
      </c>
      <c r="G119" s="338" t="s">
        <v>95</v>
      </c>
      <c r="H119" s="40">
        <v>41440</v>
      </c>
      <c r="I119" s="35">
        <v>83154.75</v>
      </c>
      <c r="J119" s="35" t="str">
        <f>IFERROR(VLOOKUP(CONCATENATE(B119,C119,D119,),Inadimplencia!$A$6:$K$110,6,0),"ATIVO")</f>
        <v>INADIMPLENTE</v>
      </c>
      <c r="K119" s="35">
        <f t="shared" si="19"/>
        <v>150156.15</v>
      </c>
      <c r="L119" s="325">
        <f t="shared" si="20"/>
        <v>1.8057435083383691</v>
      </c>
      <c r="M119" s="423" t="str">
        <f t="shared" si="21"/>
        <v>INADIMPLENTE1</v>
      </c>
      <c r="N119" s="28"/>
      <c r="X119" s="203" t="str">
        <f t="shared" si="16"/>
        <v>LONDRINA [ETAPA 02 - AREAS EXTERNAS G2 - G6]INADIMPLENTE</v>
      </c>
      <c r="Y119" s="203" t="str">
        <f t="shared" si="17"/>
        <v>XII15CARLOS ANTONIO DA SILVA</v>
      </c>
      <c r="Z119" s="203" t="str">
        <f t="shared" si="22"/>
        <v>XII15CARLOS ANTONIO DA SILVA</v>
      </c>
      <c r="AA119" s="427" t="s">
        <v>510</v>
      </c>
      <c r="AB119" s="427">
        <v>15</v>
      </c>
      <c r="AC119" s="428" t="s">
        <v>95</v>
      </c>
      <c r="AD119" s="505">
        <v>150156.15</v>
      </c>
      <c r="AE119" s="506">
        <v>178673.09</v>
      </c>
      <c r="AF119" s="60" t="str">
        <f t="shared" si="23"/>
        <v>CARLOS ANTONIO DA SILVA</v>
      </c>
      <c r="AG119" s="60" t="str">
        <f t="shared" si="24"/>
        <v>OK</v>
      </c>
    </row>
    <row r="120" spans="1:33">
      <c r="A120" s="61" t="str">
        <f t="shared" si="18"/>
        <v>LONDRINA [ETAPA 02 - AREAS EXTERNAS G2 - G6]XII18</v>
      </c>
      <c r="B120" s="263" t="s">
        <v>38</v>
      </c>
      <c r="C120" s="337" t="s">
        <v>510</v>
      </c>
      <c r="D120" s="73">
        <v>18</v>
      </c>
      <c r="E120" s="315">
        <v>252.75</v>
      </c>
      <c r="F120" s="166">
        <v>2575</v>
      </c>
      <c r="G120" s="74" t="s">
        <v>227</v>
      </c>
      <c r="H120" s="40">
        <v>41447</v>
      </c>
      <c r="I120" s="35">
        <v>83154.75</v>
      </c>
      <c r="J120" s="35" t="str">
        <f>IFERROR(VLOOKUP(CONCATENATE(B120,C120,D120,),Inadimplencia!$A$6:$K$110,6,0),"ATIVO")</f>
        <v>ATIVO</v>
      </c>
      <c r="K120" s="35">
        <f t="shared" si="19"/>
        <v>83957.13</v>
      </c>
      <c r="L120" s="325">
        <f t="shared" si="20"/>
        <v>1.0096492383177149</v>
      </c>
      <c r="M120" s="423" t="str">
        <f t="shared" si="21"/>
        <v>ATIVO1</v>
      </c>
      <c r="X120" s="203" t="str">
        <f t="shared" si="16"/>
        <v>LONDRINA [ETAPA 02 - AREAS EXTERNAS G2 - G6]ATIVO</v>
      </c>
      <c r="Y120" s="203" t="str">
        <f t="shared" si="17"/>
        <v>XII18GILSON TOSHIHIKO MORIYAMA</v>
      </c>
      <c r="Z120" s="203" t="str">
        <f t="shared" si="22"/>
        <v>XII18GILSON TOSHIHIKO MORIYAMA</v>
      </c>
      <c r="AA120" s="427" t="s">
        <v>510</v>
      </c>
      <c r="AB120" s="427">
        <v>18</v>
      </c>
      <c r="AC120" s="428" t="s">
        <v>227</v>
      </c>
      <c r="AD120" s="505">
        <v>83957.13</v>
      </c>
      <c r="AE120" s="506">
        <v>161040.62</v>
      </c>
      <c r="AF120" s="60" t="str">
        <f t="shared" si="23"/>
        <v>GILSON TOSHIHIKO MORIYAMA</v>
      </c>
      <c r="AG120" s="60" t="str">
        <f t="shared" si="24"/>
        <v>OK</v>
      </c>
    </row>
    <row r="121" spans="1:33">
      <c r="A121" s="61" t="str">
        <f t="shared" si="18"/>
        <v>LONDRINA [ETAPA 02 - AREAS EXTERNAS G2 - G6]XII22</v>
      </c>
      <c r="B121" s="263" t="s">
        <v>38</v>
      </c>
      <c r="C121" s="337" t="s">
        <v>510</v>
      </c>
      <c r="D121" s="166">
        <v>22</v>
      </c>
      <c r="E121" s="197">
        <v>252.75</v>
      </c>
      <c r="F121" s="166">
        <v>2806</v>
      </c>
      <c r="G121" s="338" t="s">
        <v>113</v>
      </c>
      <c r="H121" s="40">
        <v>41535</v>
      </c>
      <c r="I121" s="35">
        <v>87429.4</v>
      </c>
      <c r="J121" s="35" t="str">
        <f>IFERROR(VLOOKUP(CONCATENATE(B121,C121,D121,),Inadimplencia!$A$6:$K$110,6,0),"ATIVO")</f>
        <v>ATIVO</v>
      </c>
      <c r="K121" s="35">
        <f t="shared" si="19"/>
        <v>89754.94</v>
      </c>
      <c r="L121" s="325">
        <f t="shared" si="20"/>
        <v>1.02659906164288</v>
      </c>
      <c r="M121" s="423" t="str">
        <f t="shared" si="21"/>
        <v>ATIVO1</v>
      </c>
      <c r="N121" s="28"/>
      <c r="X121" s="203" t="str">
        <f t="shared" si="16"/>
        <v>LONDRINA [ETAPA 02 - AREAS EXTERNAS G2 - G6]ATIVO</v>
      </c>
      <c r="Y121" s="203" t="str">
        <f t="shared" si="17"/>
        <v>XII22CLAUDINEI DOS SANTOS SISNER</v>
      </c>
      <c r="Z121" s="203" t="str">
        <f t="shared" si="22"/>
        <v>XII22CLAUDINEI DOS SANTOS SISNER</v>
      </c>
      <c r="AA121" s="427" t="s">
        <v>510</v>
      </c>
      <c r="AB121" s="427">
        <v>22</v>
      </c>
      <c r="AC121" s="428" t="s">
        <v>113</v>
      </c>
      <c r="AD121" s="505">
        <v>89754.94</v>
      </c>
      <c r="AE121" s="506">
        <v>209137.45</v>
      </c>
      <c r="AF121" s="60" t="str">
        <f t="shared" si="23"/>
        <v>CLAUDINEI DOS SANTOS SISNER</v>
      </c>
      <c r="AG121" s="60" t="str">
        <f t="shared" si="24"/>
        <v>OK</v>
      </c>
    </row>
    <row r="122" spans="1:33">
      <c r="A122" s="61" t="str">
        <f t="shared" si="18"/>
        <v>LONDRINA [ETAPA 02 - AREAS EXTERNAS G2 - G6]XII23</v>
      </c>
      <c r="B122" s="263" t="s">
        <v>38</v>
      </c>
      <c r="C122" s="337" t="s">
        <v>510</v>
      </c>
      <c r="D122" s="73">
        <v>23</v>
      </c>
      <c r="E122" s="315">
        <v>252.75</v>
      </c>
      <c r="F122" s="166">
        <v>2513</v>
      </c>
      <c r="G122" s="74" t="s">
        <v>362</v>
      </c>
      <c r="H122" s="40">
        <v>41445</v>
      </c>
      <c r="I122" s="35">
        <v>83154.75</v>
      </c>
      <c r="J122" s="35" t="str">
        <f>IFERROR(VLOOKUP(CONCATENATE(B122,C122,D122,),Inadimplencia!$A$6:$K$110,6,0),"ATIVO")</f>
        <v>ATIVO</v>
      </c>
      <c r="K122" s="35">
        <f t="shared" si="19"/>
        <v>22301.87</v>
      </c>
      <c r="L122" s="325">
        <f t="shared" si="20"/>
        <v>0.26819718657082126</v>
      </c>
      <c r="M122" s="423" t="str">
        <f t="shared" si="21"/>
        <v>ATIVO0</v>
      </c>
      <c r="N122" s="28"/>
      <c r="X122" s="203" t="str">
        <f t="shared" si="16"/>
        <v>LONDRINA [ETAPA 02 - AREAS EXTERNAS G2 - G6]ATIVO</v>
      </c>
      <c r="Y122" s="203" t="str">
        <f t="shared" si="17"/>
        <v>XII23MARLI PEREIRA NEVES LEME</v>
      </c>
      <c r="Z122" s="203" t="str">
        <f t="shared" si="22"/>
        <v>XII23MARLI PEREIRA NEVES LEME</v>
      </c>
      <c r="AA122" s="427" t="s">
        <v>510</v>
      </c>
      <c r="AB122" s="427">
        <v>23</v>
      </c>
      <c r="AC122" s="428" t="s">
        <v>362</v>
      </c>
      <c r="AD122" s="505">
        <v>22301.87</v>
      </c>
      <c r="AE122" s="506">
        <v>128529.56</v>
      </c>
      <c r="AF122" s="60" t="str">
        <f t="shared" si="23"/>
        <v>MARLI PEREIRA NEVES LEME</v>
      </c>
      <c r="AG122" s="60" t="str">
        <f t="shared" si="24"/>
        <v>OK</v>
      </c>
    </row>
    <row r="123" spans="1:33">
      <c r="A123" s="61" t="str">
        <f t="shared" si="18"/>
        <v>LONDRINA [ETAPA 02 - AREAS EXTERNAS G2 - G6]XII30</v>
      </c>
      <c r="B123" s="263" t="s">
        <v>38</v>
      </c>
      <c r="C123" s="337" t="s">
        <v>510</v>
      </c>
      <c r="D123" s="166">
        <v>30</v>
      </c>
      <c r="E123" s="197">
        <v>252.75</v>
      </c>
      <c r="F123" s="166">
        <v>3760</v>
      </c>
      <c r="G123" s="338" t="s">
        <v>1120</v>
      </c>
      <c r="H123" s="40">
        <v>43864</v>
      </c>
      <c r="I123" s="35">
        <v>122200.2</v>
      </c>
      <c r="J123" s="35" t="str">
        <f>IFERROR(VLOOKUP(CONCATENATE(B123,C123,D123,),Inadimplencia!$A$6:$K$110,6,0),"ATIVO")</f>
        <v>ATIVO</v>
      </c>
      <c r="K123" s="35">
        <f t="shared" si="19"/>
        <v>135217.99</v>
      </c>
      <c r="L123" s="325">
        <f t="shared" si="20"/>
        <v>1.1065283853872578</v>
      </c>
      <c r="M123" s="423" t="str">
        <f t="shared" si="21"/>
        <v>ATIVO1</v>
      </c>
      <c r="N123" s="28"/>
      <c r="X123" s="203" t="str">
        <f t="shared" si="16"/>
        <v>LONDRINA [ETAPA 02 - AREAS EXTERNAS G2 - G6]ATIVO</v>
      </c>
      <c r="Y123" s="203" t="str">
        <f t="shared" si="17"/>
        <v>XII30VAGNER RODRIGO CREPALDI</v>
      </c>
      <c r="Z123" s="203" t="str">
        <f t="shared" si="22"/>
        <v>XII30VAGNER RODRIGO CREPALDI</v>
      </c>
      <c r="AA123" s="427" t="s">
        <v>510</v>
      </c>
      <c r="AB123" s="427">
        <v>30</v>
      </c>
      <c r="AC123" s="428" t="s">
        <v>1120</v>
      </c>
      <c r="AD123" s="505">
        <v>135217.99</v>
      </c>
      <c r="AE123" s="506">
        <v>161980.39000000001</v>
      </c>
      <c r="AF123" s="60" t="str">
        <f t="shared" si="23"/>
        <v>VAGNER RODRIGO CREPALDI</v>
      </c>
      <c r="AG123" s="60" t="str">
        <f t="shared" si="24"/>
        <v>OK</v>
      </c>
    </row>
    <row r="124" spans="1:33">
      <c r="A124" s="61" t="str">
        <f t="shared" si="18"/>
        <v>LONDRINA [ETAPA 02 - AREAS EXTERNAS G2 - G6]XII31</v>
      </c>
      <c r="B124" s="263" t="s">
        <v>38</v>
      </c>
      <c r="C124" s="337" t="s">
        <v>510</v>
      </c>
      <c r="D124" s="73">
        <v>31</v>
      </c>
      <c r="E124" s="315">
        <v>290.68</v>
      </c>
      <c r="F124" s="166">
        <v>2694</v>
      </c>
      <c r="G124" s="74" t="s">
        <v>234</v>
      </c>
      <c r="H124" s="40">
        <v>41472</v>
      </c>
      <c r="I124" s="35">
        <v>95633.72</v>
      </c>
      <c r="J124" s="35" t="str">
        <f>IFERROR(VLOOKUP(CONCATENATE(B124,C124,D124,),Inadimplencia!$A$6:$K$110,6,0),"ATIVO")</f>
        <v>ATIVO</v>
      </c>
      <c r="K124" s="35">
        <f t="shared" si="19"/>
        <v>13950.75</v>
      </c>
      <c r="L124" s="325">
        <f t="shared" si="20"/>
        <v>0.1458768936312422</v>
      </c>
      <c r="M124" s="423" t="str">
        <f t="shared" si="21"/>
        <v>ATIVO0</v>
      </c>
      <c r="N124" s="28"/>
      <c r="X124" s="203" t="str">
        <f t="shared" si="16"/>
        <v>LONDRINA [ETAPA 02 - AREAS EXTERNAS G2 - G6]ATIVO</v>
      </c>
      <c r="Y124" s="203" t="str">
        <f t="shared" si="17"/>
        <v>XII31HELBERT NILSON FAGGION</v>
      </c>
      <c r="Z124" s="203" t="str">
        <f t="shared" si="22"/>
        <v>XII31HELBERT NILSON FAGGION</v>
      </c>
      <c r="AA124" s="427" t="s">
        <v>510</v>
      </c>
      <c r="AB124" s="427">
        <v>31</v>
      </c>
      <c r="AC124" s="428" t="s">
        <v>234</v>
      </c>
      <c r="AD124" s="505">
        <v>13950.75</v>
      </c>
      <c r="AE124" s="506">
        <v>134705.51</v>
      </c>
      <c r="AF124" s="60" t="str">
        <f t="shared" si="23"/>
        <v>HELBERT NILSON FAGGION</v>
      </c>
      <c r="AG124" s="60" t="str">
        <f t="shared" si="24"/>
        <v>OK</v>
      </c>
    </row>
    <row r="125" spans="1:33">
      <c r="A125" s="61" t="str">
        <f t="shared" si="18"/>
        <v>LONDRINA [ETAPA 02 - AREAS EXTERNAS G2 - G6]XV2</v>
      </c>
      <c r="B125" s="263" t="s">
        <v>38</v>
      </c>
      <c r="C125" s="337" t="s">
        <v>511</v>
      </c>
      <c r="D125" s="166">
        <v>2</v>
      </c>
      <c r="E125" s="197">
        <v>253</v>
      </c>
      <c r="F125" s="166">
        <v>2409</v>
      </c>
      <c r="G125" s="338" t="s">
        <v>169</v>
      </c>
      <c r="H125" s="40">
        <v>41444</v>
      </c>
      <c r="I125" s="35">
        <v>73724.2</v>
      </c>
      <c r="J125" s="35" t="str">
        <f>IFERROR(VLOOKUP(CONCATENATE(B125,C125,D125,),Inadimplencia!$A$6:$K$110,6,0),"ATIVO")</f>
        <v>ATIVO</v>
      </c>
      <c r="K125" s="35">
        <f t="shared" si="19"/>
        <v>18653.61</v>
      </c>
      <c r="L125" s="325">
        <f t="shared" si="20"/>
        <v>0.25301881878677557</v>
      </c>
      <c r="M125" s="423" t="str">
        <f t="shared" si="21"/>
        <v>ATIVO0</v>
      </c>
      <c r="N125" s="28"/>
      <c r="X125" s="203" t="str">
        <f t="shared" si="16"/>
        <v>LONDRINA [ETAPA 02 - AREAS EXTERNAS G2 - G6]ATIVO</v>
      </c>
      <c r="Y125" s="203" t="str">
        <f t="shared" si="17"/>
        <v>XV2EDUARDO FERREIRA DE MELLO</v>
      </c>
      <c r="Z125" s="203" t="str">
        <f t="shared" si="22"/>
        <v>XV2EDUARDO FERREIRA DE MELLO</v>
      </c>
      <c r="AA125" s="427" t="s">
        <v>511</v>
      </c>
      <c r="AB125" s="427">
        <v>2</v>
      </c>
      <c r="AC125" s="428" t="s">
        <v>169</v>
      </c>
      <c r="AD125" s="505">
        <v>18653.61</v>
      </c>
      <c r="AE125" s="506">
        <v>104222.87</v>
      </c>
      <c r="AF125" s="60" t="str">
        <f t="shared" si="23"/>
        <v>EDUARDO FERREIRA DE MELLO</v>
      </c>
      <c r="AG125" s="60" t="str">
        <f t="shared" si="24"/>
        <v>OK</v>
      </c>
    </row>
    <row r="126" spans="1:33">
      <c r="A126" s="61" t="str">
        <f t="shared" si="18"/>
        <v>LONDRINA [ETAPA 02 - AREAS EXTERNAS G2 - G6]XV4</v>
      </c>
      <c r="B126" s="263" t="s">
        <v>38</v>
      </c>
      <c r="C126" s="337" t="s">
        <v>511</v>
      </c>
      <c r="D126" s="73">
        <v>4</v>
      </c>
      <c r="E126" s="315">
        <v>253</v>
      </c>
      <c r="F126" s="166">
        <v>2549</v>
      </c>
      <c r="G126" s="74" t="s">
        <v>271</v>
      </c>
      <c r="H126" s="40">
        <v>41445</v>
      </c>
      <c r="I126" s="35">
        <v>73724.2</v>
      </c>
      <c r="J126" s="35" t="str">
        <f>IFERROR(VLOOKUP(CONCATENATE(B126,C126,D126,),Inadimplencia!$A$6:$K$110,6,0),"ATIVO")</f>
        <v>ATRASO</v>
      </c>
      <c r="K126" s="35">
        <f t="shared" si="19"/>
        <v>57982.35</v>
      </c>
      <c r="L126" s="325">
        <f t="shared" si="20"/>
        <v>0.78647648940239434</v>
      </c>
      <c r="M126" s="423" t="str">
        <f t="shared" si="21"/>
        <v>ATRASO0</v>
      </c>
      <c r="N126" s="28"/>
      <c r="X126" s="203" t="str">
        <f t="shared" si="16"/>
        <v>LONDRINA [ETAPA 02 - AREAS EXTERNAS G2 - G6]ATRASO</v>
      </c>
      <c r="Y126" s="203" t="str">
        <f t="shared" si="17"/>
        <v>XV4JOSE CARLOS OLIVEIRA</v>
      </c>
      <c r="Z126" s="203" t="str">
        <f t="shared" si="22"/>
        <v>XV4JOSE CARLOS OLIVEIRA</v>
      </c>
      <c r="AA126" s="427" t="s">
        <v>511</v>
      </c>
      <c r="AB126" s="427">
        <v>4</v>
      </c>
      <c r="AC126" s="428" t="s">
        <v>271</v>
      </c>
      <c r="AD126" s="505">
        <v>57982.35</v>
      </c>
      <c r="AE126" s="506">
        <v>129035.95</v>
      </c>
      <c r="AF126" s="60" t="str">
        <f t="shared" si="23"/>
        <v>JOSE CARLOS OLIVEIRA</v>
      </c>
      <c r="AG126" s="60" t="str">
        <f t="shared" si="24"/>
        <v>OK</v>
      </c>
    </row>
    <row r="127" spans="1:33">
      <c r="A127" s="61" t="str">
        <f t="shared" si="18"/>
        <v>LONDRINA [ETAPA 02 - AREAS EXTERNAS G2 - G6]XV6</v>
      </c>
      <c r="B127" s="263" t="s">
        <v>38</v>
      </c>
      <c r="C127" s="337" t="s">
        <v>511</v>
      </c>
      <c r="D127" s="166">
        <v>6</v>
      </c>
      <c r="E127" s="197">
        <v>253</v>
      </c>
      <c r="F127" s="166">
        <v>5971</v>
      </c>
      <c r="G127" s="338" t="s">
        <v>322</v>
      </c>
      <c r="H127" s="40">
        <v>43039</v>
      </c>
      <c r="I127" s="35">
        <v>127767.53</v>
      </c>
      <c r="J127" s="35" t="str">
        <f>IFERROR(VLOOKUP(CONCATENATE(B127,C127,D127,),Inadimplencia!$A$6:$K$110,6,0),"ATIVO")</f>
        <v>ATIVO</v>
      </c>
      <c r="K127" s="35">
        <f t="shared" si="19"/>
        <v>28161.72</v>
      </c>
      <c r="L127" s="325">
        <f t="shared" si="20"/>
        <v>0.22041374674770656</v>
      </c>
      <c r="M127" s="423" t="str">
        <f t="shared" si="21"/>
        <v>ATIVO0</v>
      </c>
      <c r="N127" s="28"/>
      <c r="X127" s="203" t="str">
        <f t="shared" si="16"/>
        <v>LONDRINA [ETAPA 02 - AREAS EXTERNAS G2 - G6]ATIVO</v>
      </c>
      <c r="Y127" s="203" t="str">
        <f t="shared" si="17"/>
        <v>XV6LUIZ ROBERTO CARVALHO SALGADO</v>
      </c>
      <c r="Z127" s="203" t="str">
        <f t="shared" si="22"/>
        <v>XV6LUIZ ROBERTO CARVALHO SALGADO</v>
      </c>
      <c r="AA127" s="427" t="s">
        <v>511</v>
      </c>
      <c r="AB127" s="427">
        <v>6</v>
      </c>
      <c r="AC127" s="428" t="s">
        <v>322</v>
      </c>
      <c r="AD127" s="505">
        <v>28161.72</v>
      </c>
      <c r="AE127" s="506">
        <v>168304.57</v>
      </c>
      <c r="AF127" s="60" t="str">
        <f t="shared" si="23"/>
        <v>LUIZ ROBERTO CARVALHO SALGADO</v>
      </c>
      <c r="AG127" s="60" t="str">
        <f t="shared" si="24"/>
        <v>OK</v>
      </c>
    </row>
    <row r="128" spans="1:33">
      <c r="A128" s="61" t="str">
        <f t="shared" si="18"/>
        <v>LONDRINA [ETAPA 02 - AREAS EXTERNAS G2 - G6]XV8</v>
      </c>
      <c r="B128" s="263" t="s">
        <v>38</v>
      </c>
      <c r="C128" s="337" t="s">
        <v>511</v>
      </c>
      <c r="D128" s="73">
        <v>8</v>
      </c>
      <c r="E128" s="315">
        <v>253</v>
      </c>
      <c r="F128" s="166">
        <v>3766</v>
      </c>
      <c r="G128" s="74" t="s">
        <v>1142</v>
      </c>
      <c r="H128" s="40">
        <v>43864</v>
      </c>
      <c r="I128" s="35">
        <v>122200.2</v>
      </c>
      <c r="J128" s="35" t="str">
        <f>IFERROR(VLOOKUP(CONCATENATE(B128,C128,D128,),Inadimplencia!$A$6:$K$110,6,0),"ATIVO")</f>
        <v>ATIVO</v>
      </c>
      <c r="K128" s="35">
        <f t="shared" si="19"/>
        <v>110139.91</v>
      </c>
      <c r="L128" s="325">
        <f t="shared" si="20"/>
        <v>0.90130711733696023</v>
      </c>
      <c r="M128" s="423" t="str">
        <f t="shared" si="21"/>
        <v>ATIVO0</v>
      </c>
      <c r="N128" s="28"/>
      <c r="X128" s="203" t="str">
        <f t="shared" si="16"/>
        <v>LONDRINA [ETAPA 02 - AREAS EXTERNAS G2 - G6]ATIVO</v>
      </c>
      <c r="Y128" s="203" t="str">
        <f t="shared" si="17"/>
        <v>XV8ELTON JOHANATA GALDINI MATUO</v>
      </c>
      <c r="Z128" s="203" t="str">
        <f t="shared" si="22"/>
        <v>XV8ELTON JOHANATA GALDINI MATUO</v>
      </c>
      <c r="AA128" s="427" t="s">
        <v>511</v>
      </c>
      <c r="AB128" s="427">
        <v>8</v>
      </c>
      <c r="AC128" s="428" t="s">
        <v>1142</v>
      </c>
      <c r="AD128" s="505">
        <v>110139.91</v>
      </c>
      <c r="AE128" s="506">
        <v>142752.38</v>
      </c>
      <c r="AF128" s="60" t="str">
        <f t="shared" si="23"/>
        <v>ELTON JOHANATA GALDINI MATUO</v>
      </c>
      <c r="AG128" s="60" t="str">
        <f t="shared" si="24"/>
        <v>OK</v>
      </c>
    </row>
    <row r="129" spans="1:33">
      <c r="A129" s="61" t="str">
        <f t="shared" si="18"/>
        <v>LONDRINA [ETAPA 02 - AREAS EXTERNAS G2 - G6]XV10</v>
      </c>
      <c r="B129" s="263" t="s">
        <v>38</v>
      </c>
      <c r="C129" s="337" t="s">
        <v>511</v>
      </c>
      <c r="D129" s="166">
        <v>10</v>
      </c>
      <c r="E129" s="197">
        <v>253</v>
      </c>
      <c r="F129" s="166">
        <v>2764</v>
      </c>
      <c r="G129" s="338" t="s">
        <v>188</v>
      </c>
      <c r="H129" s="40">
        <v>41492</v>
      </c>
      <c r="I129" s="35">
        <v>73724.2</v>
      </c>
      <c r="J129" s="35" t="str">
        <f>IFERROR(VLOOKUP(CONCATENATE(B129,C129,D129,),Inadimplencia!$A$6:$K$110,6,0),"ATIVO")</f>
        <v>ATIVO</v>
      </c>
      <c r="K129" s="35">
        <f t="shared" si="19"/>
        <v>74291.8</v>
      </c>
      <c r="L129" s="325">
        <f t="shared" si="20"/>
        <v>1.0076989645191132</v>
      </c>
      <c r="M129" s="423" t="str">
        <f t="shared" si="21"/>
        <v>ATIVO1</v>
      </c>
      <c r="N129" s="28"/>
      <c r="X129" s="203" t="str">
        <f t="shared" si="16"/>
        <v>LONDRINA [ETAPA 02 - AREAS EXTERNAS G2 - G6]ATIVO</v>
      </c>
      <c r="Y129" s="203" t="str">
        <f t="shared" si="17"/>
        <v>XV10EMPORIUM DA PIZZA DELIVERY LTDA ME</v>
      </c>
      <c r="Z129" s="203" t="str">
        <f t="shared" si="22"/>
        <v>XV10EMPORIUM DA PIZZA DELIVERY LTDA ME</v>
      </c>
      <c r="AA129" s="427" t="s">
        <v>511</v>
      </c>
      <c r="AB129" s="427">
        <v>10</v>
      </c>
      <c r="AC129" s="428" t="s">
        <v>188</v>
      </c>
      <c r="AD129" s="505">
        <v>74291.8</v>
      </c>
      <c r="AE129" s="506">
        <v>143086.14000000001</v>
      </c>
      <c r="AF129" s="60" t="str">
        <f t="shared" si="23"/>
        <v>EMPORIUM DA PIZZA DELIVERY LTDA ME</v>
      </c>
      <c r="AG129" s="60" t="str">
        <f t="shared" si="24"/>
        <v>OK</v>
      </c>
    </row>
    <row r="130" spans="1:33">
      <c r="A130" s="61" t="str">
        <f t="shared" si="18"/>
        <v>LONDRINA [ETAPA 02 - AREAS EXTERNAS G2 - G6]XV11</v>
      </c>
      <c r="B130" s="263" t="s">
        <v>38</v>
      </c>
      <c r="C130" s="337" t="s">
        <v>511</v>
      </c>
      <c r="D130" s="73">
        <v>11</v>
      </c>
      <c r="E130" s="315">
        <v>253</v>
      </c>
      <c r="F130" s="166">
        <v>2815</v>
      </c>
      <c r="G130" s="74" t="s">
        <v>272</v>
      </c>
      <c r="H130" s="40">
        <v>41556</v>
      </c>
      <c r="I130" s="35">
        <v>77529.320000000007</v>
      </c>
      <c r="J130" s="35" t="str">
        <f>IFERROR(VLOOKUP(CONCATENATE(B130,C130,D130,),Inadimplencia!$A$6:$K$110,6,0),"ATIVO")</f>
        <v>INADIMPLENTE</v>
      </c>
      <c r="K130" s="35">
        <f t="shared" si="19"/>
        <v>99837.39</v>
      </c>
      <c r="L130" s="325">
        <f t="shared" si="20"/>
        <v>1.2877372070334163</v>
      </c>
      <c r="M130" s="423" t="str">
        <f t="shared" si="21"/>
        <v>INADIMPLENTE1</v>
      </c>
      <c r="N130" s="28"/>
      <c r="X130" s="203" t="str">
        <f t="shared" si="16"/>
        <v>LONDRINA [ETAPA 02 - AREAS EXTERNAS G2 - G6]INADIMPLENTE</v>
      </c>
      <c r="Y130" s="203" t="str">
        <f t="shared" si="17"/>
        <v>XV11JOSE CARLOS PEREIRA FARIA</v>
      </c>
      <c r="Z130" s="203" t="str">
        <f t="shared" si="22"/>
        <v>XV11JOSE CARLOS PEREIRA FARIA</v>
      </c>
      <c r="AA130" s="427" t="s">
        <v>511</v>
      </c>
      <c r="AB130" s="427">
        <v>11</v>
      </c>
      <c r="AC130" s="428" t="s">
        <v>272</v>
      </c>
      <c r="AD130" s="505">
        <v>99837.39</v>
      </c>
      <c r="AE130" s="506">
        <v>137826.72</v>
      </c>
      <c r="AF130" s="60" t="str">
        <f t="shared" si="23"/>
        <v>JOSE CARLOS PEREIRA FARIA</v>
      </c>
      <c r="AG130" s="60" t="str">
        <f t="shared" si="24"/>
        <v>OK</v>
      </c>
    </row>
    <row r="131" spans="1:33">
      <c r="A131" s="61" t="str">
        <f t="shared" si="18"/>
        <v>LONDRINA [ETAPA 02 - AREAS EXTERNAS G2 - G6]XV12</v>
      </c>
      <c r="B131" s="263" t="s">
        <v>38</v>
      </c>
      <c r="C131" s="337" t="s">
        <v>511</v>
      </c>
      <c r="D131" s="166">
        <v>12</v>
      </c>
      <c r="E131" s="197">
        <v>253</v>
      </c>
      <c r="F131" s="166">
        <v>2452</v>
      </c>
      <c r="G131" s="338" t="s">
        <v>274</v>
      </c>
      <c r="H131" s="40">
        <v>41453</v>
      </c>
      <c r="I131" s="35">
        <v>73724.2</v>
      </c>
      <c r="J131" s="35" t="str">
        <f>IFERROR(VLOOKUP(CONCATENATE(B131,C131,D131,),Inadimplencia!$A$6:$K$110,6,0),"ATIVO")</f>
        <v>ATIVO</v>
      </c>
      <c r="K131" s="35">
        <f t="shared" si="19"/>
        <v>70978.39</v>
      </c>
      <c r="L131" s="325">
        <f t="shared" si="20"/>
        <v>0.96275564875576813</v>
      </c>
      <c r="M131" s="423" t="str">
        <f t="shared" si="21"/>
        <v>ATIVO0</v>
      </c>
      <c r="N131" s="28"/>
      <c r="X131" s="203" t="str">
        <f t="shared" si="16"/>
        <v>LONDRINA [ETAPA 02 - AREAS EXTERNAS G2 - G6]ATIVO</v>
      </c>
      <c r="Y131" s="203" t="str">
        <f t="shared" si="17"/>
        <v>XV12JOSE LEONARDO SULINO</v>
      </c>
      <c r="Z131" s="203" t="str">
        <f t="shared" si="22"/>
        <v>XV12JOSE LEONARDO SULINO</v>
      </c>
      <c r="AA131" s="427" t="s">
        <v>511</v>
      </c>
      <c r="AB131" s="427">
        <v>12</v>
      </c>
      <c r="AC131" s="428" t="s">
        <v>274</v>
      </c>
      <c r="AD131" s="505">
        <v>70978.39</v>
      </c>
      <c r="AE131" s="506">
        <v>140786.06</v>
      </c>
      <c r="AF131" s="60" t="str">
        <f t="shared" si="23"/>
        <v>JOSE LEONARDO SULINO</v>
      </c>
      <c r="AG131" s="60" t="str">
        <f t="shared" si="24"/>
        <v>OK</v>
      </c>
    </row>
    <row r="132" spans="1:33">
      <c r="A132" s="61" t="str">
        <f t="shared" si="18"/>
        <v>LONDRINA [ETAPA 02 - AREAS EXTERNAS G2 - G6]XV15</v>
      </c>
      <c r="B132" s="263" t="s">
        <v>38</v>
      </c>
      <c r="C132" s="337" t="s">
        <v>511</v>
      </c>
      <c r="D132" s="73">
        <v>15</v>
      </c>
      <c r="E132" s="315">
        <v>253</v>
      </c>
      <c r="F132" s="166">
        <v>2541</v>
      </c>
      <c r="G132" s="74" t="s">
        <v>254</v>
      </c>
      <c r="H132" s="40">
        <v>41457</v>
      </c>
      <c r="I132" s="35">
        <v>73724.2</v>
      </c>
      <c r="J132" s="35" t="str">
        <f>IFERROR(VLOOKUP(CONCATENATE(B132,C132,D132,),Inadimplencia!$A$6:$K$110,6,0),"ATIVO")</f>
        <v>ATIVO</v>
      </c>
      <c r="K132" s="35">
        <f t="shared" si="19"/>
        <v>75888.160000000003</v>
      </c>
      <c r="L132" s="325">
        <f t="shared" si="20"/>
        <v>1.0293520987681115</v>
      </c>
      <c r="M132" s="423" t="str">
        <f t="shared" si="21"/>
        <v>ATIVO1</v>
      </c>
      <c r="N132" s="28"/>
      <c r="X132" s="203" t="str">
        <f t="shared" si="16"/>
        <v>LONDRINA [ETAPA 02 - AREAS EXTERNAS G2 - G6]ATIVO</v>
      </c>
      <c r="Y132" s="203" t="str">
        <f t="shared" si="17"/>
        <v>XV15JANIO VIEIRA ALVAREZ</v>
      </c>
      <c r="Z132" s="203" t="str">
        <f t="shared" si="22"/>
        <v>XV15JANIO VIEIRA ALVAREZ</v>
      </c>
      <c r="AA132" s="427" t="s">
        <v>511</v>
      </c>
      <c r="AB132" s="427">
        <v>15</v>
      </c>
      <c r="AC132" s="428" t="s">
        <v>254</v>
      </c>
      <c r="AD132" s="505">
        <v>75888.160000000003</v>
      </c>
      <c r="AE132" s="506">
        <v>143097.80000000002</v>
      </c>
      <c r="AF132" s="60" t="str">
        <f t="shared" si="23"/>
        <v>JANIO VIEIRA ALVAREZ</v>
      </c>
      <c r="AG132" s="60" t="str">
        <f t="shared" si="24"/>
        <v>OK</v>
      </c>
    </row>
    <row r="133" spans="1:33">
      <c r="A133" s="61" t="str">
        <f t="shared" si="18"/>
        <v>LONDRINA [ETAPA 02 - AREAS EXTERNAS G2 - G6]XV18</v>
      </c>
      <c r="B133" s="263" t="s">
        <v>38</v>
      </c>
      <c r="C133" s="337" t="s">
        <v>511</v>
      </c>
      <c r="D133" s="166">
        <v>18</v>
      </c>
      <c r="E133" s="197">
        <v>250.48</v>
      </c>
      <c r="F133" s="166">
        <v>2468</v>
      </c>
      <c r="G133" s="338" t="s">
        <v>455</v>
      </c>
      <c r="H133" s="40">
        <v>41445</v>
      </c>
      <c r="I133" s="35">
        <v>72989.87</v>
      </c>
      <c r="J133" s="35" t="str">
        <f>IFERROR(VLOOKUP(CONCATENATE(B133,C133,D133,),Inadimplencia!$A$6:$K$110,6,0),"ATIVO")</f>
        <v>ATIVO</v>
      </c>
      <c r="K133" s="35">
        <f t="shared" si="19"/>
        <v>64972.87</v>
      </c>
      <c r="L133" s="325">
        <f t="shared" si="20"/>
        <v>0.89016284040511384</v>
      </c>
      <c r="M133" s="423" t="str">
        <f t="shared" si="21"/>
        <v>ATIVO0</v>
      </c>
      <c r="N133" s="28"/>
      <c r="X133" s="203" t="str">
        <f t="shared" ref="X133:X196" si="25">CONCATENATE(B133,J133)</f>
        <v>LONDRINA [ETAPA 02 - AREAS EXTERNAS G2 - G6]ATIVO</v>
      </c>
      <c r="Y133" s="203" t="str">
        <f t="shared" ref="Y133:Y196" si="26">CONCATENATE(C133,D133,G133)</f>
        <v>XV18THIAGO MERCADANTE DREWS</v>
      </c>
      <c r="Z133" s="203" t="str">
        <f t="shared" si="22"/>
        <v>XV18THIAGO MERCADANTE DREWS</v>
      </c>
      <c r="AA133" s="427" t="s">
        <v>511</v>
      </c>
      <c r="AB133" s="427">
        <v>18</v>
      </c>
      <c r="AC133" s="428" t="s">
        <v>455</v>
      </c>
      <c r="AD133" s="505">
        <v>64972.87</v>
      </c>
      <c r="AE133" s="506">
        <v>138799.5</v>
      </c>
      <c r="AF133" s="60" t="str">
        <f t="shared" si="23"/>
        <v>THIAGO MERCADANTE DREWS</v>
      </c>
      <c r="AG133" s="60" t="str">
        <f t="shared" si="24"/>
        <v>OK</v>
      </c>
    </row>
    <row r="134" spans="1:33">
      <c r="A134" s="61" t="str">
        <f t="shared" ref="A134:A197" si="27">CONCATENATE(B134,C134,D134)</f>
        <v>LONDRINA [ETAPA 02 - AREAS EXTERNAS G2 - G6]XV20</v>
      </c>
      <c r="B134" s="263" t="s">
        <v>38</v>
      </c>
      <c r="C134" s="337" t="s">
        <v>511</v>
      </c>
      <c r="D134" s="73">
        <v>20</v>
      </c>
      <c r="E134" s="315">
        <v>264.79000000000002</v>
      </c>
      <c r="F134" s="166">
        <v>3521</v>
      </c>
      <c r="G134" s="74" t="s">
        <v>220</v>
      </c>
      <c r="H134" s="40">
        <v>41652</v>
      </c>
      <c r="I134" s="35">
        <v>81142.25</v>
      </c>
      <c r="J134" s="35" t="str">
        <f>IFERROR(VLOOKUP(CONCATENATE(B134,C134,D134,),Inadimplencia!$A$6:$K$110,6,0),"ATIVO")</f>
        <v>ATRASO</v>
      </c>
      <c r="K134" s="35">
        <f t="shared" ref="K134:K197" si="28">VLOOKUP(Y134,$Z$5:$AD$520,5,0)</f>
        <v>74676.790000000008</v>
      </c>
      <c r="L134" s="325">
        <f t="shared" ref="L134:L197" si="29">K134/I134</f>
        <v>0.92031943900988711</v>
      </c>
      <c r="M134" s="423" t="str">
        <f t="shared" ref="M134:M197" si="30">CONCATENATE(J134,IF(L134&gt;100%,1,0))</f>
        <v>ATRASO0</v>
      </c>
      <c r="N134" s="28"/>
      <c r="X134" s="203" t="str">
        <f t="shared" si="25"/>
        <v>LONDRINA [ETAPA 02 - AREAS EXTERNAS G2 - G6]ATRASO</v>
      </c>
      <c r="Y134" s="203" t="str">
        <f t="shared" si="26"/>
        <v>XV20GABRIELA FERNANDA GRILO SILVA</v>
      </c>
      <c r="Z134" s="203" t="str">
        <f t="shared" ref="Z134:Z197" si="31">CONCATENATE(AA134,AB134,AC134)</f>
        <v>XV20GABRIELA FERNANDA GRILO SILVA</v>
      </c>
      <c r="AA134" s="427" t="s">
        <v>511</v>
      </c>
      <c r="AB134" s="427">
        <v>20</v>
      </c>
      <c r="AC134" s="428" t="s">
        <v>220</v>
      </c>
      <c r="AD134" s="505">
        <v>74676.790000000008</v>
      </c>
      <c r="AE134" s="506">
        <v>144901.89000000001</v>
      </c>
      <c r="AF134" s="60" t="str">
        <f t="shared" ref="AF134:AF197" si="32">VLOOKUP(AC134,$G$5:$G$520,1,0)</f>
        <v>GABRIELA FERNANDA GRILO SILVA</v>
      </c>
      <c r="AG134" s="60" t="str">
        <f t="shared" ref="AG134:AG197" si="33">IF(AC134=AF134,"OK","NÃO BATE")</f>
        <v>OK</v>
      </c>
    </row>
    <row r="135" spans="1:33">
      <c r="A135" s="61" t="str">
        <f t="shared" si="27"/>
        <v>LONDRINA [ETAPA 02 - AREAS EXTERNAS G2 - G6]XV21</v>
      </c>
      <c r="B135" s="263" t="s">
        <v>38</v>
      </c>
      <c r="C135" s="337" t="s">
        <v>511</v>
      </c>
      <c r="D135" s="166">
        <v>21</v>
      </c>
      <c r="E135" s="197">
        <v>271.89</v>
      </c>
      <c r="F135" s="166">
        <v>2738</v>
      </c>
      <c r="G135" s="338" t="s">
        <v>161</v>
      </c>
      <c r="H135" s="40">
        <v>41464</v>
      </c>
      <c r="I135" s="35">
        <v>76672.98</v>
      </c>
      <c r="J135" s="35" t="str">
        <f>IFERROR(VLOOKUP(CONCATENATE(B135,C135,D135,),Inadimplencia!$A$6:$K$110,6,0),"ATIVO")</f>
        <v>INADIMPLENTE</v>
      </c>
      <c r="K135" s="35">
        <f t="shared" si="28"/>
        <v>97844.72</v>
      </c>
      <c r="L135" s="325">
        <f t="shared" si="29"/>
        <v>1.2761303916973099</v>
      </c>
      <c r="M135" s="423" t="str">
        <f t="shared" si="30"/>
        <v>INADIMPLENTE1</v>
      </c>
      <c r="N135" s="28"/>
      <c r="X135" s="203" t="str">
        <f t="shared" si="25"/>
        <v>LONDRINA [ETAPA 02 - AREAS EXTERNAS G2 - G6]INADIMPLENTE</v>
      </c>
      <c r="Y135" s="203" t="str">
        <f t="shared" si="26"/>
        <v>XV21EDMILSON TEIXEIRA DE VASCONCELOS</v>
      </c>
      <c r="Z135" s="203" t="str">
        <f t="shared" si="31"/>
        <v>XV21EDMILSON TEIXEIRA DE VASCONCELOS</v>
      </c>
      <c r="AA135" s="427" t="s">
        <v>511</v>
      </c>
      <c r="AB135" s="427">
        <v>21</v>
      </c>
      <c r="AC135" s="428" t="s">
        <v>161</v>
      </c>
      <c r="AD135" s="505">
        <v>97844.72</v>
      </c>
      <c r="AE135" s="506">
        <v>153738.97</v>
      </c>
      <c r="AF135" s="60" t="str">
        <f t="shared" si="32"/>
        <v>EDMILSON TEIXEIRA DE VASCONCELOS</v>
      </c>
      <c r="AG135" s="60" t="str">
        <f t="shared" si="33"/>
        <v>OK</v>
      </c>
    </row>
    <row r="136" spans="1:33">
      <c r="A136" s="61" t="str">
        <f t="shared" si="27"/>
        <v>LONDRINA [ETAPA 02 - AREAS EXTERNAS G2 - G6]XV22</v>
      </c>
      <c r="B136" s="263" t="s">
        <v>38</v>
      </c>
      <c r="C136" s="337" t="s">
        <v>511</v>
      </c>
      <c r="D136" s="73">
        <v>22</v>
      </c>
      <c r="E136" s="315">
        <v>268.33999999999997</v>
      </c>
      <c r="F136" s="166">
        <v>2739</v>
      </c>
      <c r="G136" s="74" t="s">
        <v>161</v>
      </c>
      <c r="H136" s="40">
        <v>41464</v>
      </c>
      <c r="I136" s="35">
        <v>75671.88</v>
      </c>
      <c r="J136" s="35" t="str">
        <f>IFERROR(VLOOKUP(CONCATENATE(B136,C136,D136,),Inadimplencia!$A$6:$K$110,6,0),"ATIVO")</f>
        <v>INADIMPLENTE</v>
      </c>
      <c r="K136" s="35">
        <f t="shared" si="28"/>
        <v>96565.42</v>
      </c>
      <c r="L136" s="325">
        <f t="shared" si="29"/>
        <v>1.2761070558839029</v>
      </c>
      <c r="M136" s="423" t="str">
        <f t="shared" si="30"/>
        <v>INADIMPLENTE1</v>
      </c>
      <c r="N136" s="28"/>
      <c r="X136" s="203" t="str">
        <f t="shared" si="25"/>
        <v>LONDRINA [ETAPA 02 - AREAS EXTERNAS G2 - G6]INADIMPLENTE</v>
      </c>
      <c r="Y136" s="203" t="str">
        <f t="shared" si="26"/>
        <v>XV22EDMILSON TEIXEIRA DE VASCONCELOS</v>
      </c>
      <c r="Z136" s="203" t="str">
        <f t="shared" si="31"/>
        <v>XV22EDMILSON TEIXEIRA DE VASCONCELOS</v>
      </c>
      <c r="AA136" s="427" t="s">
        <v>511</v>
      </c>
      <c r="AB136" s="427">
        <v>22</v>
      </c>
      <c r="AC136" s="428" t="s">
        <v>161</v>
      </c>
      <c r="AD136" s="505">
        <v>96565.42</v>
      </c>
      <c r="AE136" s="506">
        <v>149699.6</v>
      </c>
      <c r="AF136" s="60" t="str">
        <f t="shared" si="32"/>
        <v>EDMILSON TEIXEIRA DE VASCONCELOS</v>
      </c>
      <c r="AG136" s="60" t="str">
        <f t="shared" si="33"/>
        <v>OK</v>
      </c>
    </row>
    <row r="137" spans="1:33">
      <c r="A137" s="61" t="str">
        <f t="shared" si="27"/>
        <v>LONDRINA [ETAPA 02 - AREAS EXTERNAS G2 - G6]XV23</v>
      </c>
      <c r="B137" s="263" t="s">
        <v>38</v>
      </c>
      <c r="C137" s="337" t="s">
        <v>511</v>
      </c>
      <c r="D137" s="166">
        <v>23</v>
      </c>
      <c r="E137" s="197">
        <v>268.33999999999997</v>
      </c>
      <c r="F137" s="166">
        <v>2433</v>
      </c>
      <c r="G137" s="338" t="s">
        <v>177</v>
      </c>
      <c r="H137" s="40">
        <v>41447</v>
      </c>
      <c r="I137" s="35">
        <v>75671.88</v>
      </c>
      <c r="J137" s="35" t="str">
        <f>IFERROR(VLOOKUP(CONCATENATE(B137,C137,D137,),Inadimplencia!$A$6:$K$110,6,0),"ATIVO")</f>
        <v>ATIVO</v>
      </c>
      <c r="K137" s="35">
        <f t="shared" si="28"/>
        <v>68467.399999999994</v>
      </c>
      <c r="L137" s="325">
        <f t="shared" si="29"/>
        <v>0.90479316755444683</v>
      </c>
      <c r="M137" s="423" t="str">
        <f t="shared" si="30"/>
        <v>ATIVO0</v>
      </c>
      <c r="N137" s="28"/>
      <c r="X137" s="203" t="str">
        <f t="shared" si="25"/>
        <v>LONDRINA [ETAPA 02 - AREAS EXTERNAS G2 - G6]ATIVO</v>
      </c>
      <c r="Y137" s="203" t="str">
        <f t="shared" si="26"/>
        <v>XV23ELIANARA CARVALHO DA SILVA</v>
      </c>
      <c r="Z137" s="203" t="str">
        <f t="shared" si="31"/>
        <v>XV23ELIANARA CARVALHO DA SILVA</v>
      </c>
      <c r="AA137" s="427" t="s">
        <v>511</v>
      </c>
      <c r="AB137" s="427">
        <v>23</v>
      </c>
      <c r="AC137" s="428" t="s">
        <v>177</v>
      </c>
      <c r="AD137" s="505">
        <v>68467.399999999994</v>
      </c>
      <c r="AE137" s="506">
        <v>143521.13</v>
      </c>
      <c r="AF137" s="60" t="str">
        <f t="shared" si="32"/>
        <v>ELIANARA CARVALHO DA SILVA</v>
      </c>
      <c r="AG137" s="60" t="str">
        <f t="shared" si="33"/>
        <v>OK</v>
      </c>
    </row>
    <row r="138" spans="1:33">
      <c r="A138" s="61" t="str">
        <f t="shared" si="27"/>
        <v>LONDRINA [ETAPA 02 - AREAS EXTERNAS G2 - G6]XV24</v>
      </c>
      <c r="B138" s="263" t="s">
        <v>38</v>
      </c>
      <c r="C138" s="337" t="s">
        <v>511</v>
      </c>
      <c r="D138" s="73">
        <v>24</v>
      </c>
      <c r="E138" s="315">
        <v>268.33999999999997</v>
      </c>
      <c r="F138" s="166">
        <v>2353</v>
      </c>
      <c r="G138" s="74" t="s">
        <v>80</v>
      </c>
      <c r="H138" s="40">
        <v>41443</v>
      </c>
      <c r="I138" s="35">
        <v>75671.88</v>
      </c>
      <c r="J138" s="35" t="str">
        <f>IFERROR(VLOOKUP(CONCATENATE(B138,C138,D138,),Inadimplencia!$A$6:$K$110,6,0),"ATIVO")</f>
        <v>ATIVO</v>
      </c>
      <c r="K138" s="35">
        <f t="shared" si="28"/>
        <v>37479.450000000004</v>
      </c>
      <c r="L138" s="325">
        <f t="shared" si="29"/>
        <v>0.49528900299556455</v>
      </c>
      <c r="M138" s="423" t="str">
        <f t="shared" si="30"/>
        <v>ATIVO0</v>
      </c>
      <c r="N138" s="28"/>
      <c r="X138" s="203" t="str">
        <f t="shared" si="25"/>
        <v>LONDRINA [ETAPA 02 - AREAS EXTERNAS G2 - G6]ATIVO</v>
      </c>
      <c r="Y138" s="203" t="str">
        <f t="shared" si="26"/>
        <v>XV24ANTONIO LUIZ SOKOLOSKI</v>
      </c>
      <c r="Z138" s="203" t="str">
        <f t="shared" si="31"/>
        <v>XV24ANTONIO LUIZ SOKOLOSKI</v>
      </c>
      <c r="AA138" s="427" t="s">
        <v>511</v>
      </c>
      <c r="AB138" s="427">
        <v>24</v>
      </c>
      <c r="AC138" s="428" t="s">
        <v>80</v>
      </c>
      <c r="AD138" s="505">
        <v>37479.450000000004</v>
      </c>
      <c r="AE138" s="506">
        <v>165891.1</v>
      </c>
      <c r="AF138" s="60" t="str">
        <f t="shared" si="32"/>
        <v>ANTONIO LUIZ SOKOLOSKI</v>
      </c>
      <c r="AG138" s="60" t="str">
        <f t="shared" si="33"/>
        <v>OK</v>
      </c>
    </row>
    <row r="139" spans="1:33">
      <c r="A139" s="61" t="str">
        <f t="shared" si="27"/>
        <v>LONDRINA [ETAPA 02 - AREAS EXTERNAS G2 - G6]XV26</v>
      </c>
      <c r="B139" s="263" t="s">
        <v>38</v>
      </c>
      <c r="C139" s="337" t="s">
        <v>511</v>
      </c>
      <c r="D139" s="166">
        <v>26</v>
      </c>
      <c r="E139" s="197">
        <v>268.33999999999997</v>
      </c>
      <c r="F139" s="166">
        <v>3406</v>
      </c>
      <c r="G139" s="338" t="s">
        <v>83</v>
      </c>
      <c r="H139" s="40">
        <v>41624</v>
      </c>
      <c r="I139" s="35">
        <v>79385.820000000007</v>
      </c>
      <c r="J139" s="35" t="str">
        <f>IFERROR(VLOOKUP(CONCATENATE(B139,C139,D139,),Inadimplencia!$A$6:$K$110,6,0),"ATIVO")</f>
        <v>INADIMPLENTE</v>
      </c>
      <c r="K139" s="35">
        <f t="shared" si="28"/>
        <v>86135.66</v>
      </c>
      <c r="L139" s="325">
        <f t="shared" si="29"/>
        <v>1.08502576404703</v>
      </c>
      <c r="M139" s="423" t="str">
        <f t="shared" si="30"/>
        <v>INADIMPLENTE1</v>
      </c>
      <c r="N139" s="28"/>
      <c r="X139" s="203" t="str">
        <f t="shared" si="25"/>
        <v>LONDRINA [ETAPA 02 - AREAS EXTERNAS G2 - G6]INADIMPLENTE</v>
      </c>
      <c r="Y139" s="203" t="str">
        <f t="shared" si="26"/>
        <v>XV26APARECIDA CASTORINA DA SILVA</v>
      </c>
      <c r="Z139" s="203" t="str">
        <f t="shared" si="31"/>
        <v>XV26APARECIDA CASTORINA DA SILVA</v>
      </c>
      <c r="AA139" s="427" t="s">
        <v>511</v>
      </c>
      <c r="AB139" s="427">
        <v>26</v>
      </c>
      <c r="AC139" s="428" t="s">
        <v>83</v>
      </c>
      <c r="AD139" s="505">
        <v>86135.66</v>
      </c>
      <c r="AE139" s="506">
        <v>187981.15</v>
      </c>
      <c r="AF139" s="60" t="str">
        <f t="shared" si="32"/>
        <v>APARECIDA CASTORINA DA SILVA</v>
      </c>
      <c r="AG139" s="60" t="str">
        <f t="shared" si="33"/>
        <v>OK</v>
      </c>
    </row>
    <row r="140" spans="1:33">
      <c r="A140" s="61" t="str">
        <f t="shared" si="27"/>
        <v>LONDRINA [ETAPA 02 - AREAS EXTERNAS G2 - G6]XVIII1</v>
      </c>
      <c r="B140" s="263" t="s">
        <v>38</v>
      </c>
      <c r="C140" s="337" t="s">
        <v>512</v>
      </c>
      <c r="D140" s="73">
        <v>1</v>
      </c>
      <c r="E140" s="315">
        <v>265.02</v>
      </c>
      <c r="F140" s="166">
        <v>5288</v>
      </c>
      <c r="G140" s="74" t="s">
        <v>323</v>
      </c>
      <c r="H140" s="40">
        <v>42628</v>
      </c>
      <c r="I140" s="35">
        <v>128501.96</v>
      </c>
      <c r="J140" s="35" t="str">
        <f>IFERROR(VLOOKUP(CONCATENATE(B140,C140,D140,),Inadimplencia!$A$6:$K$110,6,0),"ATIVO")</f>
        <v>ATIVO</v>
      </c>
      <c r="K140" s="35">
        <f t="shared" si="28"/>
        <v>126458.68000000001</v>
      </c>
      <c r="L140" s="325">
        <f t="shared" si="29"/>
        <v>0.98409923085998063</v>
      </c>
      <c r="M140" s="423" t="str">
        <f t="shared" si="30"/>
        <v>ATIVO0</v>
      </c>
      <c r="N140" s="28"/>
      <c r="X140" s="203" t="str">
        <f t="shared" si="25"/>
        <v>LONDRINA [ETAPA 02 - AREAS EXTERNAS G2 - G6]ATIVO</v>
      </c>
      <c r="Y140" s="203" t="str">
        <f t="shared" si="26"/>
        <v>XVIII1LUZIA DO CARMO ALVES</v>
      </c>
      <c r="Z140" s="203" t="str">
        <f t="shared" si="31"/>
        <v>XVIII1LUZIA DO CARMO ALVES</v>
      </c>
      <c r="AA140" s="427" t="s">
        <v>512</v>
      </c>
      <c r="AB140" s="427">
        <v>1</v>
      </c>
      <c r="AC140" s="428" t="s">
        <v>323</v>
      </c>
      <c r="AD140" s="505">
        <v>126458.68000000001</v>
      </c>
      <c r="AE140" s="506">
        <v>198679.05000000002</v>
      </c>
      <c r="AF140" s="60" t="str">
        <f t="shared" si="32"/>
        <v>LUZIA DO CARMO ALVES</v>
      </c>
      <c r="AG140" s="60" t="str">
        <f t="shared" si="33"/>
        <v>OK</v>
      </c>
    </row>
    <row r="141" spans="1:33">
      <c r="A141" s="61" t="str">
        <f t="shared" si="27"/>
        <v>LONDRINA [ETAPA 02 - AREAS EXTERNAS G2 - G6]XVIII3</v>
      </c>
      <c r="B141" s="263" t="s">
        <v>38</v>
      </c>
      <c r="C141" s="337" t="s">
        <v>512</v>
      </c>
      <c r="D141" s="166">
        <v>3</v>
      </c>
      <c r="E141" s="197">
        <v>265.02</v>
      </c>
      <c r="F141" s="166">
        <v>2388</v>
      </c>
      <c r="G141" s="338" t="s">
        <v>444</v>
      </c>
      <c r="H141" s="40">
        <v>41446</v>
      </c>
      <c r="I141" s="35">
        <v>84700.39</v>
      </c>
      <c r="J141" s="35" t="str">
        <f>IFERROR(VLOOKUP(CONCATENATE(B141,C141,D141,),Inadimplencia!$A$6:$K$110,6,0),"ATIVO")</f>
        <v>INADIMPLENTE</v>
      </c>
      <c r="K141" s="35">
        <f t="shared" si="28"/>
        <v>57078.340000000004</v>
      </c>
      <c r="L141" s="325">
        <f t="shared" si="29"/>
        <v>0.67388520879301739</v>
      </c>
      <c r="M141" s="423" t="str">
        <f t="shared" si="30"/>
        <v>INADIMPLENTE0</v>
      </c>
      <c r="N141" s="28"/>
      <c r="X141" s="203" t="str">
        <f t="shared" si="25"/>
        <v>LONDRINA [ETAPA 02 - AREAS EXTERNAS G2 - G6]INADIMPLENTE</v>
      </c>
      <c r="Y141" s="203" t="str">
        <f t="shared" si="26"/>
        <v>XVIII3SILVANO MARCOS DE SOUZA</v>
      </c>
      <c r="Z141" s="203" t="str">
        <f t="shared" si="31"/>
        <v>XVIII3SILVANO MARCOS DE SOUZA</v>
      </c>
      <c r="AA141" s="427" t="s">
        <v>512</v>
      </c>
      <c r="AB141" s="427">
        <v>3</v>
      </c>
      <c r="AC141" s="428" t="s">
        <v>444</v>
      </c>
      <c r="AD141" s="505">
        <v>57078.340000000004</v>
      </c>
      <c r="AE141" s="506">
        <v>102156.86</v>
      </c>
      <c r="AF141" s="60" t="str">
        <f t="shared" si="32"/>
        <v>SILVANO MARCOS DE SOUZA</v>
      </c>
      <c r="AG141" s="60" t="str">
        <f t="shared" si="33"/>
        <v>OK</v>
      </c>
    </row>
    <row r="142" spans="1:33">
      <c r="A142" s="61" t="str">
        <f t="shared" si="27"/>
        <v>LONDRINA [ETAPA 02 - AREAS EXTERNAS G2 - G6]XVIII5</v>
      </c>
      <c r="B142" s="263" t="s">
        <v>38</v>
      </c>
      <c r="C142" s="337" t="s">
        <v>512</v>
      </c>
      <c r="D142" s="73">
        <v>5</v>
      </c>
      <c r="E142" s="315">
        <v>265.02</v>
      </c>
      <c r="F142" s="166">
        <v>3919</v>
      </c>
      <c r="G142" s="74" t="s">
        <v>1175</v>
      </c>
      <c r="H142" s="40">
        <v>43985</v>
      </c>
      <c r="I142" s="35">
        <v>93060.2</v>
      </c>
      <c r="J142" s="35" t="str">
        <f>IFERROR(VLOOKUP(CONCATENATE(B142,C142,D142,),Inadimplencia!$A$6:$K$110,6,0),"ATIVO")</f>
        <v>ATIVO</v>
      </c>
      <c r="K142" s="35">
        <f t="shared" si="28"/>
        <v>81866.87</v>
      </c>
      <c r="L142" s="325">
        <f t="shared" si="29"/>
        <v>0.87971947191173028</v>
      </c>
      <c r="M142" s="423" t="str">
        <f t="shared" si="30"/>
        <v>ATIVO0</v>
      </c>
      <c r="N142" s="28"/>
      <c r="X142" s="203" t="str">
        <f t="shared" si="25"/>
        <v>LONDRINA [ETAPA 02 - AREAS EXTERNAS G2 - G6]ATIVO</v>
      </c>
      <c r="Y142" s="203" t="str">
        <f t="shared" si="26"/>
        <v>XVIII5WASHINGTON SOARES DE OLIVEIRA</v>
      </c>
      <c r="Z142" s="203" t="str">
        <f t="shared" si="31"/>
        <v>XVIII5WASHINGTON SOARES DE OLIVEIRA</v>
      </c>
      <c r="AA142" s="427" t="s">
        <v>512</v>
      </c>
      <c r="AB142" s="427">
        <v>5</v>
      </c>
      <c r="AC142" s="428" t="s">
        <v>1175</v>
      </c>
      <c r="AD142" s="505">
        <v>81866.87</v>
      </c>
      <c r="AE142" s="506">
        <v>104546.25</v>
      </c>
      <c r="AF142" s="60" t="str">
        <f t="shared" si="32"/>
        <v>WASHINGTON SOARES DE OLIVEIRA</v>
      </c>
      <c r="AG142" s="60" t="str">
        <f t="shared" si="33"/>
        <v>OK</v>
      </c>
    </row>
    <row r="143" spans="1:33">
      <c r="A143" s="61" t="str">
        <f t="shared" si="27"/>
        <v>LONDRINA [ETAPA 02 - AREAS EXTERNAS G2 - G6]XVIII7</v>
      </c>
      <c r="B143" s="263" t="s">
        <v>38</v>
      </c>
      <c r="C143" s="337" t="s">
        <v>512</v>
      </c>
      <c r="D143" s="166">
        <v>7</v>
      </c>
      <c r="E143" s="197">
        <v>257.86</v>
      </c>
      <c r="F143" s="166"/>
      <c r="G143" s="338" t="s">
        <v>1128</v>
      </c>
      <c r="H143" s="40">
        <v>43418</v>
      </c>
      <c r="I143" s="35">
        <v>79900</v>
      </c>
      <c r="J143" s="35" t="str">
        <f>IFERROR(VLOOKUP(CONCATENATE(B143,C143,D143,),Inadimplencia!$A$6:$K$110,6,0),"ATIVO")</f>
        <v>ATIVO</v>
      </c>
      <c r="K143" s="35">
        <f t="shared" si="28"/>
        <v>80071.95</v>
      </c>
      <c r="L143" s="325">
        <f t="shared" si="29"/>
        <v>1.0021520650813516</v>
      </c>
      <c r="M143" s="423" t="str">
        <f t="shared" si="30"/>
        <v>ATIVO1</v>
      </c>
      <c r="N143" s="28"/>
      <c r="X143" s="203" t="str">
        <f t="shared" si="25"/>
        <v>LONDRINA [ETAPA 02 - AREAS EXTERNAS G2 - G6]ATIVO</v>
      </c>
      <c r="Y143" s="203" t="str">
        <f t="shared" si="26"/>
        <v>XVIII7IZAEL DE PAULA GUIMARAES</v>
      </c>
      <c r="Z143" s="203" t="str">
        <f t="shared" si="31"/>
        <v>XVIII7IZAEL DE PAULA GUIMARAES</v>
      </c>
      <c r="AA143" s="427" t="s">
        <v>512</v>
      </c>
      <c r="AB143" s="427">
        <v>7</v>
      </c>
      <c r="AC143" s="428" t="s">
        <v>1128</v>
      </c>
      <c r="AD143" s="505">
        <v>80071.95</v>
      </c>
      <c r="AE143" s="506">
        <v>108988.1</v>
      </c>
      <c r="AF143" s="60" t="str">
        <f t="shared" si="32"/>
        <v>IZAEL DE PAULA GUIMARAES</v>
      </c>
      <c r="AG143" s="60" t="str">
        <f t="shared" si="33"/>
        <v>OK</v>
      </c>
    </row>
    <row r="144" spans="1:33">
      <c r="A144" s="61" t="str">
        <f t="shared" si="27"/>
        <v>LONDRINA [ETAPA 02 - AREAS EXTERNAS G2 - G6]XVIII8</v>
      </c>
      <c r="B144" s="263" t="s">
        <v>38</v>
      </c>
      <c r="C144" s="337" t="s">
        <v>512</v>
      </c>
      <c r="D144" s="73">
        <v>8</v>
      </c>
      <c r="E144" s="315">
        <v>253.77</v>
      </c>
      <c r="F144" s="166">
        <v>6826</v>
      </c>
      <c r="G144" s="74" t="s">
        <v>908</v>
      </c>
      <c r="H144" s="40">
        <v>43451</v>
      </c>
      <c r="I144" s="35">
        <v>79900</v>
      </c>
      <c r="J144" s="35" t="str">
        <f>IFERROR(VLOOKUP(CONCATENATE(B144,C144,D144,),Inadimplencia!$A$6:$K$110,6,0),"ATIVO")</f>
        <v>ATIVO</v>
      </c>
      <c r="K144" s="35">
        <f t="shared" si="28"/>
        <v>58184.450000000004</v>
      </c>
      <c r="L144" s="325">
        <f t="shared" si="29"/>
        <v>0.72821589486858573</v>
      </c>
      <c r="M144" s="423" t="str">
        <f t="shared" si="30"/>
        <v>ATIVO0</v>
      </c>
      <c r="N144" s="28"/>
      <c r="X144" s="203" t="str">
        <f t="shared" si="25"/>
        <v>LONDRINA [ETAPA 02 - AREAS EXTERNAS G2 - G6]ATIVO</v>
      </c>
      <c r="Y144" s="203" t="str">
        <f t="shared" si="26"/>
        <v>XVIII8NATANAEL CARVALHO DOS SANTOS</v>
      </c>
      <c r="Z144" s="203" t="str">
        <f t="shared" si="31"/>
        <v>XVIII8NATANAEL CARVALHO DOS SANTOS</v>
      </c>
      <c r="AA144" s="427" t="s">
        <v>512</v>
      </c>
      <c r="AB144" s="427">
        <v>8</v>
      </c>
      <c r="AC144" s="428" t="s">
        <v>908</v>
      </c>
      <c r="AD144" s="505">
        <v>58184.450000000004</v>
      </c>
      <c r="AE144" s="506">
        <v>101619.61</v>
      </c>
      <c r="AF144" s="60" t="str">
        <f t="shared" si="32"/>
        <v>NATANAEL CARVALHO DOS SANTOS</v>
      </c>
      <c r="AG144" s="60" t="str">
        <f t="shared" si="33"/>
        <v>OK</v>
      </c>
    </row>
    <row r="145" spans="1:33" ht="18" customHeight="1">
      <c r="A145" s="61" t="str">
        <f t="shared" si="27"/>
        <v>LONDRINA [ETAPA 02 - AREAS EXTERNAS G2 - G6]XVIII12</v>
      </c>
      <c r="B145" s="263" t="s">
        <v>38</v>
      </c>
      <c r="C145" s="337" t="s">
        <v>512</v>
      </c>
      <c r="D145" s="166">
        <v>12</v>
      </c>
      <c r="E145" s="197">
        <v>255.81</v>
      </c>
      <c r="F145" s="166">
        <v>6786</v>
      </c>
      <c r="G145" s="338" t="s">
        <v>874</v>
      </c>
      <c r="H145" s="40">
        <v>43439</v>
      </c>
      <c r="I145" s="35">
        <v>77080</v>
      </c>
      <c r="J145" s="35" t="str">
        <f>IFERROR(VLOOKUP(CONCATENATE(B145,C145,D145,),Inadimplencia!$A$6:$K$110,6,0),"ATIVO")</f>
        <v>ATIVO</v>
      </c>
      <c r="K145" s="35">
        <f t="shared" si="28"/>
        <v>63225.33</v>
      </c>
      <c r="L145" s="325">
        <f t="shared" si="29"/>
        <v>0.8202559678256357</v>
      </c>
      <c r="M145" s="423" t="str">
        <f t="shared" si="30"/>
        <v>ATIVO0</v>
      </c>
      <c r="N145" s="28"/>
      <c r="X145" s="203" t="str">
        <f t="shared" si="25"/>
        <v>LONDRINA [ETAPA 02 - AREAS EXTERNAS G2 - G6]ATIVO</v>
      </c>
      <c r="Y145" s="203" t="str">
        <f t="shared" si="26"/>
        <v>XVIII12MIRIAM QUADROS MONTEIRO MARTINS</v>
      </c>
      <c r="Z145" s="203" t="str">
        <f t="shared" si="31"/>
        <v>XVIII12MIRIAM QUADROS MONTEIRO MARTINS</v>
      </c>
      <c r="AA145" s="427" t="s">
        <v>512</v>
      </c>
      <c r="AB145" s="427">
        <v>12</v>
      </c>
      <c r="AC145" s="428" t="s">
        <v>874</v>
      </c>
      <c r="AD145" s="505">
        <v>63225.33</v>
      </c>
      <c r="AE145" s="506">
        <v>101552.99</v>
      </c>
      <c r="AF145" s="60" t="str">
        <f t="shared" si="32"/>
        <v>MIRIAM QUADROS MONTEIRO MARTINS</v>
      </c>
      <c r="AG145" s="60" t="str">
        <f t="shared" si="33"/>
        <v>OK</v>
      </c>
    </row>
    <row r="146" spans="1:33">
      <c r="A146" s="61" t="str">
        <f t="shared" si="27"/>
        <v>LONDRINA [ETAPA 02 - AREAS EXTERNAS G2 - G6]XVIII13</v>
      </c>
      <c r="B146" s="263" t="s">
        <v>38</v>
      </c>
      <c r="C146" s="337" t="s">
        <v>512</v>
      </c>
      <c r="D146" s="73">
        <v>13</v>
      </c>
      <c r="E146" s="315">
        <v>255.81</v>
      </c>
      <c r="F146" s="166">
        <v>3886</v>
      </c>
      <c r="G146" s="74" t="s">
        <v>1163</v>
      </c>
      <c r="H146" s="40">
        <v>43958</v>
      </c>
      <c r="I146" s="35">
        <v>94000</v>
      </c>
      <c r="J146" s="35" t="str">
        <f>IFERROR(VLOOKUP(CONCATENATE(B146,C146,D146,),Inadimplencia!$A$6:$K$110,6,0),"ATIVO")</f>
        <v>ATRASO</v>
      </c>
      <c r="K146" s="35">
        <f t="shared" si="28"/>
        <v>84983.83</v>
      </c>
      <c r="L146" s="325">
        <f t="shared" si="29"/>
        <v>0.90408329787234043</v>
      </c>
      <c r="M146" s="423" t="str">
        <f t="shared" si="30"/>
        <v>ATRASO0</v>
      </c>
      <c r="N146" s="28"/>
      <c r="X146" s="203" t="str">
        <f t="shared" si="25"/>
        <v>LONDRINA [ETAPA 02 - AREAS EXTERNAS G2 - G6]ATRASO</v>
      </c>
      <c r="Y146" s="203" t="str">
        <f t="shared" si="26"/>
        <v>XVIII13WALDIR PITELLA</v>
      </c>
      <c r="Z146" s="203" t="str">
        <f t="shared" si="31"/>
        <v>XVIII13WALDIR PITELLA</v>
      </c>
      <c r="AA146" s="427" t="s">
        <v>512</v>
      </c>
      <c r="AB146" s="427">
        <v>13</v>
      </c>
      <c r="AC146" s="428" t="s">
        <v>1163</v>
      </c>
      <c r="AD146" s="505">
        <v>84983.83</v>
      </c>
      <c r="AE146" s="506">
        <v>107741.59</v>
      </c>
      <c r="AF146" s="60" t="str">
        <f t="shared" si="32"/>
        <v>WALDIR PITELLA</v>
      </c>
      <c r="AG146" s="60" t="str">
        <f t="shared" si="33"/>
        <v>OK</v>
      </c>
    </row>
    <row r="147" spans="1:33">
      <c r="A147" s="61" t="str">
        <f t="shared" si="27"/>
        <v>LONDRINA [ETAPA 02 - AREAS EXTERNAS G2 - G6]XVIII14</v>
      </c>
      <c r="B147" s="263" t="s">
        <v>38</v>
      </c>
      <c r="C147" s="337" t="s">
        <v>512</v>
      </c>
      <c r="D147" s="166">
        <v>14</v>
      </c>
      <c r="E147" s="197">
        <v>255.81</v>
      </c>
      <c r="F147" s="166">
        <v>6882</v>
      </c>
      <c r="G147" s="338" t="s">
        <v>919</v>
      </c>
      <c r="H147" s="40">
        <v>43488</v>
      </c>
      <c r="I147" s="35">
        <v>77080</v>
      </c>
      <c r="J147" s="35" t="str">
        <f>IFERROR(VLOOKUP(CONCATENATE(B147,C147,D147,),Inadimplencia!$A$6:$K$110,6,0),"ATIVO")</f>
        <v>ATIVO</v>
      </c>
      <c r="K147" s="35">
        <f t="shared" si="28"/>
        <v>10267.84</v>
      </c>
      <c r="L147" s="325">
        <f t="shared" si="29"/>
        <v>0.13321017125064868</v>
      </c>
      <c r="M147" s="423" t="str">
        <f t="shared" si="30"/>
        <v>ATIVO0</v>
      </c>
      <c r="N147" s="28"/>
      <c r="X147" s="203" t="str">
        <f t="shared" si="25"/>
        <v>LONDRINA [ETAPA 02 - AREAS EXTERNAS G2 - G6]ATIVO</v>
      </c>
      <c r="Y147" s="203" t="str">
        <f t="shared" si="26"/>
        <v>XVIII14ANDRE HENRIQUE DE SOUZA GUIRAO</v>
      </c>
      <c r="Z147" s="203" t="str">
        <f t="shared" si="31"/>
        <v>XVIII14ANDRE HENRIQUE DE SOUZA GUIRAO</v>
      </c>
      <c r="AA147" s="427" t="s">
        <v>512</v>
      </c>
      <c r="AB147" s="427">
        <v>14</v>
      </c>
      <c r="AC147" s="428" t="s">
        <v>919</v>
      </c>
      <c r="AD147" s="505">
        <v>10267.84</v>
      </c>
      <c r="AE147" s="506">
        <v>79578.559999999998</v>
      </c>
      <c r="AF147" s="60" t="str">
        <f t="shared" si="32"/>
        <v>ANDRE HENRIQUE DE SOUZA GUIRAO</v>
      </c>
      <c r="AG147" s="60" t="str">
        <f t="shared" si="33"/>
        <v>OK</v>
      </c>
    </row>
    <row r="148" spans="1:33">
      <c r="A148" s="61" t="str">
        <f t="shared" si="27"/>
        <v>LONDRINA [ETAPA 02 - AREAS EXTERNAS G2 - G6]XVIII15</v>
      </c>
      <c r="B148" s="263" t="s">
        <v>38</v>
      </c>
      <c r="C148" s="337" t="s">
        <v>512</v>
      </c>
      <c r="D148" s="73">
        <v>15</v>
      </c>
      <c r="E148" s="315">
        <v>255.81</v>
      </c>
      <c r="F148" s="166"/>
      <c r="G148" s="74" t="s">
        <v>861</v>
      </c>
      <c r="H148" s="40">
        <v>43414</v>
      </c>
      <c r="I148" s="35">
        <v>79900</v>
      </c>
      <c r="J148" s="35" t="str">
        <f>IFERROR(VLOOKUP(CONCATENATE(B148,C148,D148,),Inadimplencia!$A$6:$K$110,6,0),"ATIVO")</f>
        <v>ATIVO</v>
      </c>
      <c r="K148" s="35">
        <f t="shared" si="28"/>
        <v>80641.48</v>
      </c>
      <c r="L148" s="325">
        <f t="shared" si="29"/>
        <v>1.0092801001251563</v>
      </c>
      <c r="M148" s="423" t="str">
        <f t="shared" si="30"/>
        <v>ATIVO1</v>
      </c>
      <c r="N148" s="28"/>
      <c r="X148" s="203" t="str">
        <f t="shared" si="25"/>
        <v>LONDRINA [ETAPA 02 - AREAS EXTERNAS G2 - G6]ATIVO</v>
      </c>
      <c r="Y148" s="203" t="str">
        <f t="shared" si="26"/>
        <v>XVIII15JESSICA SABRINA APARECIDA BRAGA</v>
      </c>
      <c r="Z148" s="203" t="str">
        <f t="shared" si="31"/>
        <v>XVIII15JESSICA SABRINA APARECIDA BRAGA</v>
      </c>
      <c r="AA148" s="427" t="s">
        <v>512</v>
      </c>
      <c r="AB148" s="427">
        <v>15</v>
      </c>
      <c r="AC148" s="428" t="s">
        <v>861</v>
      </c>
      <c r="AD148" s="505">
        <v>80641.48</v>
      </c>
      <c r="AE148" s="506">
        <v>109079.5</v>
      </c>
      <c r="AF148" s="60" t="str">
        <f t="shared" si="32"/>
        <v>JESSICA SABRINA APARECIDA BRAGA</v>
      </c>
      <c r="AG148" s="60" t="str">
        <f t="shared" si="33"/>
        <v>OK</v>
      </c>
    </row>
    <row r="149" spans="1:33">
      <c r="A149" s="61" t="str">
        <f t="shared" si="27"/>
        <v>LONDRINA [ETAPA 02 - AREAS EXTERNAS G2 - G6]XVIII16</v>
      </c>
      <c r="B149" s="263" t="s">
        <v>38</v>
      </c>
      <c r="C149" s="337" t="s">
        <v>512</v>
      </c>
      <c r="D149" s="166">
        <v>16</v>
      </c>
      <c r="E149" s="197">
        <v>253.43</v>
      </c>
      <c r="F149" s="166">
        <v>6831</v>
      </c>
      <c r="G149" s="338" t="s">
        <v>904</v>
      </c>
      <c r="H149" s="40">
        <v>43472</v>
      </c>
      <c r="I149" s="35">
        <v>79900</v>
      </c>
      <c r="J149" s="35" t="str">
        <f>IFERROR(VLOOKUP(CONCATENATE(B149,C149,D149,),Inadimplencia!$A$6:$K$110,6,0),"ATIVO")</f>
        <v>ATIVO</v>
      </c>
      <c r="K149" s="35">
        <f t="shared" si="28"/>
        <v>63605.18</v>
      </c>
      <c r="L149" s="325">
        <f t="shared" si="29"/>
        <v>0.79605982478097626</v>
      </c>
      <c r="M149" s="423" t="str">
        <f t="shared" si="30"/>
        <v>ATIVO0</v>
      </c>
      <c r="N149" s="28"/>
      <c r="X149" s="203" t="str">
        <f t="shared" si="25"/>
        <v>LONDRINA [ETAPA 02 - AREAS EXTERNAS G2 - G6]ATIVO</v>
      </c>
      <c r="Y149" s="203" t="str">
        <f t="shared" si="26"/>
        <v>XVIII16MARCIO RODRIGUES</v>
      </c>
      <c r="Z149" s="203" t="str">
        <f t="shared" si="31"/>
        <v>XVIII16MARCIO RODRIGUES</v>
      </c>
      <c r="AA149" s="427" t="s">
        <v>512</v>
      </c>
      <c r="AB149" s="427">
        <v>16</v>
      </c>
      <c r="AC149" s="428" t="s">
        <v>904</v>
      </c>
      <c r="AD149" s="505">
        <v>63605.18</v>
      </c>
      <c r="AE149" s="506">
        <v>104944.72</v>
      </c>
      <c r="AF149" s="60" t="str">
        <f t="shared" si="32"/>
        <v>MARCIO RODRIGUES</v>
      </c>
      <c r="AG149" s="60" t="str">
        <f t="shared" si="33"/>
        <v>OK</v>
      </c>
    </row>
    <row r="150" spans="1:33">
      <c r="A150" s="61" t="str">
        <f t="shared" si="27"/>
        <v>LONDRINA [ETAPA 02 - AREAS EXTERNAS G2 - G6]XVIII17</v>
      </c>
      <c r="B150" s="263" t="s">
        <v>38</v>
      </c>
      <c r="C150" s="337" t="s">
        <v>512</v>
      </c>
      <c r="D150" s="166">
        <v>17</v>
      </c>
      <c r="E150" s="197">
        <v>258.2</v>
      </c>
      <c r="F150" s="166">
        <v>3094</v>
      </c>
      <c r="G150" s="338" t="s">
        <v>1059</v>
      </c>
      <c r="H150" s="40">
        <v>43727</v>
      </c>
      <c r="I150" s="35">
        <v>93060.9</v>
      </c>
      <c r="J150" s="35" t="str">
        <f>IFERROR(VLOOKUP(CONCATENATE(B150,C150,D150,),Inadimplencia!$A$6:$K$110,6,0),"ATIVO")</f>
        <v>ATIVO</v>
      </c>
      <c r="K150" s="35">
        <f t="shared" si="28"/>
        <v>91172.95</v>
      </c>
      <c r="L150" s="325">
        <f t="shared" si="29"/>
        <v>0.97971274724400903</v>
      </c>
      <c r="M150" s="423" t="str">
        <f t="shared" si="30"/>
        <v>ATIVO0</v>
      </c>
      <c r="N150" s="28"/>
      <c r="X150" s="203" t="str">
        <f t="shared" si="25"/>
        <v>LONDRINA [ETAPA 02 - AREAS EXTERNAS G2 - G6]ATIVO</v>
      </c>
      <c r="Y150" s="203" t="str">
        <f t="shared" si="26"/>
        <v>XVIII17ELIZEU GETAO</v>
      </c>
      <c r="Z150" s="203" t="str">
        <f t="shared" si="31"/>
        <v>XVIII17ELIZEU GETAO</v>
      </c>
      <c r="AA150" s="427" t="s">
        <v>512</v>
      </c>
      <c r="AB150" s="427">
        <v>17</v>
      </c>
      <c r="AC150" s="428" t="s">
        <v>1059</v>
      </c>
      <c r="AD150" s="505">
        <v>91172.95</v>
      </c>
      <c r="AE150" s="506">
        <v>115309.2</v>
      </c>
      <c r="AF150" s="60" t="str">
        <f t="shared" si="32"/>
        <v>ELIZEU GETAO</v>
      </c>
      <c r="AG150" s="60" t="str">
        <f t="shared" si="33"/>
        <v>OK</v>
      </c>
    </row>
    <row r="151" spans="1:33">
      <c r="A151" s="61" t="str">
        <f t="shared" si="27"/>
        <v>LONDRINA [ETAPA 02 - AREAS EXTERNAS G2 - G6]XVIII20</v>
      </c>
      <c r="B151" s="263" t="s">
        <v>38</v>
      </c>
      <c r="C151" s="337" t="s">
        <v>512</v>
      </c>
      <c r="D151" s="73">
        <v>20</v>
      </c>
      <c r="E151" s="315">
        <v>265.44</v>
      </c>
      <c r="F151" s="166"/>
      <c r="G151" s="74" t="s">
        <v>1129</v>
      </c>
      <c r="H151" s="40">
        <v>43409</v>
      </c>
      <c r="I151" s="35">
        <v>79900</v>
      </c>
      <c r="J151" s="35" t="str">
        <f>IFERROR(VLOOKUP(CONCATENATE(B151,C151,D151,),Inadimplencia!$A$6:$K$110,6,0),"ATIVO")</f>
        <v>INADIMPLENTE</v>
      </c>
      <c r="K151" s="35">
        <f t="shared" si="28"/>
        <v>88045.41</v>
      </c>
      <c r="L151" s="325">
        <f t="shared" si="29"/>
        <v>1.1019450563204005</v>
      </c>
      <c r="M151" s="423" t="str">
        <f t="shared" si="30"/>
        <v>INADIMPLENTE1</v>
      </c>
      <c r="N151" s="28"/>
      <c r="X151" s="203" t="str">
        <f t="shared" si="25"/>
        <v>LONDRINA [ETAPA 02 - AREAS EXTERNAS G2 - G6]INADIMPLENTE</v>
      </c>
      <c r="Y151" s="203" t="str">
        <f t="shared" si="26"/>
        <v>XVIII20TAINA APARECIDA SIMAO</v>
      </c>
      <c r="Z151" s="203" t="str">
        <f t="shared" si="31"/>
        <v>XVIII20TAINA APARECIDA SIMAO</v>
      </c>
      <c r="AA151" s="427" t="s">
        <v>512</v>
      </c>
      <c r="AB151" s="427">
        <v>20</v>
      </c>
      <c r="AC151" s="428" t="s">
        <v>1129</v>
      </c>
      <c r="AD151" s="505">
        <v>88045.41</v>
      </c>
      <c r="AE151" s="506">
        <v>98002.95</v>
      </c>
      <c r="AF151" s="60" t="str">
        <f t="shared" si="32"/>
        <v>TAINA APARECIDA SIMAO</v>
      </c>
      <c r="AG151" s="60" t="str">
        <f t="shared" si="33"/>
        <v>OK</v>
      </c>
    </row>
    <row r="152" spans="1:33">
      <c r="A152" s="61" t="str">
        <f t="shared" si="27"/>
        <v>LONDRINA [ETAPA 02 - AREAS EXTERNAS G2 - G6]XVIII21</v>
      </c>
      <c r="B152" s="263" t="s">
        <v>38</v>
      </c>
      <c r="C152" s="337" t="s">
        <v>512</v>
      </c>
      <c r="D152" s="166">
        <v>21</v>
      </c>
      <c r="E152" s="197">
        <v>265.44</v>
      </c>
      <c r="F152" s="166"/>
      <c r="G152" s="338" t="s">
        <v>119</v>
      </c>
      <c r="H152" s="40">
        <v>43405</v>
      </c>
      <c r="I152" s="35">
        <v>81999.679999999993</v>
      </c>
      <c r="J152" s="35" t="str">
        <f>IFERROR(VLOOKUP(CONCATENATE(B152,C152,D152,),Inadimplencia!$A$6:$K$110,6,0),"ATIVO")</f>
        <v>ATIVO</v>
      </c>
      <c r="K152" s="35">
        <f t="shared" si="28"/>
        <v>25559.850000000002</v>
      </c>
      <c r="L152" s="325">
        <f t="shared" si="29"/>
        <v>0.31170670422128482</v>
      </c>
      <c r="M152" s="423" t="str">
        <f t="shared" si="30"/>
        <v>ATIVO0</v>
      </c>
      <c r="N152" s="28"/>
      <c r="X152" s="203" t="str">
        <f t="shared" si="25"/>
        <v>LONDRINA [ETAPA 02 - AREAS EXTERNAS G2 - G6]ATIVO</v>
      </c>
      <c r="Y152" s="203" t="str">
        <f t="shared" si="26"/>
        <v>XVIII21CLAUDIONOR ELENO RICCI</v>
      </c>
      <c r="Z152" s="203" t="str">
        <f t="shared" si="31"/>
        <v>XVIII21CLAUDIONOR ELENO RICCI</v>
      </c>
      <c r="AA152" s="427" t="s">
        <v>512</v>
      </c>
      <c r="AB152" s="427">
        <v>21</v>
      </c>
      <c r="AC152" s="428" t="s">
        <v>119</v>
      </c>
      <c r="AD152" s="505">
        <v>25559.850000000002</v>
      </c>
      <c r="AE152" s="506">
        <v>94483.75</v>
      </c>
      <c r="AF152" s="60" t="str">
        <f t="shared" si="32"/>
        <v>CLAUDIONOR ELENO RICCI</v>
      </c>
      <c r="AG152" s="60" t="str">
        <f t="shared" si="33"/>
        <v>OK</v>
      </c>
    </row>
    <row r="153" spans="1:33">
      <c r="A153" s="61" t="str">
        <f t="shared" si="27"/>
        <v>LONDRINA [ETAPA 02 - AREAS EXTERNAS G2 - G6]XVIII23</v>
      </c>
      <c r="B153" s="263" t="s">
        <v>38</v>
      </c>
      <c r="C153" s="337" t="s">
        <v>512</v>
      </c>
      <c r="D153" s="73">
        <v>23</v>
      </c>
      <c r="E153" s="315">
        <v>265.44</v>
      </c>
      <c r="F153" s="166">
        <v>4635</v>
      </c>
      <c r="G153" s="74" t="s">
        <v>335</v>
      </c>
      <c r="H153" s="40">
        <v>42101</v>
      </c>
      <c r="I153" s="35">
        <v>115000.2</v>
      </c>
      <c r="J153" s="35" t="str">
        <f>IFERROR(VLOOKUP(CONCATENATE(B153,C153,D153,),Inadimplencia!$A$6:$K$110,6,0),"ATIVO")</f>
        <v>INADIMPLENTE</v>
      </c>
      <c r="K153" s="35">
        <f t="shared" si="28"/>
        <v>237755.56</v>
      </c>
      <c r="L153" s="325">
        <f t="shared" si="29"/>
        <v>2.0674360566329448</v>
      </c>
      <c r="M153" s="423" t="str">
        <f t="shared" si="30"/>
        <v>INADIMPLENTE1</v>
      </c>
      <c r="N153" s="28"/>
      <c r="X153" s="203" t="str">
        <f t="shared" si="25"/>
        <v>LONDRINA [ETAPA 02 - AREAS EXTERNAS G2 - G6]INADIMPLENTE</v>
      </c>
      <c r="Y153" s="203" t="str">
        <f t="shared" si="26"/>
        <v>XVIII23MARCIA REGINA DE FREITAS SOUZA</v>
      </c>
      <c r="Z153" s="203" t="str">
        <f t="shared" si="31"/>
        <v>XVIII23MARCIA REGINA DE FREITAS SOUZA</v>
      </c>
      <c r="AA153" s="427" t="s">
        <v>512</v>
      </c>
      <c r="AB153" s="427">
        <v>23</v>
      </c>
      <c r="AC153" s="428" t="s">
        <v>335</v>
      </c>
      <c r="AD153" s="505">
        <v>237755.56</v>
      </c>
      <c r="AE153" s="506">
        <v>258505.56</v>
      </c>
      <c r="AF153" s="60" t="str">
        <f t="shared" si="32"/>
        <v>MARCIA REGINA DE FREITAS SOUZA</v>
      </c>
      <c r="AG153" s="60" t="str">
        <f t="shared" si="33"/>
        <v>OK</v>
      </c>
    </row>
    <row r="154" spans="1:33" ht="25.5">
      <c r="A154" s="61" t="str">
        <f t="shared" si="27"/>
        <v>LONDRINA [ETAPA 02 - AREAS EXTERNAS G2 - G6]XVIII - A1</v>
      </c>
      <c r="B154" s="263" t="s">
        <v>38</v>
      </c>
      <c r="C154" s="337" t="s">
        <v>1077</v>
      </c>
      <c r="D154" s="166">
        <v>1</v>
      </c>
      <c r="E154" s="197">
        <v>255.38</v>
      </c>
      <c r="F154" s="166">
        <v>4360</v>
      </c>
      <c r="G154" s="338" t="s">
        <v>375</v>
      </c>
      <c r="H154" s="40">
        <v>42015</v>
      </c>
      <c r="I154" s="35">
        <v>109600.16</v>
      </c>
      <c r="J154" s="35" t="str">
        <f>IFERROR(VLOOKUP(CONCATENATE(B154,C154,D154,),Inadimplencia!$A$6:$K$110,6,0),"ATIVO")</f>
        <v>INADIMPLENTE</v>
      </c>
      <c r="K154" s="35">
        <f t="shared" si="28"/>
        <v>263032.44</v>
      </c>
      <c r="L154" s="325">
        <f t="shared" si="29"/>
        <v>2.3999275183539877</v>
      </c>
      <c r="M154" s="423" t="str">
        <f t="shared" si="30"/>
        <v>INADIMPLENTE1</v>
      </c>
      <c r="N154" s="28"/>
      <c r="X154" s="203" t="str">
        <f t="shared" si="25"/>
        <v>LONDRINA [ETAPA 02 - AREAS EXTERNAS G2 - G6]INADIMPLENTE</v>
      </c>
      <c r="Y154" s="203" t="str">
        <f t="shared" si="26"/>
        <v>XVIII - A1MOYSES DO LAGO</v>
      </c>
      <c r="Z154" s="203" t="str">
        <f t="shared" si="31"/>
        <v>XVIII - A1MOYSES DO LAGO</v>
      </c>
      <c r="AA154" s="427" t="s">
        <v>1077</v>
      </c>
      <c r="AB154" s="427">
        <v>1</v>
      </c>
      <c r="AC154" s="428" t="s">
        <v>375</v>
      </c>
      <c r="AD154" s="505">
        <v>263032.44</v>
      </c>
      <c r="AE154" s="506">
        <v>280873.85000000003</v>
      </c>
      <c r="AF154" s="60" t="str">
        <f t="shared" si="32"/>
        <v>MOYSES DO LAGO</v>
      </c>
      <c r="AG154" s="60" t="str">
        <f t="shared" si="33"/>
        <v>OK</v>
      </c>
    </row>
    <row r="155" spans="1:33" ht="25.5">
      <c r="A155" s="61" t="str">
        <f t="shared" si="27"/>
        <v>LONDRINA [ETAPA 02 - AREAS EXTERNAS G2 - G6]XVIII - A2</v>
      </c>
      <c r="B155" s="263" t="s">
        <v>38</v>
      </c>
      <c r="C155" s="337" t="s">
        <v>1077</v>
      </c>
      <c r="D155" s="73">
        <v>2</v>
      </c>
      <c r="E155" s="315">
        <v>253.59</v>
      </c>
      <c r="F155" s="166"/>
      <c r="G155" s="74" t="s">
        <v>122</v>
      </c>
      <c r="H155" s="40">
        <v>43426</v>
      </c>
      <c r="I155" s="35">
        <v>79900.100000000006</v>
      </c>
      <c r="J155" s="35" t="str">
        <f>IFERROR(VLOOKUP(CONCATENATE(B155,C155,D155,),Inadimplencia!$A$6:$K$110,6,0),"ATIVO")</f>
        <v>ATRASO</v>
      </c>
      <c r="K155" s="35">
        <f t="shared" si="28"/>
        <v>16532.11</v>
      </c>
      <c r="L155" s="325">
        <f t="shared" si="29"/>
        <v>0.2069097535547515</v>
      </c>
      <c r="M155" s="423" t="str">
        <f t="shared" si="30"/>
        <v>ATRASO0</v>
      </c>
      <c r="N155" s="28"/>
      <c r="X155" s="203" t="str">
        <f t="shared" si="25"/>
        <v>LONDRINA [ETAPA 02 - AREAS EXTERNAS G2 - G6]ATRASO</v>
      </c>
      <c r="Y155" s="203" t="str">
        <f t="shared" si="26"/>
        <v>XVIII - A2DALMO CORREIA</v>
      </c>
      <c r="Z155" s="203" t="str">
        <f t="shared" si="31"/>
        <v>XVIII - A2DALMO CORREIA</v>
      </c>
      <c r="AA155" s="427" t="s">
        <v>1077</v>
      </c>
      <c r="AB155" s="427">
        <v>2</v>
      </c>
      <c r="AC155" s="428" t="s">
        <v>122</v>
      </c>
      <c r="AD155" s="505">
        <v>16532.11</v>
      </c>
      <c r="AE155" s="506">
        <v>99148.33</v>
      </c>
      <c r="AF155" s="60" t="str">
        <f t="shared" si="32"/>
        <v>DALMO CORREIA</v>
      </c>
      <c r="AG155" s="60" t="str">
        <f t="shared" si="33"/>
        <v>OK</v>
      </c>
    </row>
    <row r="156" spans="1:33" ht="25.5">
      <c r="A156" s="61" t="str">
        <f t="shared" si="27"/>
        <v>LONDRINA [ETAPA 02 - AREAS EXTERNAS G2 - G6]XVIII - A3</v>
      </c>
      <c r="B156" s="263" t="s">
        <v>38</v>
      </c>
      <c r="C156" s="337" t="s">
        <v>1077</v>
      </c>
      <c r="D156" s="166">
        <v>3</v>
      </c>
      <c r="E156" s="197">
        <v>253.59</v>
      </c>
      <c r="F156" s="166">
        <v>5299</v>
      </c>
      <c r="G156" s="338" t="s">
        <v>140</v>
      </c>
      <c r="H156" s="40">
        <v>42628</v>
      </c>
      <c r="I156" s="35">
        <v>122959.95</v>
      </c>
      <c r="J156" s="35" t="str">
        <f>IFERROR(VLOOKUP(CONCATENATE(B156,C156,D156,),Inadimplencia!$A$6:$K$110,6,0),"ATIVO")</f>
        <v>ATIVO</v>
      </c>
      <c r="K156" s="35">
        <f t="shared" si="28"/>
        <v>121003.89</v>
      </c>
      <c r="L156" s="325">
        <f t="shared" si="29"/>
        <v>0.98409189333600089</v>
      </c>
      <c r="M156" s="423" t="str">
        <f t="shared" si="30"/>
        <v>ATIVO0</v>
      </c>
      <c r="N156" s="28"/>
      <c r="X156" s="203" t="str">
        <f t="shared" si="25"/>
        <v>LONDRINA [ETAPA 02 - AREAS EXTERNAS G2 - G6]ATIVO</v>
      </c>
      <c r="Y156" s="203" t="str">
        <f t="shared" si="26"/>
        <v>XVIII - A3DENISE APARECIDA BALZER</v>
      </c>
      <c r="Z156" s="203" t="str">
        <f t="shared" si="31"/>
        <v>XVIII - A3DENISE APARECIDA BALZER</v>
      </c>
      <c r="AA156" s="427" t="s">
        <v>1077</v>
      </c>
      <c r="AB156" s="427">
        <v>3</v>
      </c>
      <c r="AC156" s="428" t="s">
        <v>140</v>
      </c>
      <c r="AD156" s="505">
        <v>121003.89</v>
      </c>
      <c r="AE156" s="506">
        <v>185596.51</v>
      </c>
      <c r="AF156" s="60" t="str">
        <f t="shared" si="32"/>
        <v>DENISE APARECIDA BALZER</v>
      </c>
      <c r="AG156" s="60" t="str">
        <f t="shared" si="33"/>
        <v>OK</v>
      </c>
    </row>
    <row r="157" spans="1:33" ht="25.5">
      <c r="A157" s="61" t="str">
        <f t="shared" si="27"/>
        <v>LONDRINA [ETAPA 02 - AREAS EXTERNAS G2 - G6]XVIII - B1</v>
      </c>
      <c r="B157" s="263" t="s">
        <v>38</v>
      </c>
      <c r="C157" s="337" t="s">
        <v>1078</v>
      </c>
      <c r="D157" s="73">
        <v>1</v>
      </c>
      <c r="E157" s="315">
        <v>256.08</v>
      </c>
      <c r="F157" s="166">
        <v>2664</v>
      </c>
      <c r="G157" s="74" t="s">
        <v>487</v>
      </c>
      <c r="H157" s="40">
        <v>41464</v>
      </c>
      <c r="I157" s="35">
        <v>81843.17</v>
      </c>
      <c r="J157" s="35" t="str">
        <f>IFERROR(VLOOKUP(CONCATENATE(B157,C157,D157,),Inadimplencia!$A$6:$K$110,6,0),"ATIVO")</f>
        <v>ATIVO</v>
      </c>
      <c r="K157" s="35">
        <f t="shared" si="28"/>
        <v>83190.680000000008</v>
      </c>
      <c r="L157" s="325">
        <f t="shared" si="29"/>
        <v>1.0164645382137569</v>
      </c>
      <c r="M157" s="423" t="str">
        <f t="shared" si="30"/>
        <v>ATIVO1</v>
      </c>
      <c r="N157" s="28"/>
      <c r="X157" s="203" t="str">
        <f t="shared" si="25"/>
        <v>LONDRINA [ETAPA 02 - AREAS EXTERNAS G2 - G6]ATIVO</v>
      </c>
      <c r="Y157" s="203" t="str">
        <f t="shared" si="26"/>
        <v>XVIII - B1YASMIN ADRIANA DA SILVA ALVES</v>
      </c>
      <c r="Z157" s="203" t="str">
        <f t="shared" si="31"/>
        <v>XVIII - B1YASMIN ADRIANA DA SILVA ALVES</v>
      </c>
      <c r="AA157" s="427" t="s">
        <v>1078</v>
      </c>
      <c r="AB157" s="427">
        <v>1</v>
      </c>
      <c r="AC157" s="428" t="s">
        <v>487</v>
      </c>
      <c r="AD157" s="505">
        <v>83190.680000000008</v>
      </c>
      <c r="AE157" s="506">
        <v>165439.11000000002</v>
      </c>
      <c r="AF157" s="60" t="str">
        <f t="shared" si="32"/>
        <v>YASMIN ADRIANA DA SILVA ALVES</v>
      </c>
      <c r="AG157" s="60" t="str">
        <f t="shared" si="33"/>
        <v>OK</v>
      </c>
    </row>
    <row r="158" spans="1:33" ht="25.5">
      <c r="A158" s="61" t="str">
        <f t="shared" si="27"/>
        <v>LONDRINA [ETAPA 02 - AREAS EXTERNAS G2 - G6]XVIII - B2</v>
      </c>
      <c r="B158" s="263" t="s">
        <v>38</v>
      </c>
      <c r="C158" s="337" t="s">
        <v>1078</v>
      </c>
      <c r="D158" s="166">
        <v>2</v>
      </c>
      <c r="E158" s="197">
        <v>256.08</v>
      </c>
      <c r="F158" s="166">
        <v>6455</v>
      </c>
      <c r="G158" s="338" t="s">
        <v>638</v>
      </c>
      <c r="H158" s="40">
        <v>43255</v>
      </c>
      <c r="I158" s="35">
        <v>103400</v>
      </c>
      <c r="J158" s="35" t="str">
        <f>IFERROR(VLOOKUP(CONCATENATE(B158,C158,D158,),Inadimplencia!$A$6:$K$110,6,0),"ATIVO")</f>
        <v>ATIVO</v>
      </c>
      <c r="K158" s="35">
        <f t="shared" si="28"/>
        <v>107025.38</v>
      </c>
      <c r="L158" s="325">
        <f t="shared" si="29"/>
        <v>1.0350617021276596</v>
      </c>
      <c r="M158" s="423" t="str">
        <f t="shared" si="30"/>
        <v>ATIVO1</v>
      </c>
      <c r="N158" s="28"/>
      <c r="X158" s="203" t="str">
        <f t="shared" si="25"/>
        <v>LONDRINA [ETAPA 02 - AREAS EXTERNAS G2 - G6]ATIVO</v>
      </c>
      <c r="Y158" s="203" t="str">
        <f t="shared" si="26"/>
        <v>XVIII - B2JOSE DONIZETE PIANISSOLA</v>
      </c>
      <c r="Z158" s="203" t="str">
        <f t="shared" si="31"/>
        <v>XVIII - B2JOSE DONIZETE PIANISSOLA</v>
      </c>
      <c r="AA158" s="427" t="s">
        <v>1078</v>
      </c>
      <c r="AB158" s="427">
        <v>2</v>
      </c>
      <c r="AC158" s="428" t="s">
        <v>638</v>
      </c>
      <c r="AD158" s="505">
        <v>107025.38</v>
      </c>
      <c r="AE158" s="506">
        <v>150270.51999999999</v>
      </c>
      <c r="AF158" s="60" t="str">
        <f t="shared" si="32"/>
        <v>JOSE DONIZETE PIANISSOLA</v>
      </c>
      <c r="AG158" s="60" t="str">
        <f t="shared" si="33"/>
        <v>OK</v>
      </c>
    </row>
    <row r="159" spans="1:33" ht="25.5">
      <c r="A159" s="61" t="str">
        <f t="shared" si="27"/>
        <v>LONDRINA [ETAPA 02 - AREAS EXTERNAS G2 - G6]XVIII - B3</v>
      </c>
      <c r="B159" s="263" t="s">
        <v>38</v>
      </c>
      <c r="C159" s="337" t="s">
        <v>1078</v>
      </c>
      <c r="D159" s="73">
        <v>3</v>
      </c>
      <c r="E159" s="315">
        <v>257.87</v>
      </c>
      <c r="F159" s="166">
        <v>5158</v>
      </c>
      <c r="G159" s="74" t="s">
        <v>151</v>
      </c>
      <c r="H159" s="40">
        <v>42447</v>
      </c>
      <c r="I159" s="35">
        <v>108152.67</v>
      </c>
      <c r="J159" s="35" t="str">
        <f>IFERROR(VLOOKUP(CONCATENATE(B159,C159,D159,),Inadimplencia!$A$6:$K$110,6,0),"ATIVO")</f>
        <v>ATIVO</v>
      </c>
      <c r="K159" s="35">
        <f t="shared" si="28"/>
        <v>121146.11</v>
      </c>
      <c r="L159" s="325">
        <f t="shared" si="29"/>
        <v>1.1201397986753356</v>
      </c>
      <c r="M159" s="423" t="str">
        <f t="shared" si="30"/>
        <v>ATIVO1</v>
      </c>
      <c r="N159" s="28"/>
      <c r="X159" s="203" t="str">
        <f t="shared" si="25"/>
        <v>LONDRINA [ETAPA 02 - AREAS EXTERNAS G2 - G6]ATIVO</v>
      </c>
      <c r="Y159" s="203" t="str">
        <f t="shared" si="26"/>
        <v>XVIII - B3DYESSICA YENDIS RIAN MIRANDA</v>
      </c>
      <c r="Z159" s="203" t="str">
        <f t="shared" si="31"/>
        <v>XVIII - B3DYESSICA YENDIS RIAN MIRANDA</v>
      </c>
      <c r="AA159" s="427" t="s">
        <v>1078</v>
      </c>
      <c r="AB159" s="427">
        <v>3</v>
      </c>
      <c r="AC159" s="428" t="s">
        <v>151</v>
      </c>
      <c r="AD159" s="505">
        <v>121146.11</v>
      </c>
      <c r="AE159" s="506">
        <v>201326.37</v>
      </c>
      <c r="AF159" s="60" t="str">
        <f t="shared" si="32"/>
        <v>DYESSICA YENDIS RIAN MIRANDA</v>
      </c>
      <c r="AG159" s="60" t="str">
        <f t="shared" si="33"/>
        <v>OK</v>
      </c>
    </row>
    <row r="160" spans="1:33">
      <c r="A160" s="61" t="str">
        <f t="shared" si="27"/>
        <v>LONDRINA [ETAPA 02 - CONDOMINIO TANGARA]XXIX14</v>
      </c>
      <c r="B160" s="263" t="s">
        <v>35</v>
      </c>
      <c r="C160" s="337" t="s">
        <v>513</v>
      </c>
      <c r="D160" s="166">
        <v>14</v>
      </c>
      <c r="E160" s="197">
        <v>257.86</v>
      </c>
      <c r="F160" s="166">
        <v>6618</v>
      </c>
      <c r="G160" s="338" t="s">
        <v>808</v>
      </c>
      <c r="H160" s="40">
        <v>43344</v>
      </c>
      <c r="I160" s="35">
        <v>159354.03</v>
      </c>
      <c r="J160" s="35" t="str">
        <f>IFERROR(VLOOKUP(CONCATENATE(B160,C160,D160,),Inadimplencia!$A$6:$K$110,6,0),"ATIVO")</f>
        <v>ATIVO</v>
      </c>
      <c r="K160" s="35">
        <f t="shared" si="28"/>
        <v>162026.03</v>
      </c>
      <c r="L160" s="325">
        <f t="shared" si="29"/>
        <v>1.0167676964303947</v>
      </c>
      <c r="M160" s="423" t="str">
        <f t="shared" si="30"/>
        <v>ATIVO1</v>
      </c>
      <c r="N160" s="28"/>
      <c r="X160" s="203" t="str">
        <f t="shared" si="25"/>
        <v>LONDRINA [ETAPA 02 - CONDOMINIO TANGARA]ATIVO</v>
      </c>
      <c r="Y160" s="203" t="str">
        <f t="shared" si="26"/>
        <v>XXIX14BILL ANDERSON DA SILVA FRANCISCO</v>
      </c>
      <c r="Z160" s="203" t="str">
        <f t="shared" si="31"/>
        <v>XXIX14BILL ANDERSON DA SILVA FRANCISCO</v>
      </c>
      <c r="AA160" s="427" t="s">
        <v>513</v>
      </c>
      <c r="AB160" s="427">
        <v>14</v>
      </c>
      <c r="AC160" s="428" t="s">
        <v>808</v>
      </c>
      <c r="AD160" s="505">
        <v>162026.03</v>
      </c>
      <c r="AE160" s="506">
        <v>221787.21</v>
      </c>
      <c r="AF160" s="60" t="str">
        <f t="shared" si="32"/>
        <v>BILL ANDERSON DA SILVA FRANCISCO</v>
      </c>
      <c r="AG160" s="60" t="str">
        <f t="shared" si="33"/>
        <v>OK</v>
      </c>
    </row>
    <row r="161" spans="1:33">
      <c r="A161" s="61" t="str">
        <f t="shared" si="27"/>
        <v>LONDRINA [ETAPA 02 - CONDOMINIO TANGARA]XXIX23</v>
      </c>
      <c r="B161" s="263" t="s">
        <v>35</v>
      </c>
      <c r="C161" s="337" t="s">
        <v>513</v>
      </c>
      <c r="D161" s="73">
        <v>23</v>
      </c>
      <c r="E161" s="315">
        <v>355.37</v>
      </c>
      <c r="F161" s="166">
        <v>4926</v>
      </c>
      <c r="G161" s="74" t="s">
        <v>1387</v>
      </c>
      <c r="H161" s="40">
        <v>44176</v>
      </c>
      <c r="I161" s="35">
        <v>235000</v>
      </c>
      <c r="J161" s="35" t="str">
        <f>IFERROR(VLOOKUP(CONCATENATE(B161,C161,D161,),Inadimplencia!$A$6:$K$110,6,0),"ATIVO")</f>
        <v>ATIVO</v>
      </c>
      <c r="K161" s="35">
        <f t="shared" si="28"/>
        <v>228102.38</v>
      </c>
      <c r="L161" s="325">
        <f t="shared" si="29"/>
        <v>0.97064842553191488</v>
      </c>
      <c r="M161" s="423" t="str">
        <f t="shared" si="30"/>
        <v>ATIVO0</v>
      </c>
      <c r="N161" s="28"/>
      <c r="X161" s="203" t="str">
        <f t="shared" si="25"/>
        <v>LONDRINA [ETAPA 02 - CONDOMINIO TANGARA]ATIVO</v>
      </c>
      <c r="Y161" s="203" t="str">
        <f t="shared" si="26"/>
        <v>XXIX23FABIANA BARBOSA DOS SANTOS</v>
      </c>
      <c r="Z161" s="203" t="str">
        <f t="shared" si="31"/>
        <v>XXIX23FABIANA BARBOSA DOS SANTOS</v>
      </c>
      <c r="AA161" s="427" t="s">
        <v>513</v>
      </c>
      <c r="AB161" s="427">
        <v>23</v>
      </c>
      <c r="AC161" s="428" t="s">
        <v>1387</v>
      </c>
      <c r="AD161" s="505">
        <v>228102.38</v>
      </c>
      <c r="AE161" s="506">
        <v>248968.28</v>
      </c>
      <c r="AF161" s="60" t="str">
        <f t="shared" si="32"/>
        <v>FABIANA BARBOSA DOS SANTOS</v>
      </c>
      <c r="AG161" s="60" t="str">
        <f t="shared" si="33"/>
        <v>OK</v>
      </c>
    </row>
    <row r="162" spans="1:33">
      <c r="A162" s="61" t="str">
        <f t="shared" si="27"/>
        <v>LONDRINA [ETAPA 02 - CONDOMINIO TANGARA]XXIX33</v>
      </c>
      <c r="B162" s="263" t="s">
        <v>35</v>
      </c>
      <c r="C162" s="337" t="s">
        <v>513</v>
      </c>
      <c r="D162" s="166">
        <v>33</v>
      </c>
      <c r="E162" s="197">
        <v>273.55</v>
      </c>
      <c r="F162" s="166">
        <v>4504</v>
      </c>
      <c r="G162" s="338" t="s">
        <v>416</v>
      </c>
      <c r="H162" s="40">
        <v>42076</v>
      </c>
      <c r="I162" s="35">
        <v>140633.82</v>
      </c>
      <c r="J162" s="35" t="str">
        <f>IFERROR(VLOOKUP(CONCATENATE(B162,C162,D162,),Inadimplencia!$A$6:$K$110,6,0),"ATIVO")</f>
        <v>ATIVO</v>
      </c>
      <c r="K162" s="35">
        <f t="shared" si="28"/>
        <v>133661.78</v>
      </c>
      <c r="L162" s="325">
        <f t="shared" si="29"/>
        <v>0.95042415828568116</v>
      </c>
      <c r="M162" s="423" t="str">
        <f t="shared" si="30"/>
        <v>ATIVO0</v>
      </c>
      <c r="N162" s="28"/>
      <c r="X162" s="203" t="str">
        <f t="shared" si="25"/>
        <v>LONDRINA [ETAPA 02 - CONDOMINIO TANGARA]ATIVO</v>
      </c>
      <c r="Y162" s="203" t="str">
        <f t="shared" si="26"/>
        <v>XXIX33ROBERTO MARTINS</v>
      </c>
      <c r="Z162" s="203" t="str">
        <f t="shared" si="31"/>
        <v>XXIX33ROBERTO MARTINS</v>
      </c>
      <c r="AA162" s="427" t="s">
        <v>513</v>
      </c>
      <c r="AB162" s="427">
        <v>33</v>
      </c>
      <c r="AC162" s="428" t="s">
        <v>416</v>
      </c>
      <c r="AD162" s="505">
        <v>133661.78</v>
      </c>
      <c r="AE162" s="506">
        <v>219539.38</v>
      </c>
      <c r="AF162" s="60" t="str">
        <f t="shared" si="32"/>
        <v>ROBERTO MARTINS</v>
      </c>
      <c r="AG162" s="60" t="str">
        <f t="shared" si="33"/>
        <v>OK</v>
      </c>
    </row>
    <row r="163" spans="1:33">
      <c r="A163" s="61" t="str">
        <f t="shared" si="27"/>
        <v>LONDRINA [ETAPA 02 - CONDOMINIO TANGARA]XXIX41</v>
      </c>
      <c r="B163" s="263" t="s">
        <v>35</v>
      </c>
      <c r="C163" s="337" t="s">
        <v>513</v>
      </c>
      <c r="D163" s="73">
        <v>41</v>
      </c>
      <c r="E163" s="315">
        <v>258.7</v>
      </c>
      <c r="F163" s="166">
        <v>2553</v>
      </c>
      <c r="G163" s="74" t="s">
        <v>85</v>
      </c>
      <c r="H163" s="40">
        <v>41445</v>
      </c>
      <c r="I163" s="35">
        <v>94839.42</v>
      </c>
      <c r="J163" s="35" t="str">
        <f>IFERROR(VLOOKUP(CONCATENATE(B163,C163,D163,),Inadimplencia!$A$6:$K$110,6,0),"ATIVO")</f>
        <v>INADIMPLENTE</v>
      </c>
      <c r="K163" s="35">
        <f t="shared" si="28"/>
        <v>176340.32</v>
      </c>
      <c r="L163" s="325">
        <f t="shared" si="29"/>
        <v>1.8593567948855023</v>
      </c>
      <c r="M163" s="423" t="str">
        <f t="shared" si="30"/>
        <v>INADIMPLENTE1</v>
      </c>
      <c r="N163" s="28"/>
      <c r="X163" s="203" t="str">
        <f t="shared" si="25"/>
        <v>LONDRINA [ETAPA 02 - CONDOMINIO TANGARA]INADIMPLENTE</v>
      </c>
      <c r="Y163" s="203" t="str">
        <f t="shared" si="26"/>
        <v>XXIX41AUREO SILVA CASTRO</v>
      </c>
      <c r="Z163" s="203" t="str">
        <f t="shared" si="31"/>
        <v>XXIX41AUREO SILVA CASTRO</v>
      </c>
      <c r="AA163" s="427" t="s">
        <v>513</v>
      </c>
      <c r="AB163" s="427">
        <v>41</v>
      </c>
      <c r="AC163" s="428" t="s">
        <v>85</v>
      </c>
      <c r="AD163" s="505">
        <v>176340.32</v>
      </c>
      <c r="AE163" s="506">
        <v>210144.33000000002</v>
      </c>
      <c r="AF163" s="60" t="str">
        <f t="shared" si="32"/>
        <v>AUREO SILVA CASTRO</v>
      </c>
      <c r="AG163" s="60" t="str">
        <f t="shared" si="33"/>
        <v>OK</v>
      </c>
    </row>
    <row r="164" spans="1:33">
      <c r="A164" s="61" t="str">
        <f t="shared" si="27"/>
        <v>LONDRINA [ETAPA 02 - CONDOMINIO TANGARA]XXIX43</v>
      </c>
      <c r="B164" s="263" t="s">
        <v>35</v>
      </c>
      <c r="C164" s="337" t="s">
        <v>513</v>
      </c>
      <c r="D164" s="166">
        <v>43</v>
      </c>
      <c r="E164" s="197">
        <v>258.7</v>
      </c>
      <c r="F164" s="166">
        <v>2672</v>
      </c>
      <c r="G164" s="338" t="s">
        <v>915</v>
      </c>
      <c r="H164" s="40">
        <v>41436</v>
      </c>
      <c r="I164" s="35">
        <v>94839.42</v>
      </c>
      <c r="J164" s="35" t="str">
        <f>IFERROR(VLOOKUP(CONCATENATE(B164,C164,D164,),Inadimplencia!$A$6:$K$110,6,0),"ATIVO")</f>
        <v>ATIVO</v>
      </c>
      <c r="K164" s="35">
        <f t="shared" si="28"/>
        <v>46835.58</v>
      </c>
      <c r="L164" s="325">
        <f t="shared" si="29"/>
        <v>0.49384085225320867</v>
      </c>
      <c r="M164" s="423" t="str">
        <f t="shared" si="30"/>
        <v>ATIVO0</v>
      </c>
      <c r="N164" s="28"/>
      <c r="X164" s="203" t="str">
        <f t="shared" si="25"/>
        <v>LONDRINA [ETAPA 02 - CONDOMINIO TANGARA]ATIVO</v>
      </c>
      <c r="Y164" s="203" t="str">
        <f t="shared" si="26"/>
        <v>XXIX43RODRIGO CHANAN LOPES DE JESUS</v>
      </c>
      <c r="Z164" s="203" t="str">
        <f t="shared" si="31"/>
        <v>XXIX43RODRIGO CHANAN LOPES DE JESUS</v>
      </c>
      <c r="AA164" s="427" t="s">
        <v>513</v>
      </c>
      <c r="AB164" s="427">
        <v>43</v>
      </c>
      <c r="AC164" s="428" t="s">
        <v>915</v>
      </c>
      <c r="AD164" s="505">
        <v>46835.58</v>
      </c>
      <c r="AE164" s="506">
        <v>172015.29</v>
      </c>
      <c r="AF164" s="60" t="str">
        <f t="shared" si="32"/>
        <v>RODRIGO CHANAN LOPES DE JESUS</v>
      </c>
      <c r="AG164" s="60" t="str">
        <f t="shared" si="33"/>
        <v>OK</v>
      </c>
    </row>
    <row r="165" spans="1:33">
      <c r="A165" s="61" t="str">
        <f t="shared" si="27"/>
        <v>LONDRINA [ETAPA 02 - CONDOMINIO TANGARA]XXIX45</v>
      </c>
      <c r="B165" s="263" t="s">
        <v>35</v>
      </c>
      <c r="C165" s="337" t="s">
        <v>513</v>
      </c>
      <c r="D165" s="73">
        <v>45</v>
      </c>
      <c r="E165" s="315">
        <v>258.7</v>
      </c>
      <c r="F165" s="166">
        <v>7131</v>
      </c>
      <c r="G165" s="74" t="s">
        <v>950</v>
      </c>
      <c r="H165" s="40">
        <v>43560</v>
      </c>
      <c r="I165" s="35">
        <v>141000</v>
      </c>
      <c r="J165" s="35" t="str">
        <f>IFERROR(VLOOKUP(CONCATENATE(B165,C165,D165,),Inadimplencia!$A$6:$K$110,6,0),"ATIVO")</f>
        <v>ATIVO</v>
      </c>
      <c r="K165" s="35">
        <f t="shared" si="28"/>
        <v>36002.32</v>
      </c>
      <c r="L165" s="325">
        <f t="shared" si="29"/>
        <v>0.25533560283687945</v>
      </c>
      <c r="M165" s="423" t="str">
        <f t="shared" si="30"/>
        <v>ATIVO0</v>
      </c>
      <c r="N165" s="28"/>
      <c r="X165" s="203" t="str">
        <f t="shared" si="25"/>
        <v>LONDRINA [ETAPA 02 - CONDOMINIO TANGARA]ATIVO</v>
      </c>
      <c r="Y165" s="203" t="str">
        <f t="shared" si="26"/>
        <v>XXIX45LAIARA MARTINS BRASIL</v>
      </c>
      <c r="Z165" s="203" t="str">
        <f t="shared" si="31"/>
        <v>XXIX45LAIARA MARTINS BRASIL</v>
      </c>
      <c r="AA165" s="427" t="s">
        <v>513</v>
      </c>
      <c r="AB165" s="427">
        <v>45</v>
      </c>
      <c r="AC165" s="428" t="s">
        <v>950</v>
      </c>
      <c r="AD165" s="505">
        <v>36002.32</v>
      </c>
      <c r="AE165" s="506">
        <v>146998.6</v>
      </c>
      <c r="AF165" s="60" t="str">
        <f t="shared" si="32"/>
        <v>LAIARA MARTINS BRASIL</v>
      </c>
      <c r="AG165" s="60" t="str">
        <f t="shared" si="33"/>
        <v>OK</v>
      </c>
    </row>
    <row r="166" spans="1:33">
      <c r="A166" s="61" t="str">
        <f t="shared" si="27"/>
        <v>LONDRINA [ETAPA 02 - CONDOMINIO TANGARA]XXVI2</v>
      </c>
      <c r="B166" s="263" t="s">
        <v>35</v>
      </c>
      <c r="C166" s="337" t="s">
        <v>514</v>
      </c>
      <c r="D166" s="166">
        <v>2</v>
      </c>
      <c r="E166" s="197">
        <v>253.02</v>
      </c>
      <c r="F166" s="166">
        <v>2421</v>
      </c>
      <c r="G166" s="338" t="s">
        <v>470</v>
      </c>
      <c r="H166" s="40">
        <v>41441</v>
      </c>
      <c r="I166" s="35">
        <v>91567.94</v>
      </c>
      <c r="J166" s="35" t="str">
        <f>IFERROR(VLOOKUP(CONCATENATE(B166,C166,D166,),Inadimplencia!$A$6:$K$110,6,0),"ATIVO")</f>
        <v>ATIVO</v>
      </c>
      <c r="K166" s="35">
        <f t="shared" si="28"/>
        <v>66593.08</v>
      </c>
      <c r="L166" s="325">
        <f t="shared" si="29"/>
        <v>0.72725322858633712</v>
      </c>
      <c r="M166" s="423" t="str">
        <f t="shared" si="30"/>
        <v>ATIVO0</v>
      </c>
      <c r="N166" s="28"/>
      <c r="X166" s="203" t="str">
        <f t="shared" si="25"/>
        <v>LONDRINA [ETAPA 02 - CONDOMINIO TANGARA]ATIVO</v>
      </c>
      <c r="Y166" s="203" t="str">
        <f t="shared" si="26"/>
        <v>XXVI2VERA LUCIA GOMES MAGALHAES</v>
      </c>
      <c r="Z166" s="203" t="str">
        <f t="shared" si="31"/>
        <v>XXVI2VERA LUCIA GOMES MAGALHAES</v>
      </c>
      <c r="AA166" s="427" t="s">
        <v>514</v>
      </c>
      <c r="AB166" s="427">
        <v>2</v>
      </c>
      <c r="AC166" s="428" t="s">
        <v>470</v>
      </c>
      <c r="AD166" s="505">
        <v>66593.08</v>
      </c>
      <c r="AE166" s="506">
        <v>163156.76</v>
      </c>
      <c r="AF166" s="60" t="str">
        <f t="shared" si="32"/>
        <v>VERA LUCIA GOMES MAGALHAES</v>
      </c>
      <c r="AG166" s="60" t="str">
        <f t="shared" si="33"/>
        <v>OK</v>
      </c>
    </row>
    <row r="167" spans="1:33">
      <c r="A167" s="61" t="str">
        <f t="shared" si="27"/>
        <v>LONDRINA [ETAPA 02 - CONDOMINIO TANGARA]XXVI9</v>
      </c>
      <c r="B167" s="263" t="s">
        <v>35</v>
      </c>
      <c r="C167" s="337" t="s">
        <v>514</v>
      </c>
      <c r="D167" s="73">
        <v>9</v>
      </c>
      <c r="E167" s="315">
        <v>262.81</v>
      </c>
      <c r="F167" s="166">
        <v>3456</v>
      </c>
      <c r="G167" s="74" t="s">
        <v>1114</v>
      </c>
      <c r="H167" s="40">
        <v>43803</v>
      </c>
      <c r="I167" s="35">
        <v>161680</v>
      </c>
      <c r="J167" s="35" t="str">
        <f>IFERROR(VLOOKUP(CONCATENATE(B167,C167,D167,),Inadimplencia!$A$6:$K$110,6,0),"ATIVO")</f>
        <v>ATIVO</v>
      </c>
      <c r="K167" s="35">
        <f t="shared" si="28"/>
        <v>56668.51</v>
      </c>
      <c r="L167" s="325">
        <f t="shared" si="29"/>
        <v>0.35049795893122215</v>
      </c>
      <c r="M167" s="423" t="str">
        <f t="shared" si="30"/>
        <v>ATIVO0</v>
      </c>
      <c r="N167" s="28"/>
      <c r="X167" s="203" t="str">
        <f t="shared" si="25"/>
        <v>LONDRINA [ETAPA 02 - CONDOMINIO TANGARA]ATIVO</v>
      </c>
      <c r="Y167" s="203" t="str">
        <f t="shared" si="26"/>
        <v>XXVI9MARCELO BUOSI BRIANEZI</v>
      </c>
      <c r="Z167" s="203" t="str">
        <f t="shared" si="31"/>
        <v>XXVI9MARCELO BUOSI BRIANEZI</v>
      </c>
      <c r="AA167" s="427" t="s">
        <v>514</v>
      </c>
      <c r="AB167" s="427">
        <v>9</v>
      </c>
      <c r="AC167" s="428" t="s">
        <v>1114</v>
      </c>
      <c r="AD167" s="505">
        <v>56668.51</v>
      </c>
      <c r="AE167" s="506">
        <v>166233.97</v>
      </c>
      <c r="AF167" s="60" t="str">
        <f t="shared" si="32"/>
        <v>MARCELO BUOSI BRIANEZI</v>
      </c>
      <c r="AG167" s="60" t="str">
        <f t="shared" si="33"/>
        <v>OK</v>
      </c>
    </row>
    <row r="168" spans="1:33">
      <c r="A168" s="61" t="str">
        <f t="shared" si="27"/>
        <v>LONDRINA [ETAPA 02 - CONDOMINIO TANGARA]XXVII5</v>
      </c>
      <c r="B168" s="263" t="s">
        <v>35</v>
      </c>
      <c r="C168" s="337" t="s">
        <v>515</v>
      </c>
      <c r="D168" s="166">
        <v>5</v>
      </c>
      <c r="E168" s="197">
        <v>262.25</v>
      </c>
      <c r="F168" s="166">
        <v>2645</v>
      </c>
      <c r="G168" s="338" t="s">
        <v>112</v>
      </c>
      <c r="H168" s="40">
        <v>41454</v>
      </c>
      <c r="I168" s="35">
        <v>96140.85</v>
      </c>
      <c r="J168" s="35" t="str">
        <f>IFERROR(VLOOKUP(CONCATENATE(B168,C168,D168,),Inadimplencia!$A$6:$K$110,6,0),"ATIVO")</f>
        <v>ATRASO</v>
      </c>
      <c r="K168" s="35">
        <f t="shared" si="28"/>
        <v>98044.87</v>
      </c>
      <c r="L168" s="325">
        <f t="shared" si="29"/>
        <v>1.0198044847741619</v>
      </c>
      <c r="M168" s="423" t="str">
        <f t="shared" si="30"/>
        <v>ATRASO1</v>
      </c>
      <c r="N168" s="28"/>
      <c r="X168" s="203" t="str">
        <f t="shared" si="25"/>
        <v>LONDRINA [ETAPA 02 - CONDOMINIO TANGARA]ATRASO</v>
      </c>
      <c r="Y168" s="203" t="str">
        <f t="shared" si="26"/>
        <v>XXVII5CLAUDIA THAIS BERA</v>
      </c>
      <c r="Z168" s="203" t="str">
        <f t="shared" si="31"/>
        <v>XXVII5CLAUDIA THAIS BERA</v>
      </c>
      <c r="AA168" s="427" t="s">
        <v>515</v>
      </c>
      <c r="AB168" s="427">
        <v>5</v>
      </c>
      <c r="AC168" s="428" t="s">
        <v>112</v>
      </c>
      <c r="AD168" s="505">
        <v>98044.87</v>
      </c>
      <c r="AE168" s="506">
        <v>192451.59</v>
      </c>
      <c r="AF168" s="60" t="str">
        <f t="shared" si="32"/>
        <v>CLAUDIA THAIS BERA</v>
      </c>
      <c r="AG168" s="60" t="str">
        <f t="shared" si="33"/>
        <v>OK</v>
      </c>
    </row>
    <row r="169" spans="1:33">
      <c r="A169" s="61" t="str">
        <f t="shared" si="27"/>
        <v>LONDRINA [ETAPA 02 - CONDOMINIO TANGARA]XXVII6</v>
      </c>
      <c r="B169" s="263" t="s">
        <v>35</v>
      </c>
      <c r="C169" s="337" t="s">
        <v>515</v>
      </c>
      <c r="D169" s="73">
        <v>6</v>
      </c>
      <c r="E169" s="315">
        <v>262.25</v>
      </c>
      <c r="F169" s="166">
        <v>2699</v>
      </c>
      <c r="G169" s="74" t="s">
        <v>122</v>
      </c>
      <c r="H169" s="40">
        <v>41467</v>
      </c>
      <c r="I169" s="35">
        <v>96140.85</v>
      </c>
      <c r="J169" s="35" t="str">
        <f>IFERROR(VLOOKUP(CONCATENATE(B169,C169,D169,),Inadimplencia!$A$6:$K$110,6,0),"ATIVO")</f>
        <v>ATIVO</v>
      </c>
      <c r="K169" s="35">
        <f t="shared" si="28"/>
        <v>50894.69</v>
      </c>
      <c r="L169" s="325">
        <f t="shared" si="29"/>
        <v>0.52937632650429034</v>
      </c>
      <c r="M169" s="423" t="str">
        <f t="shared" si="30"/>
        <v>ATIVO0</v>
      </c>
      <c r="N169" s="28"/>
      <c r="X169" s="203" t="str">
        <f t="shared" si="25"/>
        <v>LONDRINA [ETAPA 02 - CONDOMINIO TANGARA]ATIVO</v>
      </c>
      <c r="Y169" s="203" t="str">
        <f t="shared" si="26"/>
        <v>XXVII6DALMO CORREIA</v>
      </c>
      <c r="Z169" s="203" t="str">
        <f t="shared" si="31"/>
        <v>XXVII6DALMO CORREIA</v>
      </c>
      <c r="AA169" s="427" t="s">
        <v>515</v>
      </c>
      <c r="AB169" s="427">
        <v>6</v>
      </c>
      <c r="AC169" s="428" t="s">
        <v>122</v>
      </c>
      <c r="AD169" s="505">
        <v>50894.69</v>
      </c>
      <c r="AE169" s="506">
        <v>206336.98</v>
      </c>
      <c r="AF169" s="60" t="str">
        <f t="shared" si="32"/>
        <v>DALMO CORREIA</v>
      </c>
      <c r="AG169" s="60" t="str">
        <f t="shared" si="33"/>
        <v>OK</v>
      </c>
    </row>
    <row r="170" spans="1:33">
      <c r="A170" s="61" t="str">
        <f t="shared" si="27"/>
        <v>LONDRINA [ETAPA 02 - CONDOMINIO TANGARA]XXVII7</v>
      </c>
      <c r="B170" s="263" t="s">
        <v>35</v>
      </c>
      <c r="C170" s="337" t="s">
        <v>515</v>
      </c>
      <c r="D170" s="166">
        <v>7</v>
      </c>
      <c r="E170" s="197">
        <v>262.25</v>
      </c>
      <c r="F170" s="166">
        <v>2740</v>
      </c>
      <c r="G170" s="338" t="s">
        <v>641</v>
      </c>
      <c r="H170" s="40">
        <v>41472</v>
      </c>
      <c r="I170" s="35">
        <v>96140.85</v>
      </c>
      <c r="J170" s="35" t="str">
        <f>IFERROR(VLOOKUP(CONCATENATE(B170,C170,D170,),Inadimplencia!$A$6:$K$110,6,0),"ATIVO")</f>
        <v>INADIMPLENTE</v>
      </c>
      <c r="K170" s="35">
        <f t="shared" si="28"/>
        <v>164350.48000000001</v>
      </c>
      <c r="L170" s="325">
        <f t="shared" si="29"/>
        <v>1.7094760447822128</v>
      </c>
      <c r="M170" s="423" t="str">
        <f t="shared" si="30"/>
        <v>INADIMPLENTE1</v>
      </c>
      <c r="N170" s="28"/>
      <c r="X170" s="203" t="str">
        <f t="shared" si="25"/>
        <v>LONDRINA [ETAPA 02 - CONDOMINIO TANGARA]INADIMPLENTE</v>
      </c>
      <c r="Y170" s="203" t="str">
        <f t="shared" si="26"/>
        <v>XXVII7CARLOS HENRIQUE NAVARRO MAZZEO</v>
      </c>
      <c r="Z170" s="203" t="str">
        <f t="shared" si="31"/>
        <v>XXVII7CARLOS HENRIQUE NAVARRO MAZZEO</v>
      </c>
      <c r="AA170" s="427" t="s">
        <v>515</v>
      </c>
      <c r="AB170" s="427">
        <v>7</v>
      </c>
      <c r="AC170" s="428" t="s">
        <v>641</v>
      </c>
      <c r="AD170" s="505">
        <v>164350.48000000001</v>
      </c>
      <c r="AE170" s="506">
        <v>198341.05000000002</v>
      </c>
      <c r="AF170" s="60" t="str">
        <f t="shared" si="32"/>
        <v>CARLOS HENRIQUE NAVARRO MAZZEO</v>
      </c>
      <c r="AG170" s="60" t="str">
        <f t="shared" si="33"/>
        <v>OK</v>
      </c>
    </row>
    <row r="171" spans="1:33">
      <c r="A171" s="61" t="str">
        <f t="shared" si="27"/>
        <v>LONDRINA [ETAPA 02 - CONDOMINIO TANGARA]XXVII8</v>
      </c>
      <c r="B171" s="263" t="s">
        <v>35</v>
      </c>
      <c r="C171" s="337" t="s">
        <v>515</v>
      </c>
      <c r="D171" s="73">
        <v>8</v>
      </c>
      <c r="E171" s="315">
        <v>262.25</v>
      </c>
      <c r="F171" s="166">
        <v>2714</v>
      </c>
      <c r="G171" s="74" t="s">
        <v>224</v>
      </c>
      <c r="H171" s="40">
        <v>41468</v>
      </c>
      <c r="I171" s="35">
        <v>96140.85</v>
      </c>
      <c r="J171" s="35" t="str">
        <f>IFERROR(VLOOKUP(CONCATENATE(B171,C171,D171,),Inadimplencia!$A$6:$K$110,6,0),"ATIVO")</f>
        <v>INADIMPLENTE</v>
      </c>
      <c r="K171" s="35">
        <f t="shared" si="28"/>
        <v>161446.56</v>
      </c>
      <c r="L171" s="325">
        <f t="shared" si="29"/>
        <v>1.6792711942946208</v>
      </c>
      <c r="M171" s="423" t="str">
        <f t="shared" si="30"/>
        <v>INADIMPLENTE1</v>
      </c>
      <c r="N171" s="28"/>
      <c r="X171" s="203" t="str">
        <f t="shared" si="25"/>
        <v>LONDRINA [ETAPA 02 - CONDOMINIO TANGARA]INADIMPLENTE</v>
      </c>
      <c r="Y171" s="203" t="str">
        <f t="shared" si="26"/>
        <v>XXVII8GILDETE RODRIGUES DA CRUZ</v>
      </c>
      <c r="Z171" s="203" t="str">
        <f t="shared" si="31"/>
        <v>XXVII8GILDETE RODRIGUES DA CRUZ</v>
      </c>
      <c r="AA171" s="427" t="s">
        <v>515</v>
      </c>
      <c r="AB171" s="427">
        <v>8</v>
      </c>
      <c r="AC171" s="428" t="s">
        <v>224</v>
      </c>
      <c r="AD171" s="505">
        <v>161446.56</v>
      </c>
      <c r="AE171" s="506">
        <v>197051.17</v>
      </c>
      <c r="AF171" s="60" t="str">
        <f t="shared" si="32"/>
        <v>GILDETE RODRIGUES DA CRUZ</v>
      </c>
      <c r="AG171" s="60" t="str">
        <f t="shared" si="33"/>
        <v>OK</v>
      </c>
    </row>
    <row r="172" spans="1:33">
      <c r="A172" s="61" t="str">
        <f t="shared" si="27"/>
        <v>LONDRINA [ETAPA 02 - CONDOMINIO TANGARA]XXVII11</v>
      </c>
      <c r="B172" s="263" t="s">
        <v>35</v>
      </c>
      <c r="C172" s="337" t="s">
        <v>515</v>
      </c>
      <c r="D172" s="166">
        <v>11</v>
      </c>
      <c r="E172" s="197">
        <v>262.25</v>
      </c>
      <c r="F172" s="166">
        <v>2324</v>
      </c>
      <c r="G172" s="338" t="s">
        <v>204</v>
      </c>
      <c r="H172" s="40">
        <v>41445</v>
      </c>
      <c r="I172" s="35">
        <v>96140.85</v>
      </c>
      <c r="J172" s="35" t="str">
        <f>IFERROR(VLOOKUP(CONCATENATE(B172,C172,D172,),Inadimplencia!$A$6:$K$110,6,0),"ATIVO")</f>
        <v>ATIVO</v>
      </c>
      <c r="K172" s="35">
        <f t="shared" si="28"/>
        <v>86763.64</v>
      </c>
      <c r="L172" s="325">
        <f t="shared" si="29"/>
        <v>0.90246383301166977</v>
      </c>
      <c r="M172" s="423" t="str">
        <f t="shared" si="30"/>
        <v>ATIVO0</v>
      </c>
      <c r="N172" s="28"/>
      <c r="X172" s="203" t="str">
        <f t="shared" si="25"/>
        <v>LONDRINA [ETAPA 02 - CONDOMINIO TANGARA]ATIVO</v>
      </c>
      <c r="Y172" s="203" t="str">
        <f t="shared" si="26"/>
        <v>XXVII11FABIO AUGUSTO GUIRARDELLI</v>
      </c>
      <c r="Z172" s="203" t="str">
        <f t="shared" si="31"/>
        <v>XXVII11FABIO AUGUSTO GUIRARDELLI</v>
      </c>
      <c r="AA172" s="427" t="s">
        <v>515</v>
      </c>
      <c r="AB172" s="427">
        <v>11</v>
      </c>
      <c r="AC172" s="428" t="s">
        <v>204</v>
      </c>
      <c r="AD172" s="505">
        <v>86763.64</v>
      </c>
      <c r="AE172" s="506">
        <v>176657.78</v>
      </c>
      <c r="AF172" s="60" t="str">
        <f t="shared" si="32"/>
        <v>FABIO AUGUSTO GUIRARDELLI</v>
      </c>
      <c r="AG172" s="60" t="str">
        <f t="shared" si="33"/>
        <v>OK</v>
      </c>
    </row>
    <row r="173" spans="1:33">
      <c r="A173" s="61" t="str">
        <f t="shared" si="27"/>
        <v>LONDRINA [ETAPA 02 - CONDOMINIO TANGARA]XXVII13</v>
      </c>
      <c r="B173" s="263" t="s">
        <v>35</v>
      </c>
      <c r="C173" s="337" t="s">
        <v>515</v>
      </c>
      <c r="D173" s="73">
        <v>13</v>
      </c>
      <c r="E173" s="315">
        <v>262.25</v>
      </c>
      <c r="F173" s="166">
        <v>2619</v>
      </c>
      <c r="G173" s="74" t="s">
        <v>290</v>
      </c>
      <c r="H173" s="40">
        <v>41461</v>
      </c>
      <c r="I173" s="35">
        <v>99838.57</v>
      </c>
      <c r="J173" s="35" t="str">
        <f>IFERROR(VLOOKUP(CONCATENATE(B173,C173,D173,),Inadimplencia!$A$6:$K$110,6,0),"ATIVO")</f>
        <v>ATRASO</v>
      </c>
      <c r="K173" s="35">
        <f t="shared" si="28"/>
        <v>37464.75</v>
      </c>
      <c r="L173" s="325">
        <f t="shared" si="29"/>
        <v>0.37525327135594988</v>
      </c>
      <c r="M173" s="423" t="str">
        <f t="shared" si="30"/>
        <v>ATRASO0</v>
      </c>
      <c r="N173" s="28"/>
      <c r="X173" s="203" t="str">
        <f t="shared" si="25"/>
        <v>LONDRINA [ETAPA 02 - CONDOMINIO TANGARA]ATRASO</v>
      </c>
      <c r="Y173" s="203" t="str">
        <f t="shared" si="26"/>
        <v>XXVII13JULIANO CEZARIO BORTOLASSI</v>
      </c>
      <c r="Z173" s="203" t="str">
        <f t="shared" si="31"/>
        <v>XXVII13JULIANO CEZARIO BORTOLASSI</v>
      </c>
      <c r="AA173" s="427" t="s">
        <v>515</v>
      </c>
      <c r="AB173" s="427">
        <v>13</v>
      </c>
      <c r="AC173" s="428" t="s">
        <v>290</v>
      </c>
      <c r="AD173" s="505">
        <v>37464.75</v>
      </c>
      <c r="AE173" s="506">
        <v>151618.48000000001</v>
      </c>
      <c r="AF173" s="60" t="str">
        <f t="shared" si="32"/>
        <v>JULIANO CEZARIO BORTOLASSI</v>
      </c>
      <c r="AG173" s="60" t="str">
        <f t="shared" si="33"/>
        <v>OK</v>
      </c>
    </row>
    <row r="174" spans="1:33">
      <c r="A174" s="61" t="str">
        <f t="shared" si="27"/>
        <v>LONDRINA [ETAPA 02 - CONDOMINIO TANGARA]XXVII16</v>
      </c>
      <c r="B174" s="263" t="s">
        <v>35</v>
      </c>
      <c r="C174" s="337" t="s">
        <v>515</v>
      </c>
      <c r="D174" s="166">
        <v>16</v>
      </c>
      <c r="E174" s="197">
        <v>262.25</v>
      </c>
      <c r="F174" s="166">
        <v>2333</v>
      </c>
      <c r="G174" s="338" t="s">
        <v>320</v>
      </c>
      <c r="H174" s="40">
        <v>41446</v>
      </c>
      <c r="I174" s="35">
        <v>99838.57</v>
      </c>
      <c r="J174" s="35" t="str">
        <f>IFERROR(VLOOKUP(CONCATENATE(B174,C174,D174,),Inadimplencia!$A$6:$K$110,6,0),"ATIVO")</f>
        <v>ATIVO</v>
      </c>
      <c r="K174" s="35">
        <f t="shared" si="28"/>
        <v>67109.77</v>
      </c>
      <c r="L174" s="325">
        <f t="shared" si="29"/>
        <v>0.67218280470162983</v>
      </c>
      <c r="M174" s="423" t="str">
        <f t="shared" si="30"/>
        <v>ATIVO0</v>
      </c>
      <c r="N174" s="28"/>
      <c r="X174" s="203" t="str">
        <f t="shared" si="25"/>
        <v>LONDRINA [ETAPA 02 - CONDOMINIO TANGARA]ATIVO</v>
      </c>
      <c r="Y174" s="203" t="str">
        <f t="shared" si="26"/>
        <v>XXVII16LUIZ FERNANDO PERISOTTO TEXEIRA</v>
      </c>
      <c r="Z174" s="203" t="str">
        <f t="shared" si="31"/>
        <v>XXVII16LUIZ FERNANDO PERISOTTO TEXEIRA</v>
      </c>
      <c r="AA174" s="427" t="s">
        <v>515</v>
      </c>
      <c r="AB174" s="427">
        <v>16</v>
      </c>
      <c r="AC174" s="428" t="s">
        <v>320</v>
      </c>
      <c r="AD174" s="505">
        <v>67109.77</v>
      </c>
      <c r="AE174" s="506">
        <v>180205.44</v>
      </c>
      <c r="AF174" s="60" t="str">
        <f t="shared" si="32"/>
        <v>LUIZ FERNANDO PERISOTTO TEXEIRA</v>
      </c>
      <c r="AG174" s="60" t="str">
        <f t="shared" si="33"/>
        <v>OK</v>
      </c>
    </row>
    <row r="175" spans="1:33">
      <c r="A175" s="61" t="str">
        <f t="shared" si="27"/>
        <v>LONDRINA [ETAPA 02 - CONDOMINIO TANGARA]XXVII17</v>
      </c>
      <c r="B175" s="263" t="s">
        <v>35</v>
      </c>
      <c r="C175" s="337" t="s">
        <v>515</v>
      </c>
      <c r="D175" s="73">
        <v>17</v>
      </c>
      <c r="E175" s="315">
        <v>262.25</v>
      </c>
      <c r="F175" s="166">
        <v>2331</v>
      </c>
      <c r="G175" s="74" t="s">
        <v>320</v>
      </c>
      <c r="H175" s="40">
        <v>41445</v>
      </c>
      <c r="I175" s="35">
        <v>99838.57</v>
      </c>
      <c r="J175" s="35" t="str">
        <f>IFERROR(VLOOKUP(CONCATENATE(B175,C175,D175,),Inadimplencia!$A$6:$K$110,6,0),"ATIVO")</f>
        <v>ATIVO</v>
      </c>
      <c r="K175" s="35">
        <f t="shared" si="28"/>
        <v>71578.86</v>
      </c>
      <c r="L175" s="325">
        <f t="shared" si="29"/>
        <v>0.71694596587270831</v>
      </c>
      <c r="M175" s="423" t="str">
        <f t="shared" si="30"/>
        <v>ATIVO0</v>
      </c>
      <c r="N175" s="28"/>
      <c r="X175" s="203" t="str">
        <f t="shared" si="25"/>
        <v>LONDRINA [ETAPA 02 - CONDOMINIO TANGARA]ATIVO</v>
      </c>
      <c r="Y175" s="203" t="str">
        <f t="shared" si="26"/>
        <v>XXVII17LUIZ FERNANDO PERISOTTO TEXEIRA</v>
      </c>
      <c r="Z175" s="203" t="str">
        <f t="shared" si="31"/>
        <v>XXVII17LUIZ FERNANDO PERISOTTO TEXEIRA</v>
      </c>
      <c r="AA175" s="427" t="s">
        <v>515</v>
      </c>
      <c r="AB175" s="427">
        <v>17</v>
      </c>
      <c r="AC175" s="428" t="s">
        <v>320</v>
      </c>
      <c r="AD175" s="505">
        <v>71578.86</v>
      </c>
      <c r="AE175" s="506">
        <v>183541.33000000002</v>
      </c>
      <c r="AF175" s="60" t="str">
        <f t="shared" si="32"/>
        <v>LUIZ FERNANDO PERISOTTO TEXEIRA</v>
      </c>
      <c r="AG175" s="60" t="str">
        <f t="shared" si="33"/>
        <v>OK</v>
      </c>
    </row>
    <row r="176" spans="1:33">
      <c r="A176" s="61" t="str">
        <f t="shared" si="27"/>
        <v>LONDRINA [ETAPA 02 - CONDOMINIO TANGARA]XXVIII8</v>
      </c>
      <c r="B176" s="263" t="s">
        <v>35</v>
      </c>
      <c r="C176" s="337" t="s">
        <v>516</v>
      </c>
      <c r="D176" s="166">
        <v>8</v>
      </c>
      <c r="E176" s="197">
        <v>331.75</v>
      </c>
      <c r="F176" s="166">
        <v>2587</v>
      </c>
      <c r="G176" s="338" t="s">
        <v>364</v>
      </c>
      <c r="H176" s="40">
        <v>41436</v>
      </c>
      <c r="I176" s="35">
        <v>124738</v>
      </c>
      <c r="J176" s="35" t="str">
        <f>IFERROR(VLOOKUP(CONCATENATE(B176,C176,D176,),Inadimplencia!$A$6:$K$110,6,0),"ATIVO")</f>
        <v>ATIVO</v>
      </c>
      <c r="K176" s="35">
        <f t="shared" si="28"/>
        <v>112156.8</v>
      </c>
      <c r="L176" s="325">
        <f t="shared" si="29"/>
        <v>0.89913899533422059</v>
      </c>
      <c r="M176" s="423" t="str">
        <f t="shared" si="30"/>
        <v>ATIVO0</v>
      </c>
      <c r="N176" s="28"/>
      <c r="X176" s="203" t="str">
        <f t="shared" si="25"/>
        <v>LONDRINA [ETAPA 02 - CONDOMINIO TANGARA]ATIVO</v>
      </c>
      <c r="Y176" s="203" t="str">
        <f t="shared" si="26"/>
        <v>XXVIII8MARLY APARECIDA BORGES KOTINDA</v>
      </c>
      <c r="Z176" s="203" t="str">
        <f t="shared" si="31"/>
        <v>XXVIII8MARLY APARECIDA BORGES KOTINDA</v>
      </c>
      <c r="AA176" s="427" t="s">
        <v>516</v>
      </c>
      <c r="AB176" s="427">
        <v>8</v>
      </c>
      <c r="AC176" s="428" t="s">
        <v>364</v>
      </c>
      <c r="AD176" s="505">
        <v>112156.8</v>
      </c>
      <c r="AE176" s="506">
        <v>200431.6</v>
      </c>
      <c r="AF176" s="60" t="str">
        <f t="shared" si="32"/>
        <v>MARLY APARECIDA BORGES KOTINDA</v>
      </c>
      <c r="AG176" s="60" t="str">
        <f t="shared" si="33"/>
        <v>OK</v>
      </c>
    </row>
    <row r="177" spans="1:33">
      <c r="A177" s="61" t="str">
        <f t="shared" si="27"/>
        <v>LONDRINA [ETAPA 02 - CONDOMINIO TANGARA]XXVIII10</v>
      </c>
      <c r="B177" s="263" t="s">
        <v>35</v>
      </c>
      <c r="C177" s="337" t="s">
        <v>516</v>
      </c>
      <c r="D177" s="73">
        <v>10</v>
      </c>
      <c r="E177" s="315">
        <v>280.05</v>
      </c>
      <c r="F177" s="166">
        <v>2615</v>
      </c>
      <c r="G177" s="74" t="s">
        <v>110</v>
      </c>
      <c r="H177" s="40">
        <v>41442</v>
      </c>
      <c r="I177" s="35">
        <v>105298.8</v>
      </c>
      <c r="J177" s="35" t="str">
        <f>IFERROR(VLOOKUP(CONCATENATE(B177,C177,D177,),Inadimplencia!$A$6:$K$110,6,0),"ATIVO")</f>
        <v>ATIVO</v>
      </c>
      <c r="K177" s="35">
        <f t="shared" si="28"/>
        <v>106778.73</v>
      </c>
      <c r="L177" s="325">
        <f t="shared" si="29"/>
        <v>1.0140545761205255</v>
      </c>
      <c r="M177" s="423" t="str">
        <f t="shared" si="30"/>
        <v>ATIVO1</v>
      </c>
      <c r="N177" s="28"/>
      <c r="X177" s="203" t="str">
        <f t="shared" si="25"/>
        <v>LONDRINA [ETAPA 02 - CONDOMINIO TANGARA]ATIVO</v>
      </c>
      <c r="Y177" s="203" t="str">
        <f t="shared" si="26"/>
        <v>XXVIII10CILAS FONSECA VIANNA</v>
      </c>
      <c r="Z177" s="203" t="str">
        <f t="shared" si="31"/>
        <v>XXVIII10CILAS FONSECA VIANNA</v>
      </c>
      <c r="AA177" s="427" t="s">
        <v>516</v>
      </c>
      <c r="AB177" s="427">
        <v>10</v>
      </c>
      <c r="AC177" s="428" t="s">
        <v>110</v>
      </c>
      <c r="AD177" s="505">
        <v>106778.73</v>
      </c>
      <c r="AE177" s="506">
        <v>205981.91</v>
      </c>
      <c r="AF177" s="60" t="str">
        <f t="shared" si="32"/>
        <v>CILAS FONSECA VIANNA</v>
      </c>
      <c r="AG177" s="60" t="str">
        <f t="shared" si="33"/>
        <v>OK</v>
      </c>
    </row>
    <row r="178" spans="1:33">
      <c r="A178" s="61" t="str">
        <f t="shared" si="27"/>
        <v>LONDRINA [ETAPA 02 - CONDOMINIO TANGARA]XXX1</v>
      </c>
      <c r="B178" s="263" t="s">
        <v>35</v>
      </c>
      <c r="C178" s="337" t="s">
        <v>517</v>
      </c>
      <c r="D178" s="166">
        <v>1</v>
      </c>
      <c r="E178" s="197">
        <v>317.64</v>
      </c>
      <c r="F178" s="166">
        <v>2605</v>
      </c>
      <c r="G178" s="338" t="s">
        <v>219</v>
      </c>
      <c r="H178" s="40">
        <v>41449</v>
      </c>
      <c r="I178" s="35">
        <v>116446.82</v>
      </c>
      <c r="J178" s="35" t="str">
        <f>IFERROR(VLOOKUP(CONCATENATE(B178,C178,D178,),Inadimplencia!$A$6:$K$110,6,0),"ATIVO")</f>
        <v>ATIVO</v>
      </c>
      <c r="K178" s="35">
        <f t="shared" si="28"/>
        <v>192525.72</v>
      </c>
      <c r="L178" s="325">
        <f t="shared" si="29"/>
        <v>1.6533360035078672</v>
      </c>
      <c r="M178" s="423" t="str">
        <f t="shared" si="30"/>
        <v>ATIVO1</v>
      </c>
      <c r="N178" s="28"/>
      <c r="X178" s="203" t="str">
        <f t="shared" si="25"/>
        <v>LONDRINA [ETAPA 02 - CONDOMINIO TANGARA]ATIVO</v>
      </c>
      <c r="Y178" s="203" t="str">
        <f t="shared" si="26"/>
        <v>XXX1GABRIEL GARCIA BOGO</v>
      </c>
      <c r="Z178" s="203" t="str">
        <f t="shared" si="31"/>
        <v>XXX1GABRIEL GARCIA BOGO</v>
      </c>
      <c r="AA178" s="427" t="s">
        <v>517</v>
      </c>
      <c r="AB178" s="427">
        <v>1</v>
      </c>
      <c r="AC178" s="428" t="s">
        <v>219</v>
      </c>
      <c r="AD178" s="505">
        <v>192525.72</v>
      </c>
      <c r="AE178" s="506">
        <v>236223.76</v>
      </c>
      <c r="AF178" s="60" t="str">
        <f t="shared" si="32"/>
        <v>GABRIEL GARCIA BOGO</v>
      </c>
      <c r="AG178" s="60" t="str">
        <f t="shared" si="33"/>
        <v>OK</v>
      </c>
    </row>
    <row r="179" spans="1:33">
      <c r="A179" s="61" t="str">
        <f t="shared" si="27"/>
        <v>LONDRINA [ETAPA 02 - CONDOMINIO TANGARA]XXX2</v>
      </c>
      <c r="B179" s="263" t="s">
        <v>35</v>
      </c>
      <c r="C179" s="337" t="s">
        <v>517</v>
      </c>
      <c r="D179" s="73">
        <v>2</v>
      </c>
      <c r="E179" s="315">
        <v>259.51</v>
      </c>
      <c r="F179" s="166">
        <v>2539</v>
      </c>
      <c r="G179" s="74" t="s">
        <v>419</v>
      </c>
      <c r="H179" s="40">
        <v>41453</v>
      </c>
      <c r="I179" s="35">
        <v>95136.37</v>
      </c>
      <c r="J179" s="35" t="str">
        <f>IFERROR(VLOOKUP(CONCATENATE(B179,C179,D179,),Inadimplencia!$A$6:$K$110,6,0),"ATIVO")</f>
        <v>ATIVO</v>
      </c>
      <c r="K179" s="35">
        <f t="shared" si="28"/>
        <v>96315.35</v>
      </c>
      <c r="L179" s="325">
        <f t="shared" si="29"/>
        <v>1.012392526643596</v>
      </c>
      <c r="M179" s="423" t="str">
        <f t="shared" si="30"/>
        <v>ATIVO1</v>
      </c>
      <c r="N179" s="28"/>
      <c r="X179" s="203" t="str">
        <f t="shared" si="25"/>
        <v>LONDRINA [ETAPA 02 - CONDOMINIO TANGARA]ATIVO</v>
      </c>
      <c r="Y179" s="203" t="str">
        <f t="shared" si="26"/>
        <v>XXX2ROBSON CAMILLO DE SOUZA</v>
      </c>
      <c r="Z179" s="203" t="str">
        <f t="shared" si="31"/>
        <v>XXX2ROBSON CAMILLO DE SOUZA</v>
      </c>
      <c r="AA179" s="427" t="s">
        <v>517</v>
      </c>
      <c r="AB179" s="427">
        <v>2</v>
      </c>
      <c r="AC179" s="428" t="s">
        <v>419</v>
      </c>
      <c r="AD179" s="505">
        <v>96315.35</v>
      </c>
      <c r="AE179" s="506">
        <v>186484.94</v>
      </c>
      <c r="AF179" s="60" t="str">
        <f t="shared" si="32"/>
        <v>ROBSON CAMILLO DE SOUZA</v>
      </c>
      <c r="AG179" s="60" t="str">
        <f t="shared" si="33"/>
        <v>OK</v>
      </c>
    </row>
    <row r="180" spans="1:33">
      <c r="A180" s="61" t="str">
        <f t="shared" si="27"/>
        <v>LONDRINA [ETAPA 02 - CONDOMINIO TANGARA]XXX3</v>
      </c>
      <c r="B180" s="263" t="s">
        <v>35</v>
      </c>
      <c r="C180" s="337" t="s">
        <v>517</v>
      </c>
      <c r="D180" s="166">
        <v>3</v>
      </c>
      <c r="E180" s="197">
        <v>259.51</v>
      </c>
      <c r="F180" s="166">
        <v>2465</v>
      </c>
      <c r="G180" s="338" t="s">
        <v>184</v>
      </c>
      <c r="H180" s="40">
        <v>41452</v>
      </c>
      <c r="I180" s="35">
        <v>95136.37</v>
      </c>
      <c r="J180" s="35" t="str">
        <f>IFERROR(VLOOKUP(CONCATENATE(B180,C180,D180,),Inadimplencia!$A$6:$K$110,6,0),"ATIVO")</f>
        <v>ATIVO</v>
      </c>
      <c r="K180" s="35">
        <f t="shared" si="28"/>
        <v>96315.35</v>
      </c>
      <c r="L180" s="325">
        <f t="shared" si="29"/>
        <v>1.012392526643596</v>
      </c>
      <c r="M180" s="423" t="str">
        <f t="shared" si="30"/>
        <v>ATIVO1</v>
      </c>
      <c r="N180" s="28"/>
      <c r="X180" s="203" t="str">
        <f t="shared" si="25"/>
        <v>LONDRINA [ETAPA 02 - CONDOMINIO TANGARA]ATIVO</v>
      </c>
      <c r="Y180" s="203" t="str">
        <f t="shared" si="26"/>
        <v>XXX3ELOUISE BATISTI DE SOUZA</v>
      </c>
      <c r="Z180" s="203" t="str">
        <f t="shared" si="31"/>
        <v>XXX3ELOUISE BATISTI DE SOUZA</v>
      </c>
      <c r="AA180" s="427" t="s">
        <v>517</v>
      </c>
      <c r="AB180" s="427">
        <v>3</v>
      </c>
      <c r="AC180" s="428" t="s">
        <v>184</v>
      </c>
      <c r="AD180" s="505">
        <v>96315.35</v>
      </c>
      <c r="AE180" s="506">
        <v>186406.21</v>
      </c>
      <c r="AF180" s="60" t="str">
        <f t="shared" si="32"/>
        <v>ELOUISE BATISTI DE SOUZA</v>
      </c>
      <c r="AG180" s="60" t="str">
        <f t="shared" si="33"/>
        <v>OK</v>
      </c>
    </row>
    <row r="181" spans="1:33">
      <c r="A181" s="61" t="str">
        <f t="shared" si="27"/>
        <v>LONDRINA [ETAPA 02 - CONDOMINIO TANGARA]XXX5</v>
      </c>
      <c r="B181" s="263" t="s">
        <v>35</v>
      </c>
      <c r="C181" s="337" t="s">
        <v>517</v>
      </c>
      <c r="D181" s="73">
        <v>5</v>
      </c>
      <c r="E181" s="315">
        <v>259.51</v>
      </c>
      <c r="F181" s="166">
        <v>2766</v>
      </c>
      <c r="G181" s="74" t="s">
        <v>478</v>
      </c>
      <c r="H181" s="40">
        <v>41498</v>
      </c>
      <c r="I181" s="35">
        <v>95136.37</v>
      </c>
      <c r="J181" s="35" t="str">
        <f>IFERROR(VLOOKUP(CONCATENATE(B181,C181,D181,),Inadimplencia!$A$6:$K$110,6,0),"ATIVO")</f>
        <v>ATIVO</v>
      </c>
      <c r="K181" s="35">
        <f t="shared" si="28"/>
        <v>61177.599999999999</v>
      </c>
      <c r="L181" s="325">
        <f t="shared" si="29"/>
        <v>0.6430516531164685</v>
      </c>
      <c r="M181" s="423" t="str">
        <f t="shared" si="30"/>
        <v>ATIVO0</v>
      </c>
      <c r="N181" s="28"/>
      <c r="X181" s="203" t="str">
        <f t="shared" si="25"/>
        <v>LONDRINA [ETAPA 02 - CONDOMINIO TANGARA]ATIVO</v>
      </c>
      <c r="Y181" s="203" t="str">
        <f t="shared" si="26"/>
        <v>XXX5WANDERSON GERALDO GLATZ</v>
      </c>
      <c r="Z181" s="203" t="str">
        <f t="shared" si="31"/>
        <v>XXX5WANDERSON GERALDO GLATZ</v>
      </c>
      <c r="AA181" s="427" t="s">
        <v>517</v>
      </c>
      <c r="AB181" s="427">
        <v>5</v>
      </c>
      <c r="AC181" s="428" t="s">
        <v>478</v>
      </c>
      <c r="AD181" s="505">
        <v>61177.599999999999</v>
      </c>
      <c r="AE181" s="506">
        <v>192106.99</v>
      </c>
      <c r="AF181" s="60" t="str">
        <f t="shared" si="32"/>
        <v>WANDERSON GERALDO GLATZ</v>
      </c>
      <c r="AG181" s="60" t="str">
        <f t="shared" si="33"/>
        <v>OK</v>
      </c>
    </row>
    <row r="182" spans="1:33">
      <c r="A182" s="61" t="str">
        <f t="shared" si="27"/>
        <v>LONDRINA [ETAPA 02 - CONDOMINIO TANGARA]XXX20</v>
      </c>
      <c r="B182" s="263" t="s">
        <v>35</v>
      </c>
      <c r="C182" s="337" t="s">
        <v>517</v>
      </c>
      <c r="D182" s="73">
        <v>20</v>
      </c>
      <c r="E182" s="315">
        <v>277.73</v>
      </c>
      <c r="F182" s="166">
        <v>3520</v>
      </c>
      <c r="G182" s="74" t="s">
        <v>434</v>
      </c>
      <c r="H182" s="40">
        <v>41648</v>
      </c>
      <c r="I182" s="35">
        <v>106775.67999999999</v>
      </c>
      <c r="J182" s="35" t="str">
        <f>IFERROR(VLOOKUP(CONCATENATE(B182,C182,D182,),Inadimplencia!$A$6:$K$110,6,0),"ATIVO")</f>
        <v>INADIMPLENTE</v>
      </c>
      <c r="K182" s="35">
        <f t="shared" si="28"/>
        <v>137345.29</v>
      </c>
      <c r="L182" s="325">
        <f t="shared" si="29"/>
        <v>1.2862974977073434</v>
      </c>
      <c r="M182" s="423" t="str">
        <f t="shared" si="30"/>
        <v>INADIMPLENTE1</v>
      </c>
      <c r="N182" s="28"/>
      <c r="X182" s="203" t="str">
        <f t="shared" si="25"/>
        <v>LONDRINA [ETAPA 02 - CONDOMINIO TANGARA]INADIMPLENTE</v>
      </c>
      <c r="Y182" s="203" t="str">
        <f t="shared" si="26"/>
        <v>XXX20SELMA ROSA DA SILVA</v>
      </c>
      <c r="Z182" s="203" t="str">
        <f t="shared" si="31"/>
        <v>XXX20SELMA ROSA DA SILVA</v>
      </c>
      <c r="AA182" s="427" t="s">
        <v>517</v>
      </c>
      <c r="AB182" s="427">
        <v>20</v>
      </c>
      <c r="AC182" s="428" t="s">
        <v>434</v>
      </c>
      <c r="AD182" s="505">
        <v>137345.29</v>
      </c>
      <c r="AE182" s="506">
        <v>204458.34</v>
      </c>
      <c r="AF182" s="60" t="str">
        <f t="shared" si="32"/>
        <v>SELMA ROSA DA SILVA</v>
      </c>
      <c r="AG182" s="60" t="str">
        <f t="shared" si="33"/>
        <v>OK</v>
      </c>
    </row>
    <row r="183" spans="1:33">
      <c r="A183" s="61" t="str">
        <f t="shared" si="27"/>
        <v>LONDRINA [ETAPA 02 - CONDOMINIO TANGARA]XXX32</v>
      </c>
      <c r="B183" s="263" t="s">
        <v>35</v>
      </c>
      <c r="C183" s="337" t="s">
        <v>517</v>
      </c>
      <c r="D183" s="73">
        <v>32</v>
      </c>
      <c r="E183" s="315">
        <v>263.51</v>
      </c>
      <c r="F183" s="166">
        <v>3541</v>
      </c>
      <c r="G183" s="74" t="s">
        <v>252</v>
      </c>
      <c r="H183" s="40">
        <v>41656</v>
      </c>
      <c r="I183" s="35">
        <v>106510.22</v>
      </c>
      <c r="J183" s="35" t="str">
        <f>IFERROR(VLOOKUP(CONCATENATE(B183,C183,D183,),Inadimplencia!$A$6:$K$110,6,0),"ATIVO")</f>
        <v>ATIVO</v>
      </c>
      <c r="K183" s="35">
        <f t="shared" si="28"/>
        <v>110585.24</v>
      </c>
      <c r="L183" s="325">
        <f t="shared" si="29"/>
        <v>1.0382594271235193</v>
      </c>
      <c r="M183" s="423" t="str">
        <f t="shared" si="30"/>
        <v>ATIVO1</v>
      </c>
      <c r="N183" s="28"/>
      <c r="X183" s="203" t="str">
        <f t="shared" si="25"/>
        <v>LONDRINA [ETAPA 02 - CONDOMINIO TANGARA]ATIVO</v>
      </c>
      <c r="Y183" s="203" t="str">
        <f t="shared" si="26"/>
        <v>XXX32JANETE LONGHINI PONTES</v>
      </c>
      <c r="Z183" s="203" t="str">
        <f t="shared" si="31"/>
        <v>XXX32JANETE LONGHINI PONTES</v>
      </c>
      <c r="AA183" s="427" t="s">
        <v>517</v>
      </c>
      <c r="AB183" s="427">
        <v>32</v>
      </c>
      <c r="AC183" s="428" t="s">
        <v>252</v>
      </c>
      <c r="AD183" s="505">
        <v>110585.24</v>
      </c>
      <c r="AE183" s="506">
        <v>203006.66</v>
      </c>
      <c r="AF183" s="60" t="str">
        <f t="shared" si="32"/>
        <v>JANETE LONGHINI PONTES</v>
      </c>
      <c r="AG183" s="60" t="str">
        <f t="shared" si="33"/>
        <v>OK</v>
      </c>
    </row>
    <row r="184" spans="1:33">
      <c r="A184" s="61" t="str">
        <f t="shared" si="27"/>
        <v>LONDRINA [ETAPA 02 - CONDOMINIO TANGARA]XXX37</v>
      </c>
      <c r="B184" s="263" t="s">
        <v>35</v>
      </c>
      <c r="C184" s="337" t="s">
        <v>517</v>
      </c>
      <c r="D184" s="166">
        <v>37</v>
      </c>
      <c r="E184" s="197">
        <v>250.97</v>
      </c>
      <c r="F184" s="166"/>
      <c r="G184" s="338" t="s">
        <v>1046</v>
      </c>
      <c r="H184" s="40">
        <v>43678</v>
      </c>
      <c r="I184" s="35">
        <v>141000</v>
      </c>
      <c r="J184" s="35" t="str">
        <f>IFERROR(VLOOKUP(CONCATENATE(B184,C184,D184,),Inadimplencia!$A$6:$K$110,6,0),"ATIVO")</f>
        <v>INADIMPLENTE</v>
      </c>
      <c r="K184" s="35">
        <f t="shared" si="28"/>
        <v>152517.54</v>
      </c>
      <c r="L184" s="325">
        <f t="shared" si="29"/>
        <v>1.0816846808510638</v>
      </c>
      <c r="M184" s="423" t="str">
        <f t="shared" si="30"/>
        <v>INADIMPLENTE1</v>
      </c>
      <c r="N184" s="28"/>
      <c r="X184" s="203" t="str">
        <f t="shared" si="25"/>
        <v>LONDRINA [ETAPA 02 - CONDOMINIO TANGARA]INADIMPLENTE</v>
      </c>
      <c r="Y184" s="203" t="str">
        <f t="shared" si="26"/>
        <v>XXX37DIEGO ALEXANDRE FAGUNDES</v>
      </c>
      <c r="Z184" s="203" t="str">
        <f t="shared" si="31"/>
        <v>XXX37DIEGO ALEXANDRE FAGUNDES</v>
      </c>
      <c r="AA184" s="427" t="s">
        <v>517</v>
      </c>
      <c r="AB184" s="427">
        <v>37</v>
      </c>
      <c r="AC184" s="428" t="s">
        <v>1046</v>
      </c>
      <c r="AD184" s="505">
        <v>152517.54</v>
      </c>
      <c r="AE184" s="506">
        <v>174906.09</v>
      </c>
      <c r="AF184" s="60" t="str">
        <f t="shared" si="32"/>
        <v>DIEGO ALEXANDRE FAGUNDES</v>
      </c>
      <c r="AG184" s="60" t="str">
        <f t="shared" si="33"/>
        <v>OK</v>
      </c>
    </row>
    <row r="185" spans="1:33">
      <c r="A185" s="61" t="str">
        <f t="shared" si="27"/>
        <v>LONDRINA [ETAPA 02 - CONDOMINIO TANGARA]XXX39</v>
      </c>
      <c r="B185" s="263" t="s">
        <v>35</v>
      </c>
      <c r="C185" s="337" t="s">
        <v>517</v>
      </c>
      <c r="D185" s="73">
        <v>39</v>
      </c>
      <c r="E185" s="315">
        <v>250.97</v>
      </c>
      <c r="F185" s="166">
        <v>6779</v>
      </c>
      <c r="G185" s="74" t="s">
        <v>879</v>
      </c>
      <c r="H185" s="40">
        <v>43439</v>
      </c>
      <c r="I185" s="35">
        <v>140999.88</v>
      </c>
      <c r="J185" s="35" t="str">
        <f>IFERROR(VLOOKUP(CONCATENATE(B185,C185,D185,),Inadimplencia!$A$6:$K$110,6,0),"ATIVO")</f>
        <v>ATIVO</v>
      </c>
      <c r="K185" s="35">
        <f t="shared" si="28"/>
        <v>18113.7</v>
      </c>
      <c r="L185" s="325">
        <f t="shared" si="29"/>
        <v>0.12846606677963129</v>
      </c>
      <c r="M185" s="423" t="str">
        <f t="shared" si="30"/>
        <v>ATIVO0</v>
      </c>
      <c r="N185" s="28"/>
      <c r="X185" s="203" t="str">
        <f t="shared" si="25"/>
        <v>LONDRINA [ETAPA 02 - CONDOMINIO TANGARA]ATIVO</v>
      </c>
      <c r="Y185" s="203" t="str">
        <f t="shared" si="26"/>
        <v>XXX39ANDERSON JOSE LIMA DA SILVA</v>
      </c>
      <c r="Z185" s="203" t="str">
        <f t="shared" si="31"/>
        <v>XXX39ANDERSON JOSE LIMA DA SILVA</v>
      </c>
      <c r="AA185" s="427" t="s">
        <v>517</v>
      </c>
      <c r="AB185" s="427">
        <v>39</v>
      </c>
      <c r="AC185" s="428" t="s">
        <v>879</v>
      </c>
      <c r="AD185" s="505">
        <v>18113.7</v>
      </c>
      <c r="AE185" s="506">
        <v>147119.61000000002</v>
      </c>
      <c r="AF185" s="60" t="str">
        <f t="shared" si="32"/>
        <v>ANDERSON JOSE LIMA DA SILVA</v>
      </c>
      <c r="AG185" s="60" t="str">
        <f t="shared" si="33"/>
        <v>OK</v>
      </c>
    </row>
    <row r="186" spans="1:33">
      <c r="A186" s="61" t="str">
        <f t="shared" si="27"/>
        <v>LONDRINA [ETAPA 02 - CONDOMINIO TANGARA]XXX41</v>
      </c>
      <c r="B186" s="263" t="s">
        <v>35</v>
      </c>
      <c r="C186" s="337" t="s">
        <v>517</v>
      </c>
      <c r="D186" s="73">
        <v>41</v>
      </c>
      <c r="E186" s="315">
        <v>250.97</v>
      </c>
      <c r="F186" s="166">
        <v>2686</v>
      </c>
      <c r="G186" s="74" t="s">
        <v>441</v>
      </c>
      <c r="H186" s="40">
        <v>41470</v>
      </c>
      <c r="I186" s="35">
        <v>96723.839999999997</v>
      </c>
      <c r="J186" s="35" t="str">
        <f>IFERROR(VLOOKUP(CONCATENATE(B186,C186,D186,),Inadimplencia!$A$6:$K$110,6,0),"ATIVO")</f>
        <v>ATIVO</v>
      </c>
      <c r="K186" s="35">
        <f t="shared" si="28"/>
        <v>100082.38</v>
      </c>
      <c r="L186" s="325">
        <f t="shared" si="29"/>
        <v>1.0347229803944922</v>
      </c>
      <c r="M186" s="423" t="str">
        <f t="shared" si="30"/>
        <v>ATIVO1</v>
      </c>
      <c r="N186" s="28"/>
      <c r="X186" s="203" t="str">
        <f t="shared" si="25"/>
        <v>LONDRINA [ETAPA 02 - CONDOMINIO TANGARA]ATIVO</v>
      </c>
      <c r="Y186" s="203" t="str">
        <f t="shared" si="26"/>
        <v>XXX41SIDNEY APARECIDO DE OLIVEIRA</v>
      </c>
      <c r="Z186" s="203" t="str">
        <f t="shared" si="31"/>
        <v>XXX41SIDNEY APARECIDO DE OLIVEIRA</v>
      </c>
      <c r="AA186" s="427" t="s">
        <v>517</v>
      </c>
      <c r="AB186" s="427">
        <v>41</v>
      </c>
      <c r="AC186" s="428" t="s">
        <v>441</v>
      </c>
      <c r="AD186" s="505">
        <v>100082.38</v>
      </c>
      <c r="AE186" s="506">
        <v>189766.25</v>
      </c>
      <c r="AF186" s="60" t="str">
        <f t="shared" si="32"/>
        <v>SIDNEY APARECIDO DE OLIVEIRA</v>
      </c>
      <c r="AG186" s="60" t="str">
        <f t="shared" si="33"/>
        <v>OK</v>
      </c>
    </row>
    <row r="187" spans="1:33">
      <c r="A187" s="61" t="str">
        <f t="shared" si="27"/>
        <v>LONDRINA [ETAPA 02 - CONDOMINIO TANGARA]XXXII4</v>
      </c>
      <c r="B187" s="263" t="s">
        <v>35</v>
      </c>
      <c r="C187" s="337" t="s">
        <v>518</v>
      </c>
      <c r="D187" s="166">
        <v>4</v>
      </c>
      <c r="E187" s="197">
        <v>250.7</v>
      </c>
      <c r="F187" s="166">
        <v>3826</v>
      </c>
      <c r="G187" s="338" t="s">
        <v>349</v>
      </c>
      <c r="H187" s="40">
        <v>41836</v>
      </c>
      <c r="I187" s="35">
        <v>102094.45</v>
      </c>
      <c r="J187" s="35" t="str">
        <f>IFERROR(VLOOKUP(CONCATENATE(B187,C187,D187,),Inadimplencia!$A$6:$K$110,6,0),"ATIVO")</f>
        <v>INADIMPLENTE</v>
      </c>
      <c r="K187" s="35">
        <f t="shared" si="28"/>
        <v>245576.03</v>
      </c>
      <c r="L187" s="325">
        <f t="shared" si="29"/>
        <v>2.4053808017967677</v>
      </c>
      <c r="M187" s="423" t="str">
        <f t="shared" si="30"/>
        <v>INADIMPLENTE1</v>
      </c>
      <c r="N187" s="28"/>
      <c r="X187" s="203" t="str">
        <f t="shared" si="25"/>
        <v>LONDRINA [ETAPA 02 - CONDOMINIO TANGARA]INADIMPLENTE</v>
      </c>
      <c r="Y187" s="203" t="str">
        <f t="shared" si="26"/>
        <v>XXXII4MARCUS VINICIUS RICARDO</v>
      </c>
      <c r="Z187" s="203" t="str">
        <f t="shared" si="31"/>
        <v>XXXII4MARCUS VINICIUS RICARDO</v>
      </c>
      <c r="AA187" s="427" t="s">
        <v>518</v>
      </c>
      <c r="AB187" s="427">
        <v>4</v>
      </c>
      <c r="AC187" s="428" t="s">
        <v>349</v>
      </c>
      <c r="AD187" s="505">
        <v>245576.03</v>
      </c>
      <c r="AE187" s="506">
        <v>270417.84999999998</v>
      </c>
      <c r="AF187" s="60" t="str">
        <f t="shared" si="32"/>
        <v>MARCUS VINICIUS RICARDO</v>
      </c>
      <c r="AG187" s="60" t="str">
        <f t="shared" si="33"/>
        <v>OK</v>
      </c>
    </row>
    <row r="188" spans="1:33">
      <c r="A188" s="61" t="str">
        <f t="shared" si="27"/>
        <v>LONDRINA [ETAPA 02 - CONDOMINIO TANGARA]XXXII5</v>
      </c>
      <c r="B188" s="263" t="s">
        <v>35</v>
      </c>
      <c r="C188" s="337" t="s">
        <v>518</v>
      </c>
      <c r="D188" s="166">
        <v>5</v>
      </c>
      <c r="E188" s="197">
        <v>250.7</v>
      </c>
      <c r="F188" s="166">
        <v>4845</v>
      </c>
      <c r="G188" s="338" t="s">
        <v>1338</v>
      </c>
      <c r="H188" s="40">
        <v>44132</v>
      </c>
      <c r="I188" s="35">
        <v>153877.6</v>
      </c>
      <c r="J188" s="35" t="str">
        <f>IFERROR(VLOOKUP(CONCATENATE(B188,C188,D188,),Inadimplencia!$A$6:$K$110,6,0),"ATIVO")</f>
        <v>ATIVO</v>
      </c>
      <c r="K188" s="35">
        <f t="shared" si="28"/>
        <v>143822.82</v>
      </c>
      <c r="L188" s="325">
        <f t="shared" si="29"/>
        <v>0.93465728605073128</v>
      </c>
      <c r="M188" s="423" t="str">
        <f t="shared" si="30"/>
        <v>ATIVO0</v>
      </c>
      <c r="N188" s="28"/>
      <c r="X188" s="203" t="str">
        <f t="shared" si="25"/>
        <v>LONDRINA [ETAPA 02 - CONDOMINIO TANGARA]ATIVO</v>
      </c>
      <c r="Y188" s="203" t="str">
        <f t="shared" si="26"/>
        <v>XXXII5WENDEL ROGERIO DANTAS TSUZAKI</v>
      </c>
      <c r="Z188" s="203" t="str">
        <f t="shared" si="31"/>
        <v>XXXII5WENDEL ROGERIO DANTAS TSUZAKI</v>
      </c>
      <c r="AA188" s="427" t="s">
        <v>518</v>
      </c>
      <c r="AB188" s="427">
        <v>5</v>
      </c>
      <c r="AC188" s="428" t="s">
        <v>1338</v>
      </c>
      <c r="AD188" s="505">
        <v>143822.82</v>
      </c>
      <c r="AE188" s="506">
        <v>167060.09</v>
      </c>
      <c r="AF188" s="60" t="str">
        <f t="shared" si="32"/>
        <v>WENDEL ROGERIO DANTAS TSUZAKI</v>
      </c>
      <c r="AG188" s="60" t="str">
        <f t="shared" si="33"/>
        <v>OK</v>
      </c>
    </row>
    <row r="189" spans="1:33">
      <c r="A189" s="61" t="str">
        <f t="shared" si="27"/>
        <v>LONDRINA [ETAPA 02 - CONDOMINIO TANGARA]XXXII16</v>
      </c>
      <c r="B189" s="263" t="s">
        <v>35</v>
      </c>
      <c r="C189" s="337" t="s">
        <v>518</v>
      </c>
      <c r="D189" s="73">
        <v>16</v>
      </c>
      <c r="E189" s="315">
        <v>267.12</v>
      </c>
      <c r="F189" s="166">
        <v>4138</v>
      </c>
      <c r="G189" s="74" t="s">
        <v>337</v>
      </c>
      <c r="H189" s="40">
        <v>41948</v>
      </c>
      <c r="I189" s="35">
        <v>124774.8</v>
      </c>
      <c r="J189" s="35" t="str">
        <f>IFERROR(VLOOKUP(CONCATENATE(B189,C189,D189,),Inadimplencia!$A$6:$K$110,6,0),"ATIVO")</f>
        <v>ATIVO</v>
      </c>
      <c r="K189" s="35">
        <f t="shared" si="28"/>
        <v>117923.72</v>
      </c>
      <c r="L189" s="325">
        <f t="shared" si="29"/>
        <v>0.94509243853726876</v>
      </c>
      <c r="M189" s="423" t="str">
        <f t="shared" si="30"/>
        <v>ATIVO0</v>
      </c>
      <c r="N189" s="28"/>
      <c r="X189" s="203" t="str">
        <f t="shared" si="25"/>
        <v>LONDRINA [ETAPA 02 - CONDOMINIO TANGARA]ATIVO</v>
      </c>
      <c r="Y189" s="203" t="str">
        <f t="shared" si="26"/>
        <v>XXXII16MARCIO ROGERIO DA SILVA</v>
      </c>
      <c r="Z189" s="203" t="str">
        <f t="shared" si="31"/>
        <v>XXXII16MARCIO ROGERIO DA SILVA</v>
      </c>
      <c r="AA189" s="427" t="s">
        <v>518</v>
      </c>
      <c r="AB189" s="427">
        <v>16</v>
      </c>
      <c r="AC189" s="428" t="s">
        <v>337</v>
      </c>
      <c r="AD189" s="505">
        <v>117923.72</v>
      </c>
      <c r="AE189" s="506">
        <v>205503.72</v>
      </c>
      <c r="AF189" s="60" t="str">
        <f t="shared" si="32"/>
        <v>MARCIO ROGERIO DA SILVA</v>
      </c>
      <c r="AG189" s="60" t="str">
        <f t="shared" si="33"/>
        <v>OK</v>
      </c>
    </row>
    <row r="190" spans="1:33">
      <c r="A190" s="61" t="str">
        <f t="shared" si="27"/>
        <v>LONDRINA [ETAPA 02 - CONDOMINIO TANGARA]XXXII17</v>
      </c>
      <c r="B190" s="263" t="s">
        <v>35</v>
      </c>
      <c r="C190" s="337" t="s">
        <v>518</v>
      </c>
      <c r="D190" s="166">
        <v>17</v>
      </c>
      <c r="E190" s="197">
        <v>267.12</v>
      </c>
      <c r="F190" s="166">
        <v>4820</v>
      </c>
      <c r="G190" s="338" t="s">
        <v>1352</v>
      </c>
      <c r="H190" s="40">
        <v>44113</v>
      </c>
      <c r="I190" s="35">
        <v>160182.42000000001</v>
      </c>
      <c r="J190" s="35" t="str">
        <f>IFERROR(VLOOKUP(CONCATENATE(B190,C190,D190,),Inadimplencia!$A$6:$K$110,6,0),"ATIVO")</f>
        <v>ATIVO</v>
      </c>
      <c r="K190" s="35">
        <f t="shared" si="28"/>
        <v>161400.63</v>
      </c>
      <c r="L190" s="325">
        <f t="shared" si="29"/>
        <v>1.0076051416878331</v>
      </c>
      <c r="M190" s="423" t="str">
        <f t="shared" si="30"/>
        <v>ATIVO1</v>
      </c>
      <c r="N190" s="28"/>
      <c r="X190" s="203" t="str">
        <f t="shared" si="25"/>
        <v>LONDRINA [ETAPA 02 - CONDOMINIO TANGARA]ATIVO</v>
      </c>
      <c r="Y190" s="203" t="str">
        <f t="shared" si="26"/>
        <v>XXXII17MARCOS ROBERTO RODRIGUES</v>
      </c>
      <c r="Z190" s="203" t="str">
        <f t="shared" si="31"/>
        <v>XXXII17MARCOS ROBERTO RODRIGUES</v>
      </c>
      <c r="AA190" s="427" t="s">
        <v>518</v>
      </c>
      <c r="AB190" s="427">
        <v>17</v>
      </c>
      <c r="AC190" s="428" t="s">
        <v>1352</v>
      </c>
      <c r="AD190" s="505">
        <v>161400.63</v>
      </c>
      <c r="AE190" s="506">
        <v>175337.59</v>
      </c>
      <c r="AF190" s="60" t="str">
        <f t="shared" si="32"/>
        <v>MARCOS ROBERTO RODRIGUES</v>
      </c>
      <c r="AG190" s="60" t="str">
        <f t="shared" si="33"/>
        <v>OK</v>
      </c>
    </row>
    <row r="191" spans="1:33">
      <c r="A191" s="61" t="str">
        <f t="shared" si="27"/>
        <v>LONDRINA [ETAPA 02 - CONDOMINIO TANGARA]XXXII19</v>
      </c>
      <c r="B191" s="263" t="s">
        <v>35</v>
      </c>
      <c r="C191" s="337" t="s">
        <v>518</v>
      </c>
      <c r="D191" s="73">
        <v>19</v>
      </c>
      <c r="E191" s="315">
        <v>260.95999999999998</v>
      </c>
      <c r="F191" s="166">
        <v>5362</v>
      </c>
      <c r="G191" s="74" t="s">
        <v>467</v>
      </c>
      <c r="H191" s="40">
        <v>42716</v>
      </c>
      <c r="I191" s="35">
        <v>146578.5</v>
      </c>
      <c r="J191" s="35" t="str">
        <f>IFERROR(VLOOKUP(CONCATENATE(B191,C191,D191,),Inadimplencia!$A$6:$K$110,6,0),"ATIVO")</f>
        <v>ATIVO</v>
      </c>
      <c r="K191" s="35">
        <f t="shared" si="28"/>
        <v>137648.83000000002</v>
      </c>
      <c r="L191" s="325">
        <f t="shared" si="29"/>
        <v>0.93907926469434477</v>
      </c>
      <c r="M191" s="423" t="str">
        <f t="shared" si="30"/>
        <v>ATIVO0</v>
      </c>
      <c r="N191" s="28"/>
      <c r="X191" s="203" t="str">
        <f t="shared" si="25"/>
        <v>LONDRINA [ETAPA 02 - CONDOMINIO TANGARA]ATIVO</v>
      </c>
      <c r="Y191" s="203" t="str">
        <f t="shared" si="26"/>
        <v>XXXII19VANDERSON FABIANO DA SILVA</v>
      </c>
      <c r="Z191" s="203" t="str">
        <f t="shared" si="31"/>
        <v>XXXII19VANDERSON FABIANO DA SILVA</v>
      </c>
      <c r="AA191" s="427" t="s">
        <v>518</v>
      </c>
      <c r="AB191" s="427">
        <v>19</v>
      </c>
      <c r="AC191" s="428" t="s">
        <v>467</v>
      </c>
      <c r="AD191" s="505">
        <v>137648.83000000002</v>
      </c>
      <c r="AE191" s="506">
        <v>235760.35</v>
      </c>
      <c r="AF191" s="60" t="str">
        <f t="shared" si="32"/>
        <v>VANDERSON FABIANO DA SILVA</v>
      </c>
      <c r="AG191" s="60" t="str">
        <f t="shared" si="33"/>
        <v>OK</v>
      </c>
    </row>
    <row r="192" spans="1:33">
      <c r="A192" s="61" t="str">
        <f t="shared" si="27"/>
        <v>LONDRINA [ETAPA 02 - CONDOMINIO TANGARA]XXXII23</v>
      </c>
      <c r="B192" s="263" t="s">
        <v>35</v>
      </c>
      <c r="C192" s="337" t="s">
        <v>518</v>
      </c>
      <c r="D192" s="166">
        <v>23</v>
      </c>
      <c r="E192" s="197">
        <v>318.23</v>
      </c>
      <c r="F192" s="166">
        <v>4183</v>
      </c>
      <c r="G192" s="338" t="s">
        <v>158</v>
      </c>
      <c r="H192" s="40">
        <v>41956</v>
      </c>
      <c r="I192" s="35">
        <v>148336.47</v>
      </c>
      <c r="J192" s="35" t="str">
        <f>IFERROR(VLOOKUP(CONCATENATE(B192,C192,D192,),Inadimplencia!$A$6:$K$110,6,0),"ATIVO")</f>
        <v>INADIMPLENTE</v>
      </c>
      <c r="K192" s="35">
        <f t="shared" si="28"/>
        <v>355704.67</v>
      </c>
      <c r="L192" s="325">
        <f t="shared" si="29"/>
        <v>2.3979583038480015</v>
      </c>
      <c r="M192" s="423" t="str">
        <f t="shared" si="30"/>
        <v>INADIMPLENTE1</v>
      </c>
      <c r="N192" s="28"/>
      <c r="X192" s="203" t="str">
        <f t="shared" si="25"/>
        <v>LONDRINA [ETAPA 02 - CONDOMINIO TANGARA]INADIMPLENTE</v>
      </c>
      <c r="Y192" s="203" t="str">
        <f t="shared" si="26"/>
        <v>XXXII23EDIOGENES DE ARAUJO AVILA</v>
      </c>
      <c r="Z192" s="203" t="str">
        <f t="shared" si="31"/>
        <v>XXXII23EDIOGENES DE ARAUJO AVILA</v>
      </c>
      <c r="AA192" s="427" t="s">
        <v>518</v>
      </c>
      <c r="AB192" s="427">
        <v>23</v>
      </c>
      <c r="AC192" s="428" t="s">
        <v>158</v>
      </c>
      <c r="AD192" s="505">
        <v>355704.67</v>
      </c>
      <c r="AE192" s="506">
        <v>382960.15</v>
      </c>
      <c r="AF192" s="60" t="str">
        <f t="shared" si="32"/>
        <v>EDIOGENES DE ARAUJO AVILA</v>
      </c>
      <c r="AG192" s="60" t="str">
        <f t="shared" si="33"/>
        <v>OK</v>
      </c>
    </row>
    <row r="193" spans="1:33">
      <c r="A193" s="61" t="str">
        <f t="shared" si="27"/>
        <v>LONDRINA [ETAPA 02 - CONDOMINIO TANGARA]XXXIII5</v>
      </c>
      <c r="B193" s="263" t="s">
        <v>35</v>
      </c>
      <c r="C193" s="337" t="s">
        <v>519</v>
      </c>
      <c r="D193" s="73">
        <v>5</v>
      </c>
      <c r="E193" s="315">
        <v>257.33</v>
      </c>
      <c r="F193" s="166">
        <v>2371</v>
      </c>
      <c r="G193" s="74" t="s">
        <v>392</v>
      </c>
      <c r="H193" s="40">
        <v>41444</v>
      </c>
      <c r="I193" s="35">
        <v>91918.28</v>
      </c>
      <c r="J193" s="35" t="str">
        <f>IFERROR(VLOOKUP(CONCATENATE(B193,C193,D193,),Inadimplencia!$A$6:$K$110,6,0),"ATIVO")</f>
        <v>ATIVO</v>
      </c>
      <c r="K193" s="35">
        <f t="shared" si="28"/>
        <v>93060.53</v>
      </c>
      <c r="L193" s="325">
        <f t="shared" si="29"/>
        <v>1.0124267991089477</v>
      </c>
      <c r="M193" s="423" t="str">
        <f t="shared" si="30"/>
        <v>ATIVO1</v>
      </c>
      <c r="N193" s="28"/>
      <c r="X193" s="203" t="str">
        <f t="shared" si="25"/>
        <v>LONDRINA [ETAPA 02 - CONDOMINIO TANGARA]ATIVO</v>
      </c>
      <c r="Y193" s="203" t="str">
        <f t="shared" si="26"/>
        <v>XXXIII5PATRICIANE KELY DONIZETTI LOPES</v>
      </c>
      <c r="Z193" s="203" t="str">
        <f t="shared" si="31"/>
        <v>XXXIII5PATRICIANE KELY DONIZETTI LOPES</v>
      </c>
      <c r="AA193" s="427" t="s">
        <v>519</v>
      </c>
      <c r="AB193" s="427">
        <v>5</v>
      </c>
      <c r="AC193" s="428" t="s">
        <v>392</v>
      </c>
      <c r="AD193" s="505">
        <v>93060.53</v>
      </c>
      <c r="AE193" s="506">
        <v>180421.28</v>
      </c>
      <c r="AF193" s="60" t="str">
        <f t="shared" si="32"/>
        <v>PATRICIANE KELY DONIZETTI LOPES</v>
      </c>
      <c r="AG193" s="60" t="str">
        <f t="shared" si="33"/>
        <v>OK</v>
      </c>
    </row>
    <row r="194" spans="1:33" s="118" customFormat="1">
      <c r="A194" s="61" t="str">
        <f t="shared" si="27"/>
        <v>LONDRINA [ETAPA 02 - CONDOMINIO TANGARA]XXXIII8</v>
      </c>
      <c r="B194" s="263" t="s">
        <v>35</v>
      </c>
      <c r="C194" s="337" t="s">
        <v>519</v>
      </c>
      <c r="D194" s="166">
        <v>8</v>
      </c>
      <c r="E194" s="197">
        <v>257.73</v>
      </c>
      <c r="F194" s="166">
        <v>3764</v>
      </c>
      <c r="G194" s="338" t="s">
        <v>1144</v>
      </c>
      <c r="H194" s="40">
        <v>43864</v>
      </c>
      <c r="I194" s="35">
        <v>157954.60999999999</v>
      </c>
      <c r="J194" s="35" t="str">
        <f>IFERROR(VLOOKUP(CONCATENATE(B194,C194,D194,),Inadimplencia!$A$6:$K$110,6,0),"ATIVO")</f>
        <v>ATIVO</v>
      </c>
      <c r="K194" s="35">
        <f t="shared" si="28"/>
        <v>156066.12</v>
      </c>
      <c r="L194" s="325">
        <f t="shared" si="29"/>
        <v>0.98804409697190865</v>
      </c>
      <c r="M194" s="423" t="str">
        <f t="shared" si="30"/>
        <v>ATIVO0</v>
      </c>
      <c r="N194" s="459"/>
      <c r="X194" s="203" t="str">
        <f t="shared" si="25"/>
        <v>LONDRINA [ETAPA 02 - CONDOMINIO TANGARA]ATIVO</v>
      </c>
      <c r="Y194" s="203" t="str">
        <f t="shared" si="26"/>
        <v>XXXIII8LEANDRO RENE GOMES</v>
      </c>
      <c r="Z194" s="203" t="str">
        <f t="shared" si="31"/>
        <v>XXXIII8LEANDRO RENE GOMES</v>
      </c>
      <c r="AA194" s="427" t="s">
        <v>519</v>
      </c>
      <c r="AB194" s="427">
        <v>8</v>
      </c>
      <c r="AC194" s="428" t="s">
        <v>1144</v>
      </c>
      <c r="AD194" s="505">
        <v>156066.12</v>
      </c>
      <c r="AE194" s="507">
        <v>186624.26</v>
      </c>
      <c r="AF194" s="60" t="str">
        <f t="shared" si="32"/>
        <v>LEANDRO RENE GOMES</v>
      </c>
      <c r="AG194" s="60" t="str">
        <f t="shared" si="33"/>
        <v>OK</v>
      </c>
    </row>
    <row r="195" spans="1:33">
      <c r="A195" s="61" t="str">
        <f t="shared" si="27"/>
        <v>LONDRINA [ETAPA 02 - CONDOMINIO TANGARA]XXXIII10</v>
      </c>
      <c r="B195" s="263" t="s">
        <v>35</v>
      </c>
      <c r="C195" s="337" t="s">
        <v>519</v>
      </c>
      <c r="D195" s="73">
        <v>10</v>
      </c>
      <c r="E195" s="315">
        <v>257.33</v>
      </c>
      <c r="F195" s="166">
        <v>2792</v>
      </c>
      <c r="G195" s="74" t="s">
        <v>627</v>
      </c>
      <c r="H195" s="40">
        <v>41502</v>
      </c>
      <c r="I195" s="35">
        <v>91918.28</v>
      </c>
      <c r="J195" s="35" t="str">
        <f>IFERROR(VLOOKUP(CONCATENATE(B195,C195,D195,),Inadimplencia!$A$6:$K$110,6,0),"ATIVO")</f>
        <v>ATIVO</v>
      </c>
      <c r="K195" s="35">
        <f t="shared" si="28"/>
        <v>73301.91</v>
      </c>
      <c r="L195" s="325">
        <f t="shared" si="29"/>
        <v>0.79746825114656195</v>
      </c>
      <c r="M195" s="423" t="str">
        <f t="shared" si="30"/>
        <v>ATIVO0</v>
      </c>
      <c r="N195" s="28"/>
      <c r="X195" s="203" t="str">
        <f t="shared" si="25"/>
        <v>LONDRINA [ETAPA 02 - CONDOMINIO TANGARA]ATIVO</v>
      </c>
      <c r="Y195" s="203" t="str">
        <f t="shared" si="26"/>
        <v>XXXIII10ALEXANDRE CESAR CESTARI</v>
      </c>
      <c r="Z195" s="203" t="str">
        <f t="shared" si="31"/>
        <v>XXXIII10ALEXANDRE CESAR CESTARI</v>
      </c>
      <c r="AA195" s="427" t="s">
        <v>519</v>
      </c>
      <c r="AB195" s="427">
        <v>10</v>
      </c>
      <c r="AC195" s="428" t="s">
        <v>627</v>
      </c>
      <c r="AD195" s="505">
        <v>73301.91</v>
      </c>
      <c r="AE195" s="506">
        <v>166391.37</v>
      </c>
      <c r="AF195" s="60" t="str">
        <f t="shared" si="32"/>
        <v>ALEXANDRE CESAR CESTARI</v>
      </c>
      <c r="AG195" s="60" t="str">
        <f t="shared" si="33"/>
        <v>OK</v>
      </c>
    </row>
    <row r="196" spans="1:33">
      <c r="A196" s="61" t="str">
        <f t="shared" si="27"/>
        <v>LONDRINA [ETAPA 02 - CONDOMINIO TANGARA]XXXIII11</v>
      </c>
      <c r="B196" s="263" t="s">
        <v>35</v>
      </c>
      <c r="C196" s="337" t="s">
        <v>519</v>
      </c>
      <c r="D196" s="166">
        <v>11</v>
      </c>
      <c r="E196" s="197">
        <v>257.33</v>
      </c>
      <c r="F196" s="166">
        <v>3542</v>
      </c>
      <c r="G196" s="338" t="s">
        <v>1423</v>
      </c>
      <c r="H196" s="40">
        <v>41661</v>
      </c>
      <c r="I196" s="35">
        <v>96514.19</v>
      </c>
      <c r="J196" s="35" t="str">
        <f>IFERROR(VLOOKUP(CONCATENATE(B196,C196,D196,),Inadimplencia!$A$6:$K$110,6,0),"ATIVO")</f>
        <v>ATIVO</v>
      </c>
      <c r="K196" s="35">
        <f t="shared" si="28"/>
        <v>91017.57</v>
      </c>
      <c r="L196" s="325">
        <f t="shared" si="29"/>
        <v>0.94304858176813178</v>
      </c>
      <c r="M196" s="423" t="str">
        <f t="shared" si="30"/>
        <v>ATIVO0</v>
      </c>
      <c r="N196" s="28"/>
      <c r="X196" s="203" t="str">
        <f t="shared" si="25"/>
        <v>LONDRINA [ETAPA 02 - CONDOMINIO TANGARA]ATIVO</v>
      </c>
      <c r="Y196" s="203" t="str">
        <f t="shared" si="26"/>
        <v>XXXIII11CLEMILDO DE OLIVEIRA</v>
      </c>
      <c r="Z196" s="203" t="str">
        <f t="shared" si="31"/>
        <v>XXXIII11CLEMILDO DE OLIVEIRA</v>
      </c>
      <c r="AA196" s="427" t="s">
        <v>519</v>
      </c>
      <c r="AB196" s="427">
        <v>11</v>
      </c>
      <c r="AC196" s="428" t="s">
        <v>1423</v>
      </c>
      <c r="AD196" s="505">
        <v>91017.57</v>
      </c>
      <c r="AE196" s="506">
        <v>176806.21</v>
      </c>
      <c r="AF196" s="60" t="str">
        <f t="shared" si="32"/>
        <v>CLEMILDO DE OLIVEIRA</v>
      </c>
      <c r="AG196" s="60" t="str">
        <f t="shared" si="33"/>
        <v>OK</v>
      </c>
    </row>
    <row r="197" spans="1:33">
      <c r="A197" s="61" t="str">
        <f t="shared" si="27"/>
        <v>LONDRINA [ETAPA 02 - CONDOMINIO TANGARA]XXXIII15</v>
      </c>
      <c r="B197" s="263" t="s">
        <v>35</v>
      </c>
      <c r="C197" s="337" t="s">
        <v>519</v>
      </c>
      <c r="D197" s="73">
        <v>15</v>
      </c>
      <c r="E197" s="315">
        <v>257.33</v>
      </c>
      <c r="F197" s="166">
        <v>3601</v>
      </c>
      <c r="G197" s="74" t="s">
        <v>218</v>
      </c>
      <c r="H197" s="40">
        <v>41721</v>
      </c>
      <c r="I197" s="35">
        <v>101593.63</v>
      </c>
      <c r="J197" s="35" t="str">
        <f>IFERROR(VLOOKUP(CONCATENATE(B197,C197,D197,),Inadimplencia!$A$6:$K$110,6,0),"ATIVO")</f>
        <v>ATIVO</v>
      </c>
      <c r="K197" s="35">
        <f t="shared" si="28"/>
        <v>104699.62</v>
      </c>
      <c r="L197" s="325">
        <f t="shared" si="29"/>
        <v>1.0305726845275633</v>
      </c>
      <c r="M197" s="423" t="str">
        <f t="shared" si="30"/>
        <v>ATIVO1</v>
      </c>
      <c r="N197" s="28"/>
      <c r="X197" s="203" t="str">
        <f t="shared" ref="X197:X260" si="34">CONCATENATE(B197,J197)</f>
        <v>LONDRINA [ETAPA 02 - CONDOMINIO TANGARA]ATIVO</v>
      </c>
      <c r="Y197" s="203" t="str">
        <f t="shared" ref="Y197:Y260" si="35">CONCATENATE(C197,D197,G197)</f>
        <v>XXXIII15FREDERICO MERCER DE LIMA</v>
      </c>
      <c r="Z197" s="203" t="str">
        <f t="shared" si="31"/>
        <v>XXXIII15FREDERICO MERCER DE LIMA</v>
      </c>
      <c r="AA197" s="427" t="s">
        <v>519</v>
      </c>
      <c r="AB197" s="427">
        <v>15</v>
      </c>
      <c r="AC197" s="428" t="s">
        <v>218</v>
      </c>
      <c r="AD197" s="505">
        <v>104699.62</v>
      </c>
      <c r="AE197" s="506">
        <v>186547.72</v>
      </c>
      <c r="AF197" s="60" t="str">
        <f t="shared" si="32"/>
        <v>FREDERICO MERCER DE LIMA</v>
      </c>
      <c r="AG197" s="60" t="str">
        <f t="shared" si="33"/>
        <v>OK</v>
      </c>
    </row>
    <row r="198" spans="1:33">
      <c r="A198" s="61" t="str">
        <f t="shared" ref="A198:A261" si="36">CONCATENATE(B198,C198,D198)</f>
        <v>LONDRINA [ETAPA 02 - CONDOMINIO TANGARA]XXXIII17</v>
      </c>
      <c r="B198" s="263" t="s">
        <v>35</v>
      </c>
      <c r="C198" s="337" t="s">
        <v>519</v>
      </c>
      <c r="D198" s="166">
        <v>17</v>
      </c>
      <c r="E198" s="197">
        <v>257.33</v>
      </c>
      <c r="F198" s="166">
        <v>3570</v>
      </c>
      <c r="G198" s="338" t="s">
        <v>171</v>
      </c>
      <c r="H198" s="40">
        <v>41691</v>
      </c>
      <c r="I198" s="35">
        <v>96514.74</v>
      </c>
      <c r="J198" s="35" t="str">
        <f>IFERROR(VLOOKUP(CONCATENATE(B198,C198,D198,),Inadimplencia!$A$6:$K$110,6,0),"ATIVO")</f>
        <v>ATIVO</v>
      </c>
      <c r="K198" s="35">
        <f t="shared" ref="K198:K261" si="37">VLOOKUP(Y198,$Z$5:$AD$520,5,0)</f>
        <v>97897.8</v>
      </c>
      <c r="L198" s="325">
        <f t="shared" ref="L198:L261" si="38">K198/I198</f>
        <v>1.0143300391214856</v>
      </c>
      <c r="M198" s="423" t="str">
        <f t="shared" ref="M198:M261" si="39">CONCATENATE(J198,IF(L198&gt;100%,1,0))</f>
        <v>ATIVO1</v>
      </c>
      <c r="N198" s="28"/>
      <c r="X198" s="203" t="str">
        <f t="shared" si="34"/>
        <v>LONDRINA [ETAPA 02 - CONDOMINIO TANGARA]ATIVO</v>
      </c>
      <c r="Y198" s="203" t="str">
        <f t="shared" si="35"/>
        <v>XXXIII17EDUARDO LUCIO DA SILVA NETO</v>
      </c>
      <c r="Z198" s="203" t="str">
        <f t="shared" ref="Z198:Z261" si="40">CONCATENATE(AA198,AB198,AC198)</f>
        <v>XXXIII17EDUARDO LUCIO DA SILVA NETO</v>
      </c>
      <c r="AA198" s="427" t="s">
        <v>519</v>
      </c>
      <c r="AB198" s="427">
        <v>17</v>
      </c>
      <c r="AC198" s="428" t="s">
        <v>171</v>
      </c>
      <c r="AD198" s="505">
        <v>97897.8</v>
      </c>
      <c r="AE198" s="506">
        <v>179398.22</v>
      </c>
      <c r="AF198" s="60" t="str">
        <f t="shared" ref="AF198:AF261" si="41">VLOOKUP(AC198,$G$5:$G$520,1,0)</f>
        <v>EDUARDO LUCIO DA SILVA NETO</v>
      </c>
      <c r="AG198" s="60" t="str">
        <f t="shared" ref="AG198:AG261" si="42">IF(AC198=AF198,"OK","NÃO BATE")</f>
        <v>OK</v>
      </c>
    </row>
    <row r="199" spans="1:33">
      <c r="A199" s="61" t="str">
        <f t="shared" si="36"/>
        <v>LONDRINA [ETAPA 02 - CONDOMINIO TANGARA]XXXIII20</v>
      </c>
      <c r="B199" s="263" t="s">
        <v>35</v>
      </c>
      <c r="C199" s="337" t="s">
        <v>519</v>
      </c>
      <c r="D199" s="73">
        <v>20</v>
      </c>
      <c r="E199" s="315">
        <v>251.98</v>
      </c>
      <c r="F199" s="166">
        <v>3697</v>
      </c>
      <c r="G199" s="74" t="s">
        <v>232</v>
      </c>
      <c r="H199" s="40">
        <v>41744</v>
      </c>
      <c r="I199" s="35">
        <v>99482.06</v>
      </c>
      <c r="J199" s="35" t="str">
        <f>IFERROR(VLOOKUP(CONCATENATE(B199,C199,D199,),Inadimplencia!$A$6:$K$110,6,0),"ATIVO")</f>
        <v>ATIVO</v>
      </c>
      <c r="K199" s="35">
        <f t="shared" si="37"/>
        <v>45907.14</v>
      </c>
      <c r="L199" s="325">
        <f t="shared" si="38"/>
        <v>0.46146149366026395</v>
      </c>
      <c r="M199" s="423" t="str">
        <f t="shared" si="39"/>
        <v>ATIVO0</v>
      </c>
      <c r="N199" s="28"/>
      <c r="X199" s="203" t="str">
        <f t="shared" si="34"/>
        <v>LONDRINA [ETAPA 02 - CONDOMINIO TANGARA]ATIVO</v>
      </c>
      <c r="Y199" s="203" t="str">
        <f t="shared" si="35"/>
        <v>XXXIII20GUSTAVO ALUISIO DE PAULA</v>
      </c>
      <c r="Z199" s="203" t="str">
        <f t="shared" si="40"/>
        <v>XXXIII20GUSTAVO ALUISIO DE PAULA</v>
      </c>
      <c r="AA199" s="427" t="s">
        <v>519</v>
      </c>
      <c r="AB199" s="427">
        <v>20</v>
      </c>
      <c r="AC199" s="428" t="s">
        <v>232</v>
      </c>
      <c r="AD199" s="505">
        <v>45907.14</v>
      </c>
      <c r="AE199" s="506">
        <v>167884.41</v>
      </c>
      <c r="AF199" s="60" t="str">
        <f t="shared" si="41"/>
        <v>GUSTAVO ALUISIO DE PAULA</v>
      </c>
      <c r="AG199" s="60" t="str">
        <f t="shared" si="42"/>
        <v>OK</v>
      </c>
    </row>
    <row r="200" spans="1:33">
      <c r="A200" s="61" t="str">
        <f t="shared" si="36"/>
        <v>LONDRINA [ETAPA 02 - CONDOMINIO TANGARA]XXXIII21</v>
      </c>
      <c r="B200" s="263" t="s">
        <v>35</v>
      </c>
      <c r="C200" s="337" t="s">
        <v>519</v>
      </c>
      <c r="D200" s="166">
        <v>21</v>
      </c>
      <c r="E200" s="197">
        <v>251.98</v>
      </c>
      <c r="F200" s="166">
        <v>3735</v>
      </c>
      <c r="G200" s="338" t="s">
        <v>789</v>
      </c>
      <c r="H200" s="40">
        <v>41774</v>
      </c>
      <c r="I200" s="35">
        <v>99480.92</v>
      </c>
      <c r="J200" s="35" t="str">
        <f>IFERROR(VLOOKUP(CONCATENATE(B200,C200,D200,),Inadimplencia!$A$6:$K$110,6,0),"ATIVO")</f>
        <v>ATRASO</v>
      </c>
      <c r="K200" s="35">
        <f t="shared" si="37"/>
        <v>101608.25</v>
      </c>
      <c r="L200" s="325">
        <f t="shared" si="38"/>
        <v>1.0213843016329163</v>
      </c>
      <c r="M200" s="423" t="str">
        <f t="shared" si="39"/>
        <v>ATRASO1</v>
      </c>
      <c r="N200" s="28"/>
      <c r="X200" s="203" t="str">
        <f t="shared" si="34"/>
        <v>LONDRINA [ETAPA 02 - CONDOMINIO TANGARA]ATRASO</v>
      </c>
      <c r="Y200" s="203" t="str">
        <f t="shared" si="35"/>
        <v>XXXIII21WILLIAN VASCONCELOS NUNES</v>
      </c>
      <c r="Z200" s="203" t="str">
        <f t="shared" si="40"/>
        <v>XXXIII21WILLIAN VASCONCELOS NUNES</v>
      </c>
      <c r="AA200" s="427" t="s">
        <v>519</v>
      </c>
      <c r="AB200" s="427">
        <v>21</v>
      </c>
      <c r="AC200" s="428" t="s">
        <v>789</v>
      </c>
      <c r="AD200" s="505">
        <v>101608.25</v>
      </c>
      <c r="AE200" s="506">
        <v>178018.76</v>
      </c>
      <c r="AF200" s="60" t="str">
        <f t="shared" si="41"/>
        <v>WILLIAN VASCONCELOS NUNES</v>
      </c>
      <c r="AG200" s="60" t="str">
        <f t="shared" si="42"/>
        <v>OK</v>
      </c>
    </row>
    <row r="201" spans="1:33">
      <c r="A201" s="61" t="str">
        <f t="shared" si="36"/>
        <v>LONDRINA [ETAPA 02 - CONDOMINIO TANGARA]XXXIII24</v>
      </c>
      <c r="B201" s="263" t="s">
        <v>35</v>
      </c>
      <c r="C201" s="337" t="s">
        <v>519</v>
      </c>
      <c r="D201" s="73">
        <v>24</v>
      </c>
      <c r="E201" s="315">
        <v>251.98</v>
      </c>
      <c r="F201" s="166">
        <v>2597</v>
      </c>
      <c r="G201" s="74" t="s">
        <v>1066</v>
      </c>
      <c r="H201" s="40">
        <v>41443</v>
      </c>
      <c r="I201" s="35">
        <v>90007.26</v>
      </c>
      <c r="J201" s="35" t="str">
        <f>IFERROR(VLOOKUP(CONCATENATE(B201,C201,D201,),Inadimplencia!$A$6:$K$110,6,0),"ATIVO")</f>
        <v>ATRASO</v>
      </c>
      <c r="K201" s="35">
        <f t="shared" si="37"/>
        <v>80131.790000000008</v>
      </c>
      <c r="L201" s="325">
        <f t="shared" si="38"/>
        <v>0.89028140618878981</v>
      </c>
      <c r="M201" s="423" t="str">
        <f t="shared" si="39"/>
        <v>ATRASO0</v>
      </c>
      <c r="N201" s="28"/>
      <c r="X201" s="203" t="str">
        <f t="shared" si="34"/>
        <v>LONDRINA [ETAPA 02 - CONDOMINIO TANGARA]ATRASO</v>
      </c>
      <c r="Y201" s="203" t="str">
        <f t="shared" si="35"/>
        <v>XXXIII24RENATO DE MORAIS SILVA</v>
      </c>
      <c r="Z201" s="203" t="str">
        <f t="shared" si="40"/>
        <v>XXXIII24RENATO DE MORAIS SILVA</v>
      </c>
      <c r="AA201" s="427" t="s">
        <v>519</v>
      </c>
      <c r="AB201" s="427">
        <v>24</v>
      </c>
      <c r="AC201" s="428" t="s">
        <v>1066</v>
      </c>
      <c r="AD201" s="505">
        <v>80131.790000000008</v>
      </c>
      <c r="AE201" s="506">
        <v>170096.05000000002</v>
      </c>
      <c r="AF201" s="60" t="str">
        <f t="shared" si="41"/>
        <v>RENATO DE MORAIS SILVA</v>
      </c>
      <c r="AG201" s="60" t="str">
        <f t="shared" si="42"/>
        <v>OK</v>
      </c>
    </row>
    <row r="202" spans="1:33">
      <c r="A202" s="61" t="str">
        <f t="shared" si="36"/>
        <v>LONDRINA [ETAPA 02 - CONDOMINIO TANGARA]XXXIII25</v>
      </c>
      <c r="B202" s="263" t="s">
        <v>35</v>
      </c>
      <c r="C202" s="337" t="s">
        <v>519</v>
      </c>
      <c r="D202" s="73">
        <v>25</v>
      </c>
      <c r="E202" s="315">
        <v>251.98</v>
      </c>
      <c r="F202" s="166">
        <v>3856</v>
      </c>
      <c r="G202" s="74" t="s">
        <v>260</v>
      </c>
      <c r="H202" s="40">
        <v>41858</v>
      </c>
      <c r="I202" s="35">
        <v>100888.86</v>
      </c>
      <c r="J202" s="35" t="str">
        <f>IFERROR(VLOOKUP(CONCATENATE(B202,C202,D202,),Inadimplencia!$A$6:$K$110,6,0),"ATIVO")</f>
        <v>INADIMPLENTE</v>
      </c>
      <c r="K202" s="35">
        <f t="shared" si="37"/>
        <v>264515.41000000003</v>
      </c>
      <c r="L202" s="325">
        <f t="shared" si="38"/>
        <v>2.6218495282829051</v>
      </c>
      <c r="M202" s="423" t="str">
        <f t="shared" si="39"/>
        <v>INADIMPLENTE1</v>
      </c>
      <c r="N202" s="28"/>
      <c r="X202" s="203" t="str">
        <f t="shared" si="34"/>
        <v>LONDRINA [ETAPA 02 - CONDOMINIO TANGARA]INADIMPLENTE</v>
      </c>
      <c r="Y202" s="203" t="str">
        <f t="shared" si="35"/>
        <v>XXXIII25JOAO AMANDIO RODRIGUES DA COSTA JUNIOR</v>
      </c>
      <c r="Z202" s="203" t="str">
        <f t="shared" si="40"/>
        <v>XXXIII25JOAO AMANDIO RODRIGUES DA COSTA JUNIOR</v>
      </c>
      <c r="AA202" s="427" t="s">
        <v>519</v>
      </c>
      <c r="AB202" s="427">
        <v>25</v>
      </c>
      <c r="AC202" s="428" t="s">
        <v>260</v>
      </c>
      <c r="AD202" s="505">
        <v>264515.41000000003</v>
      </c>
      <c r="AE202" s="506">
        <v>279251.18</v>
      </c>
      <c r="AF202" s="60" t="str">
        <f t="shared" si="41"/>
        <v>JOAO AMANDIO RODRIGUES DA COSTA JUNIOR</v>
      </c>
      <c r="AG202" s="60" t="str">
        <f t="shared" si="42"/>
        <v>OK</v>
      </c>
    </row>
    <row r="203" spans="1:33">
      <c r="A203" s="61" t="str">
        <f t="shared" si="36"/>
        <v>LONDRINA [ETAPA 02 - CONDOMINIO TANGARA]XXXIV2</v>
      </c>
      <c r="B203" s="263" t="s">
        <v>35</v>
      </c>
      <c r="C203" s="337" t="s">
        <v>520</v>
      </c>
      <c r="D203" s="166">
        <v>2</v>
      </c>
      <c r="E203" s="197">
        <v>265.16000000000003</v>
      </c>
      <c r="F203" s="166">
        <v>2426</v>
      </c>
      <c r="G203" s="338" t="s">
        <v>336</v>
      </c>
      <c r="H203" s="40">
        <v>41445</v>
      </c>
      <c r="I203" s="35">
        <v>95961.4</v>
      </c>
      <c r="J203" s="35" t="str">
        <f>IFERROR(VLOOKUP(CONCATENATE(B203,C203,D203,),Inadimplencia!$A$6:$K$110,6,0),"ATIVO")</f>
        <v>ATIVO</v>
      </c>
      <c r="K203" s="35">
        <f t="shared" si="37"/>
        <v>97312.21</v>
      </c>
      <c r="L203" s="325">
        <f t="shared" si="38"/>
        <v>1.014076597465231</v>
      </c>
      <c r="M203" s="423" t="str">
        <f t="shared" si="39"/>
        <v>ATIVO1</v>
      </c>
      <c r="N203" s="28"/>
      <c r="X203" s="203" t="str">
        <f t="shared" si="34"/>
        <v>LONDRINA [ETAPA 02 - CONDOMINIO TANGARA]ATIVO</v>
      </c>
      <c r="Y203" s="203" t="str">
        <f t="shared" si="35"/>
        <v>XXXIV2MARCIO LOPES BAZZO</v>
      </c>
      <c r="Z203" s="203" t="str">
        <f t="shared" si="40"/>
        <v>XXXIV2MARCIO LOPES BAZZO</v>
      </c>
      <c r="AA203" s="427" t="s">
        <v>520</v>
      </c>
      <c r="AB203" s="427">
        <v>2</v>
      </c>
      <c r="AC203" s="428" t="s">
        <v>336</v>
      </c>
      <c r="AD203" s="505">
        <v>97312.21</v>
      </c>
      <c r="AE203" s="506">
        <v>187750.89</v>
      </c>
      <c r="AF203" s="60" t="str">
        <f t="shared" si="41"/>
        <v>MARCIO LOPES BAZZO</v>
      </c>
      <c r="AG203" s="60" t="str">
        <f t="shared" si="42"/>
        <v>OK</v>
      </c>
    </row>
    <row r="204" spans="1:33">
      <c r="A204" s="61" t="str">
        <f t="shared" si="36"/>
        <v>LONDRINA [ETAPA 02 - CONDOMINIO TANGARA]XXXIV9</v>
      </c>
      <c r="B204" s="263" t="s">
        <v>35</v>
      </c>
      <c r="C204" s="337" t="s">
        <v>520</v>
      </c>
      <c r="D204" s="73">
        <v>9</v>
      </c>
      <c r="E204" s="315">
        <v>253.5</v>
      </c>
      <c r="F204" s="166">
        <v>3777</v>
      </c>
      <c r="G204" s="74" t="s">
        <v>446</v>
      </c>
      <c r="H204" s="40">
        <v>41791</v>
      </c>
      <c r="I204" s="35">
        <v>102204.35</v>
      </c>
      <c r="J204" s="35" t="str">
        <f>IFERROR(VLOOKUP(CONCATENATE(B204,C204,D204,),Inadimplencia!$A$6:$K$110,6,0),"ATIVO")</f>
        <v>ATIVO</v>
      </c>
      <c r="K204" s="35">
        <f t="shared" si="37"/>
        <v>105599.7</v>
      </c>
      <c r="L204" s="325">
        <f t="shared" si="38"/>
        <v>1.0332211887263114</v>
      </c>
      <c r="M204" s="423" t="str">
        <f t="shared" si="39"/>
        <v>ATIVO1</v>
      </c>
      <c r="N204" s="28"/>
      <c r="X204" s="203" t="str">
        <f t="shared" si="34"/>
        <v>LONDRINA [ETAPA 02 - CONDOMINIO TANGARA]ATIVO</v>
      </c>
      <c r="Y204" s="203" t="str">
        <f t="shared" si="35"/>
        <v>XXXIV9SILVIO AKIO NAKANO</v>
      </c>
      <c r="Z204" s="203" t="str">
        <f t="shared" si="40"/>
        <v>XXXIV9SILVIO AKIO NAKANO</v>
      </c>
      <c r="AA204" s="427" t="s">
        <v>520</v>
      </c>
      <c r="AB204" s="427">
        <v>9</v>
      </c>
      <c r="AC204" s="428" t="s">
        <v>446</v>
      </c>
      <c r="AD204" s="505">
        <v>105599.7</v>
      </c>
      <c r="AE204" s="506">
        <v>182724.06</v>
      </c>
      <c r="AF204" s="60" t="str">
        <f t="shared" si="41"/>
        <v>SILVIO AKIO NAKANO</v>
      </c>
      <c r="AG204" s="60" t="str">
        <f t="shared" si="42"/>
        <v>OK</v>
      </c>
    </row>
    <row r="205" spans="1:33">
      <c r="A205" s="61" t="str">
        <f t="shared" si="36"/>
        <v>LONDRINA [ETAPA 02 - CONDOMINIO TANGARA]XXXIV11</v>
      </c>
      <c r="B205" s="263" t="s">
        <v>35</v>
      </c>
      <c r="C205" s="337" t="s">
        <v>520</v>
      </c>
      <c r="D205" s="166">
        <v>11</v>
      </c>
      <c r="E205" s="197">
        <v>253.5</v>
      </c>
      <c r="F205" s="166">
        <v>4517</v>
      </c>
      <c r="G205" s="338" t="s">
        <v>1243</v>
      </c>
      <c r="H205" s="40">
        <v>44020</v>
      </c>
      <c r="I205" s="35">
        <v>147580</v>
      </c>
      <c r="J205" s="35" t="str">
        <f>IFERROR(VLOOKUP(CONCATENATE(B205,C205,D205,),Inadimplencia!$A$6:$K$110,6,0),"ATIVO")</f>
        <v>ATIVO</v>
      </c>
      <c r="K205" s="35">
        <f t="shared" si="37"/>
        <v>147232.65</v>
      </c>
      <c r="L205" s="325">
        <f t="shared" si="38"/>
        <v>0.9976463612955685</v>
      </c>
      <c r="M205" s="423" t="str">
        <f t="shared" si="39"/>
        <v>ATIVO0</v>
      </c>
      <c r="N205" s="28"/>
      <c r="X205" s="203" t="str">
        <f t="shared" si="34"/>
        <v>LONDRINA [ETAPA 02 - CONDOMINIO TANGARA]ATIVO</v>
      </c>
      <c r="Y205" s="203" t="str">
        <f t="shared" si="35"/>
        <v>XXXIV11FERNANDO IMANISHI</v>
      </c>
      <c r="Z205" s="203" t="str">
        <f t="shared" si="40"/>
        <v>XXXIV11FERNANDO IMANISHI</v>
      </c>
      <c r="AA205" s="427" t="s">
        <v>520</v>
      </c>
      <c r="AB205" s="427">
        <v>11</v>
      </c>
      <c r="AC205" s="428" t="s">
        <v>1243</v>
      </c>
      <c r="AD205" s="505">
        <v>147232.65</v>
      </c>
      <c r="AE205" s="506">
        <v>167265.92000000001</v>
      </c>
      <c r="AF205" s="60" t="str">
        <f t="shared" si="41"/>
        <v>FERNANDO IMANISHI</v>
      </c>
      <c r="AG205" s="60" t="str">
        <f t="shared" si="42"/>
        <v>OK</v>
      </c>
    </row>
    <row r="206" spans="1:33">
      <c r="A206" s="61" t="str">
        <f t="shared" si="36"/>
        <v>LONDRINA [ETAPA 02 - CONDOMINIO TANGARA]XXXIV15</v>
      </c>
      <c r="B206" s="263" t="s">
        <v>35</v>
      </c>
      <c r="C206" s="337" t="s">
        <v>520</v>
      </c>
      <c r="D206" s="73">
        <v>15</v>
      </c>
      <c r="E206" s="315">
        <v>292.86</v>
      </c>
      <c r="F206" s="166">
        <v>2504</v>
      </c>
      <c r="G206" s="74" t="s">
        <v>72</v>
      </c>
      <c r="H206" s="40">
        <v>41445</v>
      </c>
      <c r="I206" s="35">
        <v>105986.03</v>
      </c>
      <c r="J206" s="35" t="str">
        <f>IFERROR(VLOOKUP(CONCATENATE(B206,C206,D206,),Inadimplencia!$A$6:$K$110,6,0),"ATIVO")</f>
        <v>ATIVO</v>
      </c>
      <c r="K206" s="35">
        <f t="shared" si="37"/>
        <v>107001.86</v>
      </c>
      <c r="L206" s="325">
        <f t="shared" si="38"/>
        <v>1.0095845650601309</v>
      </c>
      <c r="M206" s="423" t="str">
        <f t="shared" si="39"/>
        <v>ATIVO1</v>
      </c>
      <c r="N206" s="28"/>
      <c r="X206" s="203" t="str">
        <f t="shared" si="34"/>
        <v>LONDRINA [ETAPA 02 - CONDOMINIO TANGARA]ATIVO</v>
      </c>
      <c r="Y206" s="203" t="str">
        <f t="shared" si="35"/>
        <v>XXXIV15ANDRE LUIZ IWAI DA SILVA</v>
      </c>
      <c r="Z206" s="203" t="str">
        <f t="shared" si="40"/>
        <v>XXXIV15ANDRE LUIZ IWAI DA SILVA</v>
      </c>
      <c r="AA206" s="427" t="s">
        <v>520</v>
      </c>
      <c r="AB206" s="427">
        <v>15</v>
      </c>
      <c r="AC206" s="428" t="s">
        <v>72</v>
      </c>
      <c r="AD206" s="505">
        <v>107001.86</v>
      </c>
      <c r="AE206" s="506">
        <v>204932.77000000002</v>
      </c>
      <c r="AF206" s="60" t="str">
        <f t="shared" si="41"/>
        <v>ANDRE LUIZ IWAI DA SILVA</v>
      </c>
      <c r="AG206" s="60" t="str">
        <f t="shared" si="42"/>
        <v>OK</v>
      </c>
    </row>
    <row r="207" spans="1:33">
      <c r="A207" s="61" t="str">
        <f t="shared" si="36"/>
        <v>LONDRINA [ETAPA 03 - AREAS EXTERNAS G3 - G7]IX1</v>
      </c>
      <c r="B207" s="263" t="s">
        <v>36</v>
      </c>
      <c r="C207" s="337" t="s">
        <v>534</v>
      </c>
      <c r="D207" s="166">
        <v>1</v>
      </c>
      <c r="E207" s="197">
        <v>378.5</v>
      </c>
      <c r="F207" s="166">
        <v>3803</v>
      </c>
      <c r="G207" s="338" t="s">
        <v>1151</v>
      </c>
      <c r="H207" s="40">
        <v>43892</v>
      </c>
      <c r="I207" s="35">
        <v>187530</v>
      </c>
      <c r="J207" s="35" t="str">
        <f>IFERROR(VLOOKUP(CONCATENATE(B207,C207,D207,),Inadimplencia!$A$6:$K$110,6,0),"ATIVO")</f>
        <v>ATIVO</v>
      </c>
      <c r="K207" s="35">
        <f t="shared" si="37"/>
        <v>42110.04</v>
      </c>
      <c r="L207" s="325">
        <f t="shared" si="38"/>
        <v>0.22455095184770438</v>
      </c>
      <c r="M207" s="423" t="str">
        <f t="shared" si="39"/>
        <v>ATIVO0</v>
      </c>
      <c r="N207" s="28"/>
      <c r="X207" s="203" t="str">
        <f t="shared" si="34"/>
        <v>LONDRINA [ETAPA 03 - AREAS EXTERNAS G3 - G7]ATIVO</v>
      </c>
      <c r="Y207" s="203" t="str">
        <f t="shared" si="35"/>
        <v>IX1JOAO PAULO PASCHOALETO FRATELLI</v>
      </c>
      <c r="Z207" s="203" t="str">
        <f t="shared" si="40"/>
        <v>IX1JOAO PAULO PASCHOALETO FRATELLI</v>
      </c>
      <c r="AA207" s="427" t="s">
        <v>534</v>
      </c>
      <c r="AB207" s="427">
        <v>1</v>
      </c>
      <c r="AC207" s="428" t="s">
        <v>1151</v>
      </c>
      <c r="AD207" s="505">
        <v>42110.04</v>
      </c>
      <c r="AE207" s="506">
        <v>190328.16</v>
      </c>
      <c r="AF207" s="60" t="str">
        <f t="shared" si="41"/>
        <v>JOAO PAULO PASCHOALETO FRATELLI</v>
      </c>
      <c r="AG207" s="60" t="str">
        <f t="shared" si="42"/>
        <v>OK</v>
      </c>
    </row>
    <row r="208" spans="1:33">
      <c r="A208" s="61" t="str">
        <f t="shared" si="36"/>
        <v>LONDRINA [ETAPA 03 - AREAS EXTERNAS G3 - G7]IX7</v>
      </c>
      <c r="B208" s="263" t="s">
        <v>36</v>
      </c>
      <c r="C208" s="337" t="s">
        <v>534</v>
      </c>
      <c r="D208" s="73">
        <v>7</v>
      </c>
      <c r="E208" s="315">
        <v>254</v>
      </c>
      <c r="F208" s="166">
        <v>4866</v>
      </c>
      <c r="G208" s="74" t="s">
        <v>1375</v>
      </c>
      <c r="H208" s="40">
        <v>44153</v>
      </c>
      <c r="I208" s="35">
        <v>149460</v>
      </c>
      <c r="J208" s="35" t="str">
        <f>IFERROR(VLOOKUP(CONCATENATE(B208,C208,D208,),Inadimplencia!$A$6:$K$110,6,0),"ATIVO")</f>
        <v>ATIVO</v>
      </c>
      <c r="K208" s="35">
        <f t="shared" si="37"/>
        <v>149518.16</v>
      </c>
      <c r="L208" s="325">
        <f t="shared" si="38"/>
        <v>1.0003891342165128</v>
      </c>
      <c r="M208" s="423" t="str">
        <f t="shared" si="39"/>
        <v>ATIVO1</v>
      </c>
      <c r="N208" s="28"/>
      <c r="X208" s="203" t="str">
        <f t="shared" si="34"/>
        <v>LONDRINA [ETAPA 03 - AREAS EXTERNAS G3 - G7]ATIVO</v>
      </c>
      <c r="Y208" s="203" t="str">
        <f t="shared" si="35"/>
        <v>IX7MARCIO GEREMIAS</v>
      </c>
      <c r="Z208" s="203" t="str">
        <f t="shared" si="40"/>
        <v>IX7MARCIO GEREMIAS</v>
      </c>
      <c r="AA208" s="427" t="s">
        <v>534</v>
      </c>
      <c r="AB208" s="427">
        <v>7</v>
      </c>
      <c r="AC208" s="428" t="s">
        <v>1375</v>
      </c>
      <c r="AD208" s="505">
        <v>149518.16</v>
      </c>
      <c r="AE208" s="506">
        <v>161137.64000000001</v>
      </c>
      <c r="AF208" s="60" t="str">
        <f t="shared" si="41"/>
        <v>MARCIO GEREMIAS</v>
      </c>
      <c r="AG208" s="60" t="str">
        <f t="shared" si="42"/>
        <v>OK</v>
      </c>
    </row>
    <row r="209" spans="1:33">
      <c r="A209" s="61" t="str">
        <f t="shared" si="36"/>
        <v>LONDRINA [ETAPA 03 - AREAS EXTERNAS G3 - G7]IX9</v>
      </c>
      <c r="B209" s="263" t="s">
        <v>36</v>
      </c>
      <c r="C209" s="337" t="s">
        <v>534</v>
      </c>
      <c r="D209" s="166">
        <v>9</v>
      </c>
      <c r="E209" s="197">
        <v>254</v>
      </c>
      <c r="F209" s="166">
        <v>3708</v>
      </c>
      <c r="G209" s="338" t="s">
        <v>167</v>
      </c>
      <c r="H209" s="40">
        <v>41730</v>
      </c>
      <c r="I209" s="35">
        <v>98669.94</v>
      </c>
      <c r="J209" s="35" t="str">
        <f>IFERROR(VLOOKUP(CONCATENATE(B209,C209,D209,),Inadimplencia!$A$6:$K$110,6,0),"ATIVO")</f>
        <v>ATIVO</v>
      </c>
      <c r="K209" s="35">
        <f t="shared" si="37"/>
        <v>3869.2000000000003</v>
      </c>
      <c r="L209" s="325">
        <f t="shared" si="38"/>
        <v>3.9213563928385889E-2</v>
      </c>
      <c r="M209" s="423" t="str">
        <f t="shared" si="39"/>
        <v>ATIVO0</v>
      </c>
      <c r="N209" s="28"/>
      <c r="X209" s="203" t="str">
        <f t="shared" si="34"/>
        <v>LONDRINA [ETAPA 03 - AREAS EXTERNAS G3 - G7]ATIVO</v>
      </c>
      <c r="Y209" s="203" t="str">
        <f t="shared" si="35"/>
        <v>IX9EDUARDO ALEXANDRE DA SILVA</v>
      </c>
      <c r="Z209" s="203" t="str">
        <f t="shared" si="40"/>
        <v>IX9EDUARDO ALEXANDRE DA SILVA</v>
      </c>
      <c r="AA209" s="427" t="s">
        <v>534</v>
      </c>
      <c r="AB209" s="427">
        <v>9</v>
      </c>
      <c r="AC209" s="428" t="s">
        <v>167</v>
      </c>
      <c r="AD209" s="505">
        <v>3869.2000000000003</v>
      </c>
      <c r="AE209" s="506">
        <v>102177.11</v>
      </c>
      <c r="AF209" s="60" t="str">
        <f t="shared" si="41"/>
        <v>EDUARDO ALEXANDRE DA SILVA</v>
      </c>
      <c r="AG209" s="60" t="str">
        <f t="shared" si="42"/>
        <v>OK</v>
      </c>
    </row>
    <row r="210" spans="1:33">
      <c r="A210" s="61" t="str">
        <f t="shared" si="36"/>
        <v>LONDRINA [ETAPA 03 - AREAS EXTERNAS G3 - G7]IX10</v>
      </c>
      <c r="B210" s="263" t="s">
        <v>36</v>
      </c>
      <c r="C210" s="337" t="s">
        <v>534</v>
      </c>
      <c r="D210" s="73">
        <v>10</v>
      </c>
      <c r="E210" s="315">
        <v>254</v>
      </c>
      <c r="F210" s="166">
        <v>3644</v>
      </c>
      <c r="G210" s="74" t="s">
        <v>433</v>
      </c>
      <c r="H210" s="40">
        <v>41730</v>
      </c>
      <c r="I210" s="35">
        <v>98669.85</v>
      </c>
      <c r="J210" s="35" t="str">
        <f>IFERROR(VLOOKUP(CONCATENATE(B210,C210,D210,),Inadimplencia!$A$6:$K$110,6,0),"ATIVO")</f>
        <v>ATIVO</v>
      </c>
      <c r="K210" s="35">
        <f t="shared" si="37"/>
        <v>37204.450000000004</v>
      </c>
      <c r="L210" s="325">
        <f t="shared" si="38"/>
        <v>0.37705996309916356</v>
      </c>
      <c r="M210" s="423" t="str">
        <f t="shared" si="39"/>
        <v>ATIVO0</v>
      </c>
      <c r="N210" s="28"/>
      <c r="X210" s="203" t="str">
        <f t="shared" si="34"/>
        <v>LONDRINA [ETAPA 03 - AREAS EXTERNAS G3 - G7]ATIVO</v>
      </c>
      <c r="Y210" s="203" t="str">
        <f t="shared" si="35"/>
        <v>IX10SEBASTIAO MONTEIRO</v>
      </c>
      <c r="Z210" s="203" t="str">
        <f t="shared" si="40"/>
        <v>IX10SEBASTIAO MONTEIRO</v>
      </c>
      <c r="AA210" s="427" t="s">
        <v>534</v>
      </c>
      <c r="AB210" s="427">
        <v>10</v>
      </c>
      <c r="AC210" s="428" t="s">
        <v>433</v>
      </c>
      <c r="AD210" s="505">
        <v>37204.450000000004</v>
      </c>
      <c r="AE210" s="506">
        <v>149151.31</v>
      </c>
      <c r="AF210" s="60" t="str">
        <f t="shared" si="41"/>
        <v>SEBASTIAO MONTEIRO</v>
      </c>
      <c r="AG210" s="60" t="str">
        <f t="shared" si="42"/>
        <v>OK</v>
      </c>
    </row>
    <row r="211" spans="1:33">
      <c r="A211" s="61" t="str">
        <f t="shared" si="36"/>
        <v>LONDRINA [ETAPA 03 - AREAS EXTERNAS G3 - G7]IX11</v>
      </c>
      <c r="B211" s="263" t="s">
        <v>36</v>
      </c>
      <c r="C211" s="337" t="s">
        <v>534</v>
      </c>
      <c r="D211" s="166">
        <v>11</v>
      </c>
      <c r="E211" s="197">
        <v>254</v>
      </c>
      <c r="F211" s="166">
        <v>3823</v>
      </c>
      <c r="G211" s="338" t="s">
        <v>445</v>
      </c>
      <c r="H211" s="40">
        <v>41830</v>
      </c>
      <c r="I211" s="35">
        <v>97873.35</v>
      </c>
      <c r="J211" s="35" t="str">
        <f>IFERROR(VLOOKUP(CONCATENATE(B211,C211,D211,),Inadimplencia!$A$6:$K$110,6,0),"ATIVO")</f>
        <v>ATIVO</v>
      </c>
      <c r="K211" s="35">
        <f t="shared" si="37"/>
        <v>100930.78</v>
      </c>
      <c r="L211" s="325">
        <f t="shared" si="38"/>
        <v>1.0312386364623261</v>
      </c>
      <c r="M211" s="423" t="str">
        <f t="shared" si="39"/>
        <v>ATIVO1</v>
      </c>
      <c r="N211" s="28"/>
      <c r="X211" s="203" t="str">
        <f t="shared" si="34"/>
        <v>LONDRINA [ETAPA 03 - AREAS EXTERNAS G3 - G7]ATIVO</v>
      </c>
      <c r="Y211" s="203" t="str">
        <f t="shared" si="35"/>
        <v>IX11SILVIA HELENA FIORINI ALVES</v>
      </c>
      <c r="Z211" s="203" t="str">
        <f t="shared" si="40"/>
        <v>IX11SILVIA HELENA FIORINI ALVES</v>
      </c>
      <c r="AA211" s="427" t="s">
        <v>534</v>
      </c>
      <c r="AB211" s="427">
        <v>11</v>
      </c>
      <c r="AC211" s="428" t="s">
        <v>445</v>
      </c>
      <c r="AD211" s="505">
        <v>100930.78</v>
      </c>
      <c r="AE211" s="506">
        <v>177564.53</v>
      </c>
      <c r="AF211" s="60" t="str">
        <f t="shared" si="41"/>
        <v>SILVIA HELENA FIORINI ALVES</v>
      </c>
      <c r="AG211" s="60" t="str">
        <f t="shared" si="42"/>
        <v>OK</v>
      </c>
    </row>
    <row r="212" spans="1:33">
      <c r="A212" s="61" t="str">
        <f t="shared" si="36"/>
        <v>LONDRINA [ETAPA 03 - AREAS EXTERNAS G3 - G7]IX13</v>
      </c>
      <c r="B212" s="263" t="s">
        <v>36</v>
      </c>
      <c r="C212" s="337" t="s">
        <v>534</v>
      </c>
      <c r="D212" s="73">
        <v>13</v>
      </c>
      <c r="E212" s="315">
        <v>254</v>
      </c>
      <c r="F212" s="166">
        <v>4855</v>
      </c>
      <c r="G212" s="74" t="s">
        <v>201</v>
      </c>
      <c r="H212" s="40">
        <v>42186</v>
      </c>
      <c r="I212" s="35">
        <v>125499.4</v>
      </c>
      <c r="J212" s="35" t="str">
        <f>IFERROR(VLOOKUP(CONCATENATE(B212,C212,D212,),Inadimplencia!$A$6:$K$110,6,0),"ATIVO")</f>
        <v>ATIVO</v>
      </c>
      <c r="K212" s="35">
        <f t="shared" si="37"/>
        <v>53601.61</v>
      </c>
      <c r="L212" s="325">
        <f t="shared" si="38"/>
        <v>0.4271065040948403</v>
      </c>
      <c r="M212" s="423" t="str">
        <f t="shared" si="39"/>
        <v>ATIVO0</v>
      </c>
      <c r="N212" s="28"/>
      <c r="X212" s="203" t="str">
        <f t="shared" si="34"/>
        <v>LONDRINA [ETAPA 03 - AREAS EXTERNAS G3 - G7]ATIVO</v>
      </c>
      <c r="Y212" s="203" t="str">
        <f t="shared" si="35"/>
        <v>IX13FABIANO TERUO OMURA</v>
      </c>
      <c r="Z212" s="203" t="str">
        <f t="shared" si="40"/>
        <v>IX13FABIANO TERUO OMURA</v>
      </c>
      <c r="AA212" s="427" t="s">
        <v>534</v>
      </c>
      <c r="AB212" s="427">
        <v>13</v>
      </c>
      <c r="AC212" s="428" t="s">
        <v>201</v>
      </c>
      <c r="AD212" s="505">
        <v>53601.61</v>
      </c>
      <c r="AE212" s="506">
        <v>154287.95000000001</v>
      </c>
      <c r="AF212" s="60" t="str">
        <f t="shared" si="41"/>
        <v>FABIANO TERUO OMURA</v>
      </c>
      <c r="AG212" s="60" t="str">
        <f t="shared" si="42"/>
        <v>OK</v>
      </c>
    </row>
    <row r="213" spans="1:33">
      <c r="A213" s="61" t="str">
        <f t="shared" si="36"/>
        <v>LONDRINA [ETAPA 03 - AREAS EXTERNAS G3 - G7]IX16</v>
      </c>
      <c r="B213" s="263" t="s">
        <v>36</v>
      </c>
      <c r="C213" s="337" t="s">
        <v>534</v>
      </c>
      <c r="D213" s="166">
        <v>16</v>
      </c>
      <c r="E213" s="197">
        <v>254</v>
      </c>
      <c r="F213" s="166">
        <v>4934</v>
      </c>
      <c r="G213" s="338" t="s">
        <v>84</v>
      </c>
      <c r="H213" s="40">
        <v>42230</v>
      </c>
      <c r="I213" s="35">
        <v>128900.61</v>
      </c>
      <c r="J213" s="35" t="str">
        <f>IFERROR(VLOOKUP(CONCATENATE(B213,C213,D213,),Inadimplencia!$A$6:$K$110,6,0),"ATIVO")</f>
        <v>ATIVO</v>
      </c>
      <c r="K213" s="35">
        <f t="shared" si="37"/>
        <v>120150</v>
      </c>
      <c r="L213" s="325">
        <f t="shared" si="38"/>
        <v>0.9321135097809079</v>
      </c>
      <c r="M213" s="423" t="str">
        <f t="shared" si="39"/>
        <v>ATIVO0</v>
      </c>
      <c r="N213" s="28"/>
      <c r="X213" s="203" t="str">
        <f t="shared" si="34"/>
        <v>LONDRINA [ETAPA 03 - AREAS EXTERNAS G3 - G7]ATIVO</v>
      </c>
      <c r="Y213" s="203" t="str">
        <f t="shared" si="35"/>
        <v>IX16ARLINDO MARCOS FIRMINO</v>
      </c>
      <c r="Z213" s="203" t="str">
        <f t="shared" si="40"/>
        <v>IX16ARLINDO MARCOS FIRMINO</v>
      </c>
      <c r="AA213" s="427" t="s">
        <v>534</v>
      </c>
      <c r="AB213" s="427">
        <v>16</v>
      </c>
      <c r="AC213" s="428" t="s">
        <v>84</v>
      </c>
      <c r="AD213" s="505">
        <v>120150</v>
      </c>
      <c r="AE213" s="506">
        <v>183708.25</v>
      </c>
      <c r="AF213" s="60" t="str">
        <f t="shared" si="41"/>
        <v>ARLINDO MARCOS FIRMINO</v>
      </c>
      <c r="AG213" s="60" t="str">
        <f t="shared" si="42"/>
        <v>OK</v>
      </c>
    </row>
    <row r="214" spans="1:33">
      <c r="A214" s="61" t="str">
        <f t="shared" si="36"/>
        <v>LONDRINA [ETAPA 03 - AREAS EXTERNAS G3 - G7]IX22</v>
      </c>
      <c r="B214" s="263" t="s">
        <v>36</v>
      </c>
      <c r="C214" s="337" t="s">
        <v>534</v>
      </c>
      <c r="D214" s="73">
        <v>22</v>
      </c>
      <c r="E214" s="315">
        <v>254</v>
      </c>
      <c r="F214" s="166">
        <v>5052</v>
      </c>
      <c r="G214" s="74" t="s">
        <v>869</v>
      </c>
      <c r="H214" s="40">
        <v>42360</v>
      </c>
      <c r="I214" s="35">
        <v>123000.4</v>
      </c>
      <c r="J214" s="35" t="str">
        <f>IFERROR(VLOOKUP(CONCATENATE(B214,C214,D214,),Inadimplencia!$A$6:$K$110,6,0),"ATIVO")</f>
        <v>ATIVO</v>
      </c>
      <c r="K214" s="35">
        <f t="shared" si="37"/>
        <v>94699.05</v>
      </c>
      <c r="L214" s="325">
        <f t="shared" si="38"/>
        <v>0.7699084718423681</v>
      </c>
      <c r="M214" s="423" t="str">
        <f t="shared" si="39"/>
        <v>ATIVO0</v>
      </c>
      <c r="N214" s="28"/>
      <c r="X214" s="203" t="str">
        <f t="shared" si="34"/>
        <v>LONDRINA [ETAPA 03 - AREAS EXTERNAS G3 - G7]ATIVO</v>
      </c>
      <c r="Y214" s="203" t="str">
        <f t="shared" si="35"/>
        <v>IX22NILVA APARECIDA DINIS RIBEIRO</v>
      </c>
      <c r="Z214" s="203" t="str">
        <f t="shared" si="40"/>
        <v>IX22NILVA APARECIDA DINIS RIBEIRO</v>
      </c>
      <c r="AA214" s="427" t="s">
        <v>534</v>
      </c>
      <c r="AB214" s="427">
        <v>22</v>
      </c>
      <c r="AC214" s="428" t="s">
        <v>869</v>
      </c>
      <c r="AD214" s="505">
        <v>94699.05</v>
      </c>
      <c r="AE214" s="506">
        <v>214762.18</v>
      </c>
      <c r="AF214" s="60" t="str">
        <f t="shared" si="41"/>
        <v>NILVA APARECIDA DINIS RIBEIRO</v>
      </c>
      <c r="AG214" s="60" t="str">
        <f t="shared" si="42"/>
        <v>OK</v>
      </c>
    </row>
    <row r="215" spans="1:33">
      <c r="A215" s="61" t="str">
        <f t="shared" si="36"/>
        <v>LONDRINA [ETAPA 03 - AREAS EXTERNAS G3 - G7]IX23</v>
      </c>
      <c r="B215" s="263" t="s">
        <v>36</v>
      </c>
      <c r="C215" s="337" t="s">
        <v>534</v>
      </c>
      <c r="D215" s="166">
        <v>23</v>
      </c>
      <c r="E215" s="197">
        <v>254</v>
      </c>
      <c r="F215" s="166">
        <v>5009</v>
      </c>
      <c r="G215" s="338" t="s">
        <v>1486</v>
      </c>
      <c r="H215" s="40">
        <v>44231</v>
      </c>
      <c r="I215" s="35">
        <v>156509.6</v>
      </c>
      <c r="J215" s="35" t="str">
        <f>IFERROR(VLOOKUP(CONCATENATE(B215,C215,D215,),Inadimplencia!$A$6:$K$110,6,0),"ATIVO")</f>
        <v>ATIVO</v>
      </c>
      <c r="K215" s="35">
        <f t="shared" si="37"/>
        <v>147286.87</v>
      </c>
      <c r="L215" s="325">
        <f t="shared" si="38"/>
        <v>0.9410724326175518</v>
      </c>
      <c r="M215" s="423" t="str">
        <f t="shared" si="39"/>
        <v>ATIVO0</v>
      </c>
      <c r="N215" s="28"/>
      <c r="X215" s="203" t="str">
        <f t="shared" si="34"/>
        <v>LONDRINA [ETAPA 03 - AREAS EXTERNAS G3 - G7]ATIVO</v>
      </c>
      <c r="Y215" s="203" t="str">
        <f t="shared" si="35"/>
        <v>IX23SIRLEI RIBEIRO</v>
      </c>
      <c r="Z215" s="203" t="str">
        <f t="shared" si="40"/>
        <v>IX23SIRLEI RIBEIRO</v>
      </c>
      <c r="AA215" s="427" t="s">
        <v>534</v>
      </c>
      <c r="AB215" s="427">
        <v>23</v>
      </c>
      <c r="AC215" s="428" t="s">
        <v>1486</v>
      </c>
      <c r="AD215" s="505">
        <v>147286.87</v>
      </c>
      <c r="AE215" s="506">
        <v>159390.33000000002</v>
      </c>
      <c r="AF215" s="60" t="str">
        <f t="shared" si="41"/>
        <v>SIRLEI RIBEIRO</v>
      </c>
      <c r="AG215" s="60" t="str">
        <f t="shared" si="42"/>
        <v>OK</v>
      </c>
    </row>
    <row r="216" spans="1:33">
      <c r="A216" s="61" t="str">
        <f t="shared" si="36"/>
        <v>LONDRINA [ETAPA 03 - AREAS EXTERNAS G3 - G7]IX24</v>
      </c>
      <c r="B216" s="263" t="s">
        <v>36</v>
      </c>
      <c r="C216" s="337" t="s">
        <v>534</v>
      </c>
      <c r="D216" s="73">
        <v>24</v>
      </c>
      <c r="E216" s="315">
        <v>254</v>
      </c>
      <c r="F216" s="166">
        <v>5011</v>
      </c>
      <c r="G216" s="74" t="s">
        <v>1487</v>
      </c>
      <c r="H216" s="40">
        <v>44231</v>
      </c>
      <c r="I216" s="35">
        <v>156933</v>
      </c>
      <c r="J216" s="35" t="str">
        <f>IFERROR(VLOOKUP(CONCATENATE(B216,C216,D216,),Inadimplencia!$A$6:$K$110,6,0),"ATIVO")</f>
        <v>ATIVO</v>
      </c>
      <c r="K216" s="35">
        <f t="shared" si="37"/>
        <v>151952.15</v>
      </c>
      <c r="L216" s="325">
        <f t="shared" si="38"/>
        <v>0.96826129622195456</v>
      </c>
      <c r="M216" s="423" t="str">
        <f t="shared" si="39"/>
        <v>ATIVO0</v>
      </c>
      <c r="N216" s="28"/>
      <c r="X216" s="203" t="str">
        <f t="shared" si="34"/>
        <v>LONDRINA [ETAPA 03 - AREAS EXTERNAS G3 - G7]ATIVO</v>
      </c>
      <c r="Y216" s="203" t="str">
        <f t="shared" si="35"/>
        <v>IX24RAFAEL APARECIDO DE SOUZA</v>
      </c>
      <c r="Z216" s="203" t="str">
        <f t="shared" si="40"/>
        <v>IX24RAFAEL APARECIDO DE SOUZA</v>
      </c>
      <c r="AA216" s="427" t="s">
        <v>534</v>
      </c>
      <c r="AB216" s="427">
        <v>24</v>
      </c>
      <c r="AC216" s="428" t="s">
        <v>1487</v>
      </c>
      <c r="AD216" s="505">
        <v>151952.15</v>
      </c>
      <c r="AE216" s="506">
        <v>159893.29</v>
      </c>
      <c r="AF216" s="60" t="str">
        <f t="shared" si="41"/>
        <v>RAFAEL APARECIDO DE SOUZA</v>
      </c>
      <c r="AG216" s="60" t="str">
        <f t="shared" si="42"/>
        <v>OK</v>
      </c>
    </row>
    <row r="217" spans="1:33">
      <c r="A217" s="61" t="str">
        <f t="shared" si="36"/>
        <v>LONDRINA [ETAPA 03 - AREAS EXTERNAS G3 - G7]IX25</v>
      </c>
      <c r="B217" s="263" t="s">
        <v>36</v>
      </c>
      <c r="C217" s="337" t="s">
        <v>534</v>
      </c>
      <c r="D217" s="166">
        <v>25</v>
      </c>
      <c r="E217" s="197">
        <v>254</v>
      </c>
      <c r="F217" s="166">
        <v>5180</v>
      </c>
      <c r="G217" s="338" t="s">
        <v>430</v>
      </c>
      <c r="H217" s="40">
        <v>42461</v>
      </c>
      <c r="I217" s="35">
        <v>129799.35</v>
      </c>
      <c r="J217" s="35" t="str">
        <f>IFERROR(VLOOKUP(CONCATENATE(B217,C217,D217,),Inadimplencia!$A$6:$K$110,6,0),"ATIVO")</f>
        <v>INADIMPLENTE</v>
      </c>
      <c r="K217" s="35">
        <f t="shared" si="37"/>
        <v>149578.11000000002</v>
      </c>
      <c r="L217" s="325">
        <f t="shared" si="38"/>
        <v>1.1523794995891736</v>
      </c>
      <c r="M217" s="423" t="str">
        <f t="shared" si="39"/>
        <v>INADIMPLENTE1</v>
      </c>
      <c r="N217" s="28"/>
      <c r="X217" s="203" t="str">
        <f t="shared" si="34"/>
        <v>LONDRINA [ETAPA 03 - AREAS EXTERNAS G3 - G7]INADIMPLENTE</v>
      </c>
      <c r="Y217" s="203" t="str">
        <f t="shared" si="35"/>
        <v>IX25SANDRA KAAFA SOUTELLO</v>
      </c>
      <c r="Z217" s="203" t="str">
        <f t="shared" si="40"/>
        <v>IX25SANDRA KAAFA SOUTELLO</v>
      </c>
      <c r="AA217" s="427" t="s">
        <v>534</v>
      </c>
      <c r="AB217" s="427">
        <v>25</v>
      </c>
      <c r="AC217" s="428" t="s">
        <v>430</v>
      </c>
      <c r="AD217" s="505">
        <v>149578.11000000002</v>
      </c>
      <c r="AE217" s="506">
        <v>225013.05000000002</v>
      </c>
      <c r="AF217" s="60" t="str">
        <f t="shared" si="41"/>
        <v>SANDRA KAAFA SOUTELLO</v>
      </c>
      <c r="AG217" s="60" t="str">
        <f t="shared" si="42"/>
        <v>OK</v>
      </c>
    </row>
    <row r="218" spans="1:33">
      <c r="A218" s="61" t="str">
        <f t="shared" si="36"/>
        <v>LONDRINA [ETAPA 03 - AREAS EXTERNAS G3 - G7]IX26</v>
      </c>
      <c r="B218" s="263" t="s">
        <v>36</v>
      </c>
      <c r="C218" s="337" t="s">
        <v>534</v>
      </c>
      <c r="D218" s="73">
        <v>26</v>
      </c>
      <c r="E218" s="315">
        <v>254</v>
      </c>
      <c r="F218" s="166">
        <v>5181</v>
      </c>
      <c r="G218" s="74" t="s">
        <v>430</v>
      </c>
      <c r="H218" s="40">
        <v>42461</v>
      </c>
      <c r="I218" s="35">
        <v>129800.55</v>
      </c>
      <c r="J218" s="35" t="str">
        <f>IFERROR(VLOOKUP(CONCATENATE(B218,C218,D218,),Inadimplencia!$A$6:$K$110,6,0),"ATIVO")</f>
        <v>INADIMPLENTE</v>
      </c>
      <c r="K218" s="35">
        <f t="shared" si="37"/>
        <v>154040.79</v>
      </c>
      <c r="L218" s="325">
        <f t="shared" si="38"/>
        <v>1.186749902061278</v>
      </c>
      <c r="M218" s="423" t="str">
        <f t="shared" si="39"/>
        <v>INADIMPLENTE1</v>
      </c>
      <c r="N218" s="28"/>
      <c r="X218" s="203" t="str">
        <f t="shared" si="34"/>
        <v>LONDRINA [ETAPA 03 - AREAS EXTERNAS G3 - G7]INADIMPLENTE</v>
      </c>
      <c r="Y218" s="203" t="str">
        <f t="shared" si="35"/>
        <v>IX26SANDRA KAAFA SOUTELLO</v>
      </c>
      <c r="Z218" s="203" t="str">
        <f t="shared" si="40"/>
        <v>IX26SANDRA KAAFA SOUTELLO</v>
      </c>
      <c r="AA218" s="427" t="s">
        <v>534</v>
      </c>
      <c r="AB218" s="427">
        <v>26</v>
      </c>
      <c r="AC218" s="428" t="s">
        <v>430</v>
      </c>
      <c r="AD218" s="505">
        <v>154040.79</v>
      </c>
      <c r="AE218" s="506">
        <v>227856.43</v>
      </c>
      <c r="AF218" s="60" t="str">
        <f t="shared" si="41"/>
        <v>SANDRA KAAFA SOUTELLO</v>
      </c>
      <c r="AG218" s="60" t="str">
        <f t="shared" si="42"/>
        <v>OK</v>
      </c>
    </row>
    <row r="219" spans="1:33">
      <c r="A219" s="61" t="str">
        <f t="shared" si="36"/>
        <v>LONDRINA [ETAPA 03 - AREAS EXTERNAS G3 - G7]IX27</v>
      </c>
      <c r="B219" s="263" t="s">
        <v>36</v>
      </c>
      <c r="C219" s="337" t="s">
        <v>534</v>
      </c>
      <c r="D219" s="166">
        <v>27</v>
      </c>
      <c r="E219" s="197">
        <v>254</v>
      </c>
      <c r="F219" s="166">
        <v>5182</v>
      </c>
      <c r="G219" s="338" t="s">
        <v>1035</v>
      </c>
      <c r="H219" s="40">
        <v>42461</v>
      </c>
      <c r="I219" s="35">
        <v>129800.55</v>
      </c>
      <c r="J219" s="35" t="str">
        <f>IFERROR(VLOOKUP(CONCATENATE(B219,C219,D219,),Inadimplencia!$A$6:$K$110,6,0),"ATIVO")</f>
        <v>INADIMPLENTE</v>
      </c>
      <c r="K219" s="35">
        <f t="shared" si="37"/>
        <v>157598.96</v>
      </c>
      <c r="L219" s="325">
        <f t="shared" si="38"/>
        <v>1.214162497770618</v>
      </c>
      <c r="M219" s="423" t="str">
        <f t="shared" si="39"/>
        <v>INADIMPLENTE1</v>
      </c>
      <c r="N219" s="28"/>
      <c r="X219" s="203" t="str">
        <f t="shared" si="34"/>
        <v>LONDRINA [ETAPA 03 - AREAS EXTERNAS G3 - G7]INADIMPLENTE</v>
      </c>
      <c r="Y219" s="203" t="str">
        <f t="shared" si="35"/>
        <v>IX27ROBERTO LOPES DE LIMA</v>
      </c>
      <c r="Z219" s="203" t="str">
        <f t="shared" si="40"/>
        <v>IX27ROBERTO LOPES DE LIMA</v>
      </c>
      <c r="AA219" s="427" t="s">
        <v>534</v>
      </c>
      <c r="AB219" s="427">
        <v>27</v>
      </c>
      <c r="AC219" s="428" t="s">
        <v>1035</v>
      </c>
      <c r="AD219" s="505">
        <v>157598.96</v>
      </c>
      <c r="AE219" s="506">
        <v>230750.28</v>
      </c>
      <c r="AF219" s="60" t="str">
        <f t="shared" si="41"/>
        <v>ROBERTO LOPES DE LIMA</v>
      </c>
      <c r="AG219" s="60" t="str">
        <f t="shared" si="42"/>
        <v>OK</v>
      </c>
    </row>
    <row r="220" spans="1:33">
      <c r="A220" s="61" t="str">
        <f t="shared" si="36"/>
        <v>LONDRINA [ETAPA 03 - AREAS EXTERNAS G3 - G7]IX28</v>
      </c>
      <c r="B220" s="263" t="s">
        <v>36</v>
      </c>
      <c r="C220" s="337" t="s">
        <v>534</v>
      </c>
      <c r="D220" s="73">
        <v>28</v>
      </c>
      <c r="E220" s="315">
        <v>254</v>
      </c>
      <c r="F220" s="166">
        <v>5195</v>
      </c>
      <c r="G220" s="74" t="s">
        <v>146</v>
      </c>
      <c r="H220" s="40">
        <v>42467</v>
      </c>
      <c r="I220" s="35">
        <v>129799.4</v>
      </c>
      <c r="J220" s="35" t="str">
        <f>IFERROR(VLOOKUP(CONCATENATE(B220,C220,D220,),Inadimplencia!$A$6:$K$110,6,0),"ATIVO")</f>
        <v>ATIVO</v>
      </c>
      <c r="K220" s="35">
        <f t="shared" si="37"/>
        <v>71406.759999999995</v>
      </c>
      <c r="L220" s="325">
        <f t="shared" si="38"/>
        <v>0.55013166470723285</v>
      </c>
      <c r="M220" s="423" t="str">
        <f t="shared" si="39"/>
        <v>ATIVO0</v>
      </c>
      <c r="N220" s="28"/>
      <c r="X220" s="203" t="str">
        <f t="shared" si="34"/>
        <v>LONDRINA [ETAPA 03 - AREAS EXTERNAS G3 - G7]ATIVO</v>
      </c>
      <c r="Y220" s="203" t="str">
        <f t="shared" si="35"/>
        <v>IX28DIOGO RIBEIRO GARCIA</v>
      </c>
      <c r="Z220" s="203" t="str">
        <f t="shared" si="40"/>
        <v>IX28DIOGO RIBEIRO GARCIA</v>
      </c>
      <c r="AA220" s="427" t="s">
        <v>534</v>
      </c>
      <c r="AB220" s="427">
        <v>28</v>
      </c>
      <c r="AC220" s="428" t="s">
        <v>146</v>
      </c>
      <c r="AD220" s="505">
        <v>71406.759999999995</v>
      </c>
      <c r="AE220" s="506">
        <v>188474.36000000002</v>
      </c>
      <c r="AF220" s="60" t="str">
        <f t="shared" si="41"/>
        <v>DIOGO RIBEIRO GARCIA</v>
      </c>
      <c r="AG220" s="60" t="str">
        <f t="shared" si="42"/>
        <v>OK</v>
      </c>
    </row>
    <row r="221" spans="1:33">
      <c r="A221" s="61" t="str">
        <f t="shared" si="36"/>
        <v>LONDRINA [ETAPA 03 - AREAS EXTERNAS G3 - G7]IX30</v>
      </c>
      <c r="B221" s="263" t="s">
        <v>36</v>
      </c>
      <c r="C221" s="337" t="s">
        <v>534</v>
      </c>
      <c r="D221" s="166">
        <v>30</v>
      </c>
      <c r="E221" s="197">
        <v>254</v>
      </c>
      <c r="F221" s="166">
        <v>5151</v>
      </c>
      <c r="G221" s="338" t="s">
        <v>353</v>
      </c>
      <c r="H221" s="40">
        <v>42439</v>
      </c>
      <c r="I221" s="35">
        <v>116820</v>
      </c>
      <c r="J221" s="35" t="str">
        <f>IFERROR(VLOOKUP(CONCATENATE(B221,C221,D221,),Inadimplencia!$A$6:$K$110,6,0),"ATIVO")</f>
        <v>ATIVO</v>
      </c>
      <c r="K221" s="35">
        <f t="shared" si="37"/>
        <v>36839.54</v>
      </c>
      <c r="L221" s="325">
        <f t="shared" si="38"/>
        <v>0.31535302174285224</v>
      </c>
      <c r="M221" s="423" t="str">
        <f t="shared" si="39"/>
        <v>ATIVO0</v>
      </c>
      <c r="N221" s="28"/>
      <c r="X221" s="203" t="str">
        <f t="shared" si="34"/>
        <v>LONDRINA [ETAPA 03 - AREAS EXTERNAS G3 - G7]ATIVO</v>
      </c>
      <c r="Y221" s="203" t="str">
        <f t="shared" si="35"/>
        <v>IX30MARIA GERALDA DE OLIVEIRA</v>
      </c>
      <c r="Z221" s="203" t="str">
        <f t="shared" si="40"/>
        <v>IX30MARIA GERALDA DE OLIVEIRA</v>
      </c>
      <c r="AA221" s="427" t="s">
        <v>534</v>
      </c>
      <c r="AB221" s="427">
        <v>30</v>
      </c>
      <c r="AC221" s="428" t="s">
        <v>353</v>
      </c>
      <c r="AD221" s="505">
        <v>36839.54</v>
      </c>
      <c r="AE221" s="506">
        <v>181454.55000000002</v>
      </c>
      <c r="AF221" s="60" t="str">
        <f t="shared" si="41"/>
        <v>MARIA GERALDA DE OLIVEIRA</v>
      </c>
      <c r="AG221" s="60" t="str">
        <f t="shared" si="42"/>
        <v>OK</v>
      </c>
    </row>
    <row r="222" spans="1:33">
      <c r="A222" s="61" t="str">
        <f t="shared" si="36"/>
        <v>LONDRINA [ETAPA 03 - AREAS EXTERNAS G3 - G7]IX31</v>
      </c>
      <c r="B222" s="263" t="s">
        <v>36</v>
      </c>
      <c r="C222" s="337" t="s">
        <v>534</v>
      </c>
      <c r="D222" s="73">
        <v>31</v>
      </c>
      <c r="E222" s="315">
        <v>254</v>
      </c>
      <c r="F222" s="166">
        <v>4780</v>
      </c>
      <c r="G222" s="74" t="s">
        <v>1323</v>
      </c>
      <c r="H222" s="40">
        <v>44078</v>
      </c>
      <c r="I222" s="35">
        <v>133950.1</v>
      </c>
      <c r="J222" s="35" t="str">
        <f>IFERROR(VLOOKUP(CONCATENATE(B222,C222,D222,),Inadimplencia!$A$6:$K$110,6,0),"ATIVO")</f>
        <v>ATIVO</v>
      </c>
      <c r="K222" s="35">
        <f t="shared" si="37"/>
        <v>87441.12</v>
      </c>
      <c r="L222" s="325">
        <f t="shared" si="38"/>
        <v>0.65278876238240946</v>
      </c>
      <c r="M222" s="423" t="str">
        <f t="shared" si="39"/>
        <v>ATIVO0</v>
      </c>
      <c r="N222" s="28"/>
      <c r="X222" s="203" t="str">
        <f t="shared" si="34"/>
        <v>LONDRINA [ETAPA 03 - AREAS EXTERNAS G3 - G7]ATIVO</v>
      </c>
      <c r="Y222" s="203" t="str">
        <f t="shared" si="35"/>
        <v>IX31WANDERLEI ROSA</v>
      </c>
      <c r="Z222" s="203" t="str">
        <f t="shared" si="40"/>
        <v>IX31WANDERLEI ROSA</v>
      </c>
      <c r="AA222" s="427" t="s">
        <v>534</v>
      </c>
      <c r="AB222" s="427">
        <v>31</v>
      </c>
      <c r="AC222" s="428" t="s">
        <v>1323</v>
      </c>
      <c r="AD222" s="505">
        <v>87441.12</v>
      </c>
      <c r="AE222" s="506">
        <v>137848.63</v>
      </c>
      <c r="AF222" s="60" t="str">
        <f t="shared" si="41"/>
        <v>WANDERLEI ROSA</v>
      </c>
      <c r="AG222" s="60" t="str">
        <f t="shared" si="42"/>
        <v>OK</v>
      </c>
    </row>
    <row r="223" spans="1:33">
      <c r="A223" s="61" t="str">
        <f t="shared" si="36"/>
        <v>LONDRINA [ETAPA 03 - AREAS EXTERNAS G3 - G7]XIII1</v>
      </c>
      <c r="B223" s="263" t="s">
        <v>36</v>
      </c>
      <c r="C223" s="337" t="s">
        <v>521</v>
      </c>
      <c r="D223" s="166">
        <v>1</v>
      </c>
      <c r="E223" s="197">
        <v>290.68</v>
      </c>
      <c r="F223" s="166">
        <v>3629</v>
      </c>
      <c r="G223" s="338" t="s">
        <v>117</v>
      </c>
      <c r="H223" s="40">
        <v>41730</v>
      </c>
      <c r="I223" s="35">
        <v>112461.68</v>
      </c>
      <c r="J223" s="35" t="str">
        <f>IFERROR(VLOOKUP(CONCATENATE(B223,C223,D223,),Inadimplencia!$A$6:$K$110,6,0),"ATIVO")</f>
        <v>ATIVO</v>
      </c>
      <c r="K223" s="35">
        <f t="shared" si="37"/>
        <v>112333.93000000001</v>
      </c>
      <c r="L223" s="325">
        <f t="shared" si="38"/>
        <v>0.99886405751719176</v>
      </c>
      <c r="M223" s="423" t="str">
        <f t="shared" si="39"/>
        <v>ATIVO0</v>
      </c>
      <c r="N223" s="28"/>
      <c r="X223" s="203" t="str">
        <f t="shared" si="34"/>
        <v>LONDRINA [ETAPA 03 - AREAS EXTERNAS G3 - G7]ATIVO</v>
      </c>
      <c r="Y223" s="203" t="str">
        <f t="shared" si="35"/>
        <v>XIII1CLAUDIO MORYAMA</v>
      </c>
      <c r="Z223" s="203" t="str">
        <f t="shared" si="40"/>
        <v>XIII1CLAUDIO MORYAMA</v>
      </c>
      <c r="AA223" s="427" t="s">
        <v>521</v>
      </c>
      <c r="AB223" s="427">
        <v>1</v>
      </c>
      <c r="AC223" s="428" t="s">
        <v>117</v>
      </c>
      <c r="AD223" s="505">
        <v>112333.93000000001</v>
      </c>
      <c r="AE223" s="506">
        <v>199572.87</v>
      </c>
      <c r="AF223" s="60" t="str">
        <f t="shared" si="41"/>
        <v>CLAUDIO MORYAMA</v>
      </c>
      <c r="AG223" s="60" t="str">
        <f t="shared" si="42"/>
        <v>OK</v>
      </c>
    </row>
    <row r="224" spans="1:33">
      <c r="A224" s="61" t="str">
        <f t="shared" si="36"/>
        <v>LONDRINA [ETAPA 03 - AREAS EXTERNAS G3 - G7]XIII3</v>
      </c>
      <c r="B224" s="263" t="s">
        <v>36</v>
      </c>
      <c r="C224" s="337" t="s">
        <v>521</v>
      </c>
      <c r="D224" s="73">
        <v>3</v>
      </c>
      <c r="E224" s="315">
        <v>250.75</v>
      </c>
      <c r="F224" s="166">
        <v>3791</v>
      </c>
      <c r="G224" s="74" t="s">
        <v>351</v>
      </c>
      <c r="H224" s="40">
        <v>41814</v>
      </c>
      <c r="I224" s="35">
        <v>99075.15</v>
      </c>
      <c r="J224" s="35" t="str">
        <f>IFERROR(VLOOKUP(CONCATENATE(B224,C224,D224,),Inadimplencia!$A$6:$K$110,6,0),"ATIVO")</f>
        <v>INADIMPLENTE</v>
      </c>
      <c r="K224" s="35">
        <f t="shared" si="37"/>
        <v>218744.03</v>
      </c>
      <c r="L224" s="325">
        <f t="shared" si="38"/>
        <v>2.2078596903461665</v>
      </c>
      <c r="M224" s="423" t="str">
        <f t="shared" si="39"/>
        <v>INADIMPLENTE1</v>
      </c>
      <c r="N224" s="28"/>
      <c r="X224" s="203" t="str">
        <f t="shared" si="34"/>
        <v>LONDRINA [ETAPA 03 - AREAS EXTERNAS G3 - G7]INADIMPLENTE</v>
      </c>
      <c r="Y224" s="203" t="str">
        <f t="shared" si="35"/>
        <v>XIII3MARIA DAS GRACAS FONSECA MORAES</v>
      </c>
      <c r="Z224" s="203" t="str">
        <f t="shared" si="40"/>
        <v>XIII3MARIA DAS GRACAS FONSECA MORAES</v>
      </c>
      <c r="AA224" s="427" t="s">
        <v>521</v>
      </c>
      <c r="AB224" s="427">
        <v>3</v>
      </c>
      <c r="AC224" s="428" t="s">
        <v>351</v>
      </c>
      <c r="AD224" s="505">
        <v>218744.03</v>
      </c>
      <c r="AE224" s="506">
        <v>249523.99</v>
      </c>
      <c r="AF224" s="60" t="str">
        <f t="shared" si="41"/>
        <v>MARIA DAS GRACAS FONSECA MORAES</v>
      </c>
      <c r="AG224" s="60" t="str">
        <f t="shared" si="42"/>
        <v>OK</v>
      </c>
    </row>
    <row r="225" spans="1:33">
      <c r="A225" s="61" t="str">
        <f t="shared" si="36"/>
        <v>LONDRINA [ETAPA 03 - AREAS EXTERNAS G3 - G7]XIII7</v>
      </c>
      <c r="B225" s="263" t="s">
        <v>36</v>
      </c>
      <c r="C225" s="337" t="s">
        <v>521</v>
      </c>
      <c r="D225" s="166">
        <v>7</v>
      </c>
      <c r="E225" s="197">
        <v>250.75</v>
      </c>
      <c r="F225" s="166"/>
      <c r="G225" s="338" t="s">
        <v>1048</v>
      </c>
      <c r="H225" s="40">
        <v>43691</v>
      </c>
      <c r="I225" s="35">
        <v>141000</v>
      </c>
      <c r="J225" s="35" t="str">
        <f>IFERROR(VLOOKUP(CONCATENATE(B225,C225,D225,),Inadimplencia!$A$6:$K$110,6,0),"ATIVO")</f>
        <v>ATIVO</v>
      </c>
      <c r="K225" s="35">
        <f t="shared" si="37"/>
        <v>139654.9</v>
      </c>
      <c r="L225" s="325">
        <f t="shared" si="38"/>
        <v>0.99046028368794325</v>
      </c>
      <c r="M225" s="423" t="str">
        <f t="shared" si="39"/>
        <v>ATIVO0</v>
      </c>
      <c r="N225" s="28"/>
      <c r="X225" s="203" t="str">
        <f t="shared" si="34"/>
        <v>LONDRINA [ETAPA 03 - AREAS EXTERNAS G3 - G7]ATIVO</v>
      </c>
      <c r="Y225" s="203" t="str">
        <f t="shared" si="35"/>
        <v>XIII7HELTON LUIS DE OLIVEIRA</v>
      </c>
      <c r="Z225" s="203" t="str">
        <f t="shared" si="40"/>
        <v>XIII7HELTON LUIS DE OLIVEIRA</v>
      </c>
      <c r="AA225" s="427" t="s">
        <v>521</v>
      </c>
      <c r="AB225" s="427">
        <v>7</v>
      </c>
      <c r="AC225" s="428" t="s">
        <v>1048</v>
      </c>
      <c r="AD225" s="505">
        <v>139654.9</v>
      </c>
      <c r="AE225" s="506">
        <v>177346.17</v>
      </c>
      <c r="AF225" s="60" t="str">
        <f t="shared" si="41"/>
        <v>HELTON LUIS DE OLIVEIRA</v>
      </c>
      <c r="AG225" s="60" t="str">
        <f t="shared" si="42"/>
        <v>OK</v>
      </c>
    </row>
    <row r="226" spans="1:33">
      <c r="A226" s="61" t="str">
        <f t="shared" si="36"/>
        <v>LONDRINA [ETAPA 03 - AREAS EXTERNAS G3 - G7]XIII13</v>
      </c>
      <c r="B226" s="263" t="s">
        <v>36</v>
      </c>
      <c r="C226" s="337" t="s">
        <v>521</v>
      </c>
      <c r="D226" s="73">
        <v>13</v>
      </c>
      <c r="E226" s="315">
        <v>250.75</v>
      </c>
      <c r="F226" s="166">
        <v>3908</v>
      </c>
      <c r="G226" s="74" t="s">
        <v>404</v>
      </c>
      <c r="H226" s="40">
        <v>41892</v>
      </c>
      <c r="I226" s="35">
        <v>99562.240000000005</v>
      </c>
      <c r="J226" s="35" t="str">
        <f>IFERROR(VLOOKUP(CONCATENATE(B226,C226,D226,),Inadimplencia!$A$6:$K$110,6,0),"ATIVO")</f>
        <v>INADIMPLENTE</v>
      </c>
      <c r="K226" s="35">
        <f t="shared" si="37"/>
        <v>188959.35</v>
      </c>
      <c r="L226" s="325">
        <f t="shared" si="38"/>
        <v>1.8979017547214687</v>
      </c>
      <c r="M226" s="423" t="str">
        <f t="shared" si="39"/>
        <v>INADIMPLENTE1</v>
      </c>
      <c r="N226" s="28"/>
      <c r="X226" s="203" t="str">
        <f t="shared" si="34"/>
        <v>LONDRINA [ETAPA 03 - AREAS EXTERNAS G3 - G7]INADIMPLENTE</v>
      </c>
      <c r="Y226" s="203" t="str">
        <f t="shared" si="35"/>
        <v>XIII13RAFAELI FRARE DE SIQUEIRA</v>
      </c>
      <c r="Z226" s="203" t="str">
        <f t="shared" si="40"/>
        <v>XIII13RAFAELI FRARE DE SIQUEIRA</v>
      </c>
      <c r="AA226" s="427" t="s">
        <v>521</v>
      </c>
      <c r="AB226" s="427">
        <v>13</v>
      </c>
      <c r="AC226" s="428" t="s">
        <v>404</v>
      </c>
      <c r="AD226" s="505">
        <v>188959.35</v>
      </c>
      <c r="AE226" s="506">
        <v>206898.25</v>
      </c>
      <c r="AF226" s="60" t="str">
        <f t="shared" si="41"/>
        <v>RAFAELI FRARE DE SIQUEIRA</v>
      </c>
      <c r="AG226" s="60" t="str">
        <f t="shared" si="42"/>
        <v>OK</v>
      </c>
    </row>
    <row r="227" spans="1:33">
      <c r="A227" s="61" t="str">
        <f t="shared" si="36"/>
        <v>LONDRINA [ETAPA 03 - AREAS EXTERNAS G3 - G7]XIII14</v>
      </c>
      <c r="B227" s="263" t="s">
        <v>36</v>
      </c>
      <c r="C227" s="337" t="s">
        <v>521</v>
      </c>
      <c r="D227" s="166">
        <v>14</v>
      </c>
      <c r="E227" s="197">
        <v>250.75</v>
      </c>
      <c r="F227" s="166">
        <v>3907</v>
      </c>
      <c r="G227" s="338" t="s">
        <v>404</v>
      </c>
      <c r="H227" s="40">
        <v>41892</v>
      </c>
      <c r="I227" s="35">
        <v>99562.240000000005</v>
      </c>
      <c r="J227" s="35" t="str">
        <f>IFERROR(VLOOKUP(CONCATENATE(B227,C227,D227,),Inadimplencia!$A$6:$K$110,6,0),"ATIVO")</f>
        <v>INADIMPLENTE</v>
      </c>
      <c r="K227" s="35">
        <f t="shared" si="37"/>
        <v>188968.05000000002</v>
      </c>
      <c r="L227" s="325">
        <f t="shared" si="38"/>
        <v>1.8979891372472135</v>
      </c>
      <c r="M227" s="423" t="str">
        <f t="shared" si="39"/>
        <v>INADIMPLENTE1</v>
      </c>
      <c r="N227" s="28"/>
      <c r="X227" s="203" t="str">
        <f t="shared" si="34"/>
        <v>LONDRINA [ETAPA 03 - AREAS EXTERNAS G3 - G7]INADIMPLENTE</v>
      </c>
      <c r="Y227" s="203" t="str">
        <f t="shared" si="35"/>
        <v>XIII14RAFAELI FRARE DE SIQUEIRA</v>
      </c>
      <c r="Z227" s="203" t="str">
        <f t="shared" si="40"/>
        <v>XIII14RAFAELI FRARE DE SIQUEIRA</v>
      </c>
      <c r="AA227" s="427" t="s">
        <v>521</v>
      </c>
      <c r="AB227" s="427">
        <v>14</v>
      </c>
      <c r="AC227" s="428" t="s">
        <v>404</v>
      </c>
      <c r="AD227" s="505">
        <v>188968.05000000002</v>
      </c>
      <c r="AE227" s="506">
        <v>206906.95</v>
      </c>
      <c r="AF227" s="60" t="str">
        <f t="shared" si="41"/>
        <v>RAFAELI FRARE DE SIQUEIRA</v>
      </c>
      <c r="AG227" s="60" t="str">
        <f t="shared" si="42"/>
        <v>OK</v>
      </c>
    </row>
    <row r="228" spans="1:33">
      <c r="A228" s="61" t="str">
        <f t="shared" si="36"/>
        <v>LONDRINA [ETAPA 03 - AREAS EXTERNAS G3 - G7]XIII17</v>
      </c>
      <c r="B228" s="263" t="s">
        <v>36</v>
      </c>
      <c r="C228" s="337" t="s">
        <v>521</v>
      </c>
      <c r="D228" s="73">
        <v>17</v>
      </c>
      <c r="E228" s="315">
        <v>250.75</v>
      </c>
      <c r="F228" s="166">
        <v>3683</v>
      </c>
      <c r="G228" s="74" t="s">
        <v>269</v>
      </c>
      <c r="H228" s="40">
        <v>41730</v>
      </c>
      <c r="I228" s="35">
        <v>94000.12</v>
      </c>
      <c r="J228" s="35" t="str">
        <f>IFERROR(VLOOKUP(CONCATENATE(B228,C228,D228,),Inadimplencia!$A$6:$K$110,6,0),"ATIVO")</f>
        <v>INADIMPLENTE</v>
      </c>
      <c r="K228" s="35">
        <f t="shared" si="37"/>
        <v>200152.14</v>
      </c>
      <c r="L228" s="325">
        <f t="shared" si="38"/>
        <v>2.1292753668825104</v>
      </c>
      <c r="M228" s="423" t="str">
        <f t="shared" si="39"/>
        <v>INADIMPLENTE1</v>
      </c>
      <c r="N228" s="28"/>
      <c r="X228" s="203" t="str">
        <f t="shared" si="34"/>
        <v>LONDRINA [ETAPA 03 - AREAS EXTERNAS G3 - G7]INADIMPLENTE</v>
      </c>
      <c r="Y228" s="203" t="str">
        <f t="shared" si="35"/>
        <v>XIII17JOSE CARLOS BRUNO DE OLIVEIRA</v>
      </c>
      <c r="Z228" s="203" t="str">
        <f t="shared" si="40"/>
        <v>XIII17JOSE CARLOS BRUNO DE OLIVEIRA</v>
      </c>
      <c r="AA228" s="427" t="s">
        <v>521</v>
      </c>
      <c r="AB228" s="427">
        <v>17</v>
      </c>
      <c r="AC228" s="428" t="s">
        <v>269</v>
      </c>
      <c r="AD228" s="505">
        <v>200152.14</v>
      </c>
      <c r="AE228" s="506">
        <v>226660.58000000002</v>
      </c>
      <c r="AF228" s="60" t="str">
        <f t="shared" si="41"/>
        <v>JOSE CARLOS BRUNO DE OLIVEIRA</v>
      </c>
      <c r="AG228" s="60" t="str">
        <f t="shared" si="42"/>
        <v>OK</v>
      </c>
    </row>
    <row r="229" spans="1:33">
      <c r="A229" s="61" t="str">
        <f t="shared" si="36"/>
        <v>LONDRINA [ETAPA 03 - AREAS EXTERNAS G3 - G7]XIII20</v>
      </c>
      <c r="B229" s="263" t="s">
        <v>36</v>
      </c>
      <c r="C229" s="337" t="s">
        <v>521</v>
      </c>
      <c r="D229" s="166">
        <v>20</v>
      </c>
      <c r="E229" s="197">
        <v>250.75</v>
      </c>
      <c r="F229" s="166">
        <v>3914</v>
      </c>
      <c r="G229" s="338" t="s">
        <v>203</v>
      </c>
      <c r="H229" s="40">
        <v>41898</v>
      </c>
      <c r="I229" s="35">
        <v>99562.42</v>
      </c>
      <c r="J229" s="35" t="str">
        <f>IFERROR(VLOOKUP(CONCATENATE(B229,C229,D229,),Inadimplencia!$A$6:$K$110,6,0),"ATIVO")</f>
        <v>ATIVO</v>
      </c>
      <c r="K229" s="35">
        <f t="shared" si="37"/>
        <v>5027.8100000000004</v>
      </c>
      <c r="L229" s="325">
        <f t="shared" si="38"/>
        <v>5.0499073847341203E-2</v>
      </c>
      <c r="M229" s="423" t="str">
        <f t="shared" si="39"/>
        <v>ATIVO0</v>
      </c>
      <c r="N229" s="28"/>
      <c r="X229" s="203" t="str">
        <f t="shared" si="34"/>
        <v>LONDRINA [ETAPA 03 - AREAS EXTERNAS G3 - G7]ATIVO</v>
      </c>
      <c r="Y229" s="203" t="str">
        <f t="shared" si="35"/>
        <v>XIII20FABIO APARECIDO VAZ DANTAS</v>
      </c>
      <c r="Z229" s="203" t="str">
        <f t="shared" si="40"/>
        <v>XIII20FABIO APARECIDO VAZ DANTAS</v>
      </c>
      <c r="AA229" s="427" t="s">
        <v>521</v>
      </c>
      <c r="AB229" s="427">
        <v>20</v>
      </c>
      <c r="AC229" s="428" t="s">
        <v>203</v>
      </c>
      <c r="AD229" s="505">
        <v>5027.8100000000004</v>
      </c>
      <c r="AE229" s="506">
        <v>30780.49</v>
      </c>
      <c r="AF229" s="60" t="str">
        <f t="shared" si="41"/>
        <v>FABIO APARECIDO VAZ DANTAS</v>
      </c>
      <c r="AG229" s="60" t="str">
        <f t="shared" si="42"/>
        <v>OK</v>
      </c>
    </row>
    <row r="230" spans="1:33">
      <c r="A230" s="61" t="str">
        <f t="shared" si="36"/>
        <v>LONDRINA [ETAPA 03 - AREAS EXTERNAS G3 - G7]XIII21</v>
      </c>
      <c r="B230" s="263" t="s">
        <v>36</v>
      </c>
      <c r="C230" s="337" t="s">
        <v>521</v>
      </c>
      <c r="D230" s="73">
        <v>21</v>
      </c>
      <c r="E230" s="315">
        <v>250.75</v>
      </c>
      <c r="F230" s="166">
        <v>4425</v>
      </c>
      <c r="G230" s="74" t="s">
        <v>452</v>
      </c>
      <c r="H230" s="40">
        <v>42054</v>
      </c>
      <c r="I230" s="35">
        <v>116000.6</v>
      </c>
      <c r="J230" s="35" t="str">
        <f>IFERROR(VLOOKUP(CONCATENATE(B230,C230,D230,),Inadimplencia!$A$6:$K$110,6,0),"ATIVO")</f>
        <v>ATIVO</v>
      </c>
      <c r="K230" s="35">
        <f t="shared" si="37"/>
        <v>109010.43000000001</v>
      </c>
      <c r="L230" s="325">
        <f t="shared" si="38"/>
        <v>0.93974022548159231</v>
      </c>
      <c r="M230" s="423" t="str">
        <f t="shared" si="39"/>
        <v>ATIVO0</v>
      </c>
      <c r="N230" s="28"/>
      <c r="X230" s="203" t="str">
        <f t="shared" si="34"/>
        <v>LONDRINA [ETAPA 03 - AREAS EXTERNAS G3 - G7]ATIVO</v>
      </c>
      <c r="Y230" s="203" t="str">
        <f t="shared" si="35"/>
        <v>XIII21TEREZINHA RODRIGUES DA SILVA SOUZA</v>
      </c>
      <c r="Z230" s="203" t="str">
        <f t="shared" si="40"/>
        <v>XIII21TEREZINHA RODRIGUES DA SILVA SOUZA</v>
      </c>
      <c r="AA230" s="427" t="s">
        <v>521</v>
      </c>
      <c r="AB230" s="427">
        <v>21</v>
      </c>
      <c r="AC230" s="428" t="s">
        <v>452</v>
      </c>
      <c r="AD230" s="505">
        <v>109010.43000000001</v>
      </c>
      <c r="AE230" s="506">
        <v>185731.41</v>
      </c>
      <c r="AF230" s="60" t="str">
        <f t="shared" si="41"/>
        <v>TEREZINHA RODRIGUES DA SILVA SOUZA</v>
      </c>
      <c r="AG230" s="60" t="str">
        <f t="shared" si="42"/>
        <v>OK</v>
      </c>
    </row>
    <row r="231" spans="1:33">
      <c r="A231" s="61" t="str">
        <f t="shared" si="36"/>
        <v>LONDRINA [ETAPA 03 - AREAS EXTERNAS G3 - G7]XIII23</v>
      </c>
      <c r="B231" s="263" t="s">
        <v>36</v>
      </c>
      <c r="C231" s="337" t="s">
        <v>521</v>
      </c>
      <c r="D231" s="166">
        <v>23</v>
      </c>
      <c r="E231" s="197">
        <v>250.75</v>
      </c>
      <c r="F231" s="166">
        <v>5227</v>
      </c>
      <c r="G231" s="338" t="s">
        <v>286</v>
      </c>
      <c r="H231" s="40">
        <v>42529</v>
      </c>
      <c r="I231" s="35">
        <v>129800</v>
      </c>
      <c r="J231" s="35" t="str">
        <f>IFERROR(VLOOKUP(CONCATENATE(B231,C231,D231,),Inadimplencia!$A$6:$K$110,6,0),"ATIVO")</f>
        <v>ATIVO</v>
      </c>
      <c r="K231" s="35">
        <f t="shared" si="37"/>
        <v>118786.34</v>
      </c>
      <c r="L231" s="325">
        <f t="shared" si="38"/>
        <v>0.91514899845916797</v>
      </c>
      <c r="M231" s="423" t="str">
        <f t="shared" si="39"/>
        <v>ATIVO0</v>
      </c>
      <c r="N231" s="28"/>
      <c r="X231" s="203" t="str">
        <f t="shared" si="34"/>
        <v>LONDRINA [ETAPA 03 - AREAS EXTERNAS G3 - G7]ATIVO</v>
      </c>
      <c r="Y231" s="203" t="str">
        <f t="shared" si="35"/>
        <v>XIII23JOSIANE JUNIA FACUNDO DE ALMEIDA</v>
      </c>
      <c r="Z231" s="203" t="str">
        <f t="shared" si="40"/>
        <v>XIII23JOSIANE JUNIA FACUNDO DE ALMEIDA</v>
      </c>
      <c r="AA231" s="427" t="s">
        <v>521</v>
      </c>
      <c r="AB231" s="427">
        <v>23</v>
      </c>
      <c r="AC231" s="428" t="s">
        <v>286</v>
      </c>
      <c r="AD231" s="505">
        <v>118786.34</v>
      </c>
      <c r="AE231" s="506">
        <v>222917.17</v>
      </c>
      <c r="AF231" s="60" t="str">
        <f t="shared" si="41"/>
        <v>JOSIANE JUNIA FACUNDO DE ALMEIDA</v>
      </c>
      <c r="AG231" s="60" t="str">
        <f t="shared" si="42"/>
        <v>OK</v>
      </c>
    </row>
    <row r="232" spans="1:33">
      <c r="A232" s="61" t="str">
        <f t="shared" si="36"/>
        <v>LONDRINA [ETAPA 03 - AREAS EXTERNAS G3 - G7]XIII24</v>
      </c>
      <c r="B232" s="263" t="s">
        <v>36</v>
      </c>
      <c r="C232" s="337" t="s">
        <v>521</v>
      </c>
      <c r="D232" s="73">
        <v>24</v>
      </c>
      <c r="E232" s="315">
        <v>250.75</v>
      </c>
      <c r="F232" s="166">
        <v>4115</v>
      </c>
      <c r="G232" s="74" t="s">
        <v>334</v>
      </c>
      <c r="H232" s="40">
        <v>41948</v>
      </c>
      <c r="I232" s="35">
        <v>110503.34</v>
      </c>
      <c r="J232" s="35" t="str">
        <f>IFERROR(VLOOKUP(CONCATENATE(B232,C232,D232,),Inadimplencia!$A$6:$K$110,6,0),"ATIVO")</f>
        <v>ATIVO</v>
      </c>
      <c r="K232" s="35">
        <f t="shared" si="37"/>
        <v>7806.3</v>
      </c>
      <c r="L232" s="325">
        <f t="shared" si="38"/>
        <v>7.0643113592765622E-2</v>
      </c>
      <c r="M232" s="423" t="str">
        <f t="shared" si="39"/>
        <v>ATIVO0</v>
      </c>
      <c r="N232" s="28"/>
      <c r="X232" s="203" t="str">
        <f t="shared" si="34"/>
        <v>LONDRINA [ETAPA 03 - AREAS EXTERNAS G3 - G7]ATIVO</v>
      </c>
      <c r="Y232" s="203" t="str">
        <f t="shared" si="35"/>
        <v>XIII24MARCIA MESTRE MARTINELI</v>
      </c>
      <c r="Z232" s="203" t="str">
        <f t="shared" si="40"/>
        <v>XIII24MARCIA MESTRE MARTINELI</v>
      </c>
      <c r="AA232" s="427" t="s">
        <v>521</v>
      </c>
      <c r="AB232" s="427">
        <v>24</v>
      </c>
      <c r="AC232" s="428" t="s">
        <v>334</v>
      </c>
      <c r="AD232" s="505">
        <v>7806.3</v>
      </c>
      <c r="AE232" s="506">
        <v>146586.74</v>
      </c>
      <c r="AF232" s="60" t="str">
        <f t="shared" si="41"/>
        <v>MARCIA MESTRE MARTINELI</v>
      </c>
      <c r="AG232" s="60" t="str">
        <f t="shared" si="42"/>
        <v>OK</v>
      </c>
    </row>
    <row r="233" spans="1:33">
      <c r="A233" s="61" t="str">
        <f t="shared" si="36"/>
        <v>LONDRINA [ETAPA 03 - AREAS EXTERNAS G3 - G7]XIII25</v>
      </c>
      <c r="B233" s="263" t="s">
        <v>36</v>
      </c>
      <c r="C233" s="337" t="s">
        <v>521</v>
      </c>
      <c r="D233" s="73">
        <v>25</v>
      </c>
      <c r="E233" s="315">
        <v>250.75</v>
      </c>
      <c r="F233" s="166">
        <v>4949</v>
      </c>
      <c r="G233" s="74" t="s">
        <v>1395</v>
      </c>
      <c r="H233" s="40">
        <v>44168</v>
      </c>
      <c r="I233" s="35">
        <v>145700.1</v>
      </c>
      <c r="J233" s="35" t="str">
        <f>IFERROR(VLOOKUP(CONCATENATE(B233,C233,D233,),Inadimplencia!$A$6:$K$110,6,0),"ATIVO")</f>
        <v>ATIVO</v>
      </c>
      <c r="K233" s="35">
        <f t="shared" si="37"/>
        <v>87856.11</v>
      </c>
      <c r="L233" s="325">
        <f t="shared" si="38"/>
        <v>0.60299279135704087</v>
      </c>
      <c r="M233" s="423" t="str">
        <f t="shared" si="39"/>
        <v>ATIVO0</v>
      </c>
      <c r="N233" s="28"/>
      <c r="X233" s="203" t="str">
        <f t="shared" si="34"/>
        <v>LONDRINA [ETAPA 03 - AREAS EXTERNAS G3 - G7]ATIVO</v>
      </c>
      <c r="Y233" s="203" t="str">
        <f t="shared" si="35"/>
        <v>XIII25ELENICE CHICO CLAUDIO</v>
      </c>
      <c r="Z233" s="203" t="str">
        <f t="shared" si="40"/>
        <v>XIII25ELENICE CHICO CLAUDIO</v>
      </c>
      <c r="AA233" s="427" t="s">
        <v>521</v>
      </c>
      <c r="AB233" s="427">
        <v>25</v>
      </c>
      <c r="AC233" s="428" t="s">
        <v>1395</v>
      </c>
      <c r="AD233" s="505">
        <v>87856.11</v>
      </c>
      <c r="AE233" s="506">
        <v>148123.63</v>
      </c>
      <c r="AF233" s="60" t="str">
        <f t="shared" si="41"/>
        <v>ELENICE CHICO CLAUDIO</v>
      </c>
      <c r="AG233" s="60" t="str">
        <f t="shared" si="42"/>
        <v>OK</v>
      </c>
    </row>
    <row r="234" spans="1:33">
      <c r="A234" s="61" t="str">
        <f t="shared" si="36"/>
        <v>LONDRINA [ETAPA 03 - AREAS EXTERNAS G3 - G7]XVI1</v>
      </c>
      <c r="B234" s="263" t="s">
        <v>36</v>
      </c>
      <c r="C234" s="337" t="s">
        <v>522</v>
      </c>
      <c r="D234" s="166">
        <v>1</v>
      </c>
      <c r="E234" s="197">
        <v>368.4</v>
      </c>
      <c r="F234" s="166">
        <v>3627</v>
      </c>
      <c r="G234" s="338" t="s">
        <v>117</v>
      </c>
      <c r="H234" s="40">
        <v>41730</v>
      </c>
      <c r="I234" s="35">
        <v>142079.42000000001</v>
      </c>
      <c r="J234" s="35" t="str">
        <f>IFERROR(VLOOKUP(CONCATENATE(B234,C234,D234,),Inadimplencia!$A$6:$K$110,6,0),"ATIVO")</f>
        <v>ATIVO</v>
      </c>
      <c r="K234" s="35">
        <f t="shared" si="37"/>
        <v>141908.26999999999</v>
      </c>
      <c r="L234" s="325">
        <f t="shared" si="38"/>
        <v>0.99879539204199996</v>
      </c>
      <c r="M234" s="423" t="str">
        <f t="shared" si="39"/>
        <v>ATIVO0</v>
      </c>
      <c r="N234" s="28"/>
      <c r="X234" s="203" t="str">
        <f t="shared" si="34"/>
        <v>LONDRINA [ETAPA 03 - AREAS EXTERNAS G3 - G7]ATIVO</v>
      </c>
      <c r="Y234" s="203" t="str">
        <f t="shared" si="35"/>
        <v>XVI1CLAUDIO MORYAMA</v>
      </c>
      <c r="Z234" s="203" t="str">
        <f t="shared" si="40"/>
        <v>XVI1CLAUDIO MORYAMA</v>
      </c>
      <c r="AA234" s="427" t="s">
        <v>522</v>
      </c>
      <c r="AB234" s="427">
        <v>1</v>
      </c>
      <c r="AC234" s="428" t="s">
        <v>117</v>
      </c>
      <c r="AD234" s="505">
        <v>141908.26999999999</v>
      </c>
      <c r="AE234" s="506">
        <v>250574.94</v>
      </c>
      <c r="AF234" s="60" t="str">
        <f t="shared" si="41"/>
        <v>CLAUDIO MORYAMA</v>
      </c>
      <c r="AG234" s="60" t="str">
        <f t="shared" si="42"/>
        <v>OK</v>
      </c>
    </row>
    <row r="235" spans="1:33">
      <c r="A235" s="61" t="str">
        <f t="shared" si="36"/>
        <v>LONDRINA [ETAPA 03 - AREAS EXTERNAS G3 - G7]XVI3</v>
      </c>
      <c r="B235" s="263" t="s">
        <v>36</v>
      </c>
      <c r="C235" s="337" t="s">
        <v>522</v>
      </c>
      <c r="D235" s="73">
        <v>3</v>
      </c>
      <c r="E235" s="315">
        <v>257.75</v>
      </c>
      <c r="F235" s="166">
        <v>4664</v>
      </c>
      <c r="G235" s="74" t="s">
        <v>1271</v>
      </c>
      <c r="H235" s="40">
        <v>44046</v>
      </c>
      <c r="I235" s="35">
        <v>135915</v>
      </c>
      <c r="J235" s="35" t="str">
        <f>IFERROR(VLOOKUP(CONCATENATE(B235,C235,D235,),Inadimplencia!$A$6:$K$110,6,0),"ATIVO")</f>
        <v>ATIVO</v>
      </c>
      <c r="K235" s="35">
        <f t="shared" si="37"/>
        <v>121091.08</v>
      </c>
      <c r="L235" s="325">
        <f t="shared" si="38"/>
        <v>0.89093242099841818</v>
      </c>
      <c r="M235" s="423" t="str">
        <f t="shared" si="39"/>
        <v>ATIVO0</v>
      </c>
      <c r="N235" s="28"/>
      <c r="X235" s="203" t="str">
        <f t="shared" si="34"/>
        <v>LONDRINA [ETAPA 03 - AREAS EXTERNAS G3 - G7]ATIVO</v>
      </c>
      <c r="Y235" s="203" t="str">
        <f t="shared" si="35"/>
        <v>XVI3MATEUS REZENDE DE OLIVEIRA</v>
      </c>
      <c r="Z235" s="203" t="str">
        <f t="shared" si="40"/>
        <v>XVI3MATEUS REZENDE DE OLIVEIRA</v>
      </c>
      <c r="AA235" s="427" t="s">
        <v>522</v>
      </c>
      <c r="AB235" s="427">
        <v>3</v>
      </c>
      <c r="AC235" s="428" t="s">
        <v>1271</v>
      </c>
      <c r="AD235" s="505">
        <v>121091.08</v>
      </c>
      <c r="AE235" s="506">
        <v>151411.30000000002</v>
      </c>
      <c r="AF235" s="60" t="str">
        <f t="shared" si="41"/>
        <v>MATEUS REZENDE DE OLIVEIRA</v>
      </c>
      <c r="AG235" s="60" t="str">
        <f t="shared" si="42"/>
        <v>OK</v>
      </c>
    </row>
    <row r="236" spans="1:33">
      <c r="A236" s="61" t="str">
        <f t="shared" si="36"/>
        <v>LONDRINA [ETAPA 03 - AREAS EXTERNAS G3 - G7]XVI5</v>
      </c>
      <c r="B236" s="263" t="s">
        <v>36</v>
      </c>
      <c r="C236" s="337" t="s">
        <v>522</v>
      </c>
      <c r="D236" s="166">
        <v>5</v>
      </c>
      <c r="E236" s="197">
        <v>257.75</v>
      </c>
      <c r="F236" s="166">
        <v>6073</v>
      </c>
      <c r="G236" s="338" t="s">
        <v>105</v>
      </c>
      <c r="H236" s="40">
        <v>43103</v>
      </c>
      <c r="I236" s="35">
        <v>126203.3</v>
      </c>
      <c r="J236" s="35" t="str">
        <f>IFERROR(VLOOKUP(CONCATENATE(B236,C236,D236,),Inadimplencia!$A$6:$K$110,6,0),"ATIVO")</f>
        <v>ATIVO</v>
      </c>
      <c r="K236" s="35">
        <f t="shared" si="37"/>
        <v>100693.8</v>
      </c>
      <c r="L236" s="325">
        <f t="shared" si="38"/>
        <v>0.79786978628926497</v>
      </c>
      <c r="M236" s="423" t="str">
        <f t="shared" si="39"/>
        <v>ATIVO0</v>
      </c>
      <c r="N236" s="28"/>
      <c r="X236" s="203" t="str">
        <f t="shared" si="34"/>
        <v>LONDRINA [ETAPA 03 - AREAS EXTERNAS G3 - G7]ATIVO</v>
      </c>
      <c r="Y236" s="203" t="str">
        <f t="shared" si="35"/>
        <v>XVI5CESAR ALVES DE MACEDO</v>
      </c>
      <c r="Z236" s="203" t="str">
        <f t="shared" si="40"/>
        <v>XVI5CESAR ALVES DE MACEDO</v>
      </c>
      <c r="AA236" s="427" t="s">
        <v>522</v>
      </c>
      <c r="AB236" s="427">
        <v>5</v>
      </c>
      <c r="AC236" s="428" t="s">
        <v>105</v>
      </c>
      <c r="AD236" s="505">
        <v>100693.8</v>
      </c>
      <c r="AE236" s="506">
        <v>179894.11000000002</v>
      </c>
      <c r="AF236" s="60" t="str">
        <f t="shared" si="41"/>
        <v>CESAR ALVES DE MACEDO</v>
      </c>
      <c r="AG236" s="60" t="str">
        <f t="shared" si="42"/>
        <v>OK</v>
      </c>
    </row>
    <row r="237" spans="1:33">
      <c r="A237" s="61" t="str">
        <f t="shared" si="36"/>
        <v>LONDRINA [ETAPA 03 - AREAS EXTERNAS G3 - G7]XVI9</v>
      </c>
      <c r="B237" s="263" t="s">
        <v>36</v>
      </c>
      <c r="C237" s="337" t="s">
        <v>522</v>
      </c>
      <c r="D237" s="73">
        <v>9</v>
      </c>
      <c r="E237" s="315">
        <v>257.75</v>
      </c>
      <c r="F237" s="166">
        <v>6363</v>
      </c>
      <c r="G237" s="74" t="s">
        <v>628</v>
      </c>
      <c r="H237" s="40">
        <v>43230</v>
      </c>
      <c r="I237" s="35">
        <v>126203.3</v>
      </c>
      <c r="J237" s="35" t="str">
        <f>IFERROR(VLOOKUP(CONCATENATE(B237,C237,D237,),Inadimplencia!$A$6:$K$110,6,0),"ATIVO")</f>
        <v>ATIVO</v>
      </c>
      <c r="K237" s="35">
        <f t="shared" si="37"/>
        <v>120688.89</v>
      </c>
      <c r="L237" s="325">
        <f t="shared" si="38"/>
        <v>0.95630534225333252</v>
      </c>
      <c r="M237" s="423" t="str">
        <f t="shared" si="39"/>
        <v>ATIVO0</v>
      </c>
      <c r="N237" s="28"/>
      <c r="X237" s="203" t="str">
        <f t="shared" si="34"/>
        <v>LONDRINA [ETAPA 03 - AREAS EXTERNAS G3 - G7]ATIVO</v>
      </c>
      <c r="Y237" s="203" t="str">
        <f t="shared" si="35"/>
        <v>XVI9EDUARDO OLIVEIRA BONIFACIO</v>
      </c>
      <c r="Z237" s="203" t="str">
        <f t="shared" si="40"/>
        <v>XVI9EDUARDO OLIVEIRA BONIFACIO</v>
      </c>
      <c r="AA237" s="427" t="s">
        <v>522</v>
      </c>
      <c r="AB237" s="427">
        <v>9</v>
      </c>
      <c r="AC237" s="428" t="s">
        <v>628</v>
      </c>
      <c r="AD237" s="505">
        <v>120688.89</v>
      </c>
      <c r="AE237" s="506">
        <v>176717.45</v>
      </c>
      <c r="AF237" s="60" t="str">
        <f t="shared" si="41"/>
        <v>EDUARDO OLIVEIRA BONIFACIO</v>
      </c>
      <c r="AG237" s="60" t="str">
        <f t="shared" si="42"/>
        <v>OK</v>
      </c>
    </row>
    <row r="238" spans="1:33">
      <c r="A238" s="61" t="str">
        <f t="shared" si="36"/>
        <v>LONDRINA [ETAPA 03 - AREAS EXTERNAS G3 - G7]XVI10</v>
      </c>
      <c r="B238" s="263" t="s">
        <v>36</v>
      </c>
      <c r="C238" s="337" t="s">
        <v>522</v>
      </c>
      <c r="D238" s="166">
        <v>10</v>
      </c>
      <c r="E238" s="197">
        <v>257.75</v>
      </c>
      <c r="F238" s="166">
        <v>5078</v>
      </c>
      <c r="G238" s="338" t="s">
        <v>1130</v>
      </c>
      <c r="H238" s="40">
        <v>42389</v>
      </c>
      <c r="I238" s="35">
        <v>122999.05</v>
      </c>
      <c r="J238" s="35" t="str">
        <f>IFERROR(VLOOKUP(CONCATENATE(B238,C238,D238,),Inadimplencia!$A$6:$K$110,6,0),"ATIVO")</f>
        <v>INADIMPLENTE</v>
      </c>
      <c r="K238" s="35">
        <f t="shared" si="37"/>
        <v>129240.37000000001</v>
      </c>
      <c r="L238" s="325">
        <f t="shared" si="38"/>
        <v>1.0507428309405642</v>
      </c>
      <c r="M238" s="423" t="str">
        <f t="shared" si="39"/>
        <v>INADIMPLENTE1</v>
      </c>
      <c r="N238" s="28"/>
      <c r="X238" s="203" t="str">
        <f t="shared" si="34"/>
        <v>LONDRINA [ETAPA 03 - AREAS EXTERNAS G3 - G7]INADIMPLENTE</v>
      </c>
      <c r="Y238" s="203" t="str">
        <f t="shared" si="35"/>
        <v>XVI10C. PIRES EMPREENDIMENTOS IMOBILIARIOS LTDA</v>
      </c>
      <c r="Z238" s="203" t="str">
        <f t="shared" si="40"/>
        <v>XVI10C. PIRES EMPREENDIMENTOS IMOBILIARIOS LTDA</v>
      </c>
      <c r="AA238" s="427" t="s">
        <v>522</v>
      </c>
      <c r="AB238" s="427">
        <v>10</v>
      </c>
      <c r="AC238" s="428" t="s">
        <v>1130</v>
      </c>
      <c r="AD238" s="505">
        <v>129240.37000000001</v>
      </c>
      <c r="AE238" s="506">
        <v>219877.68</v>
      </c>
      <c r="AF238" s="60" t="str">
        <f t="shared" si="41"/>
        <v>C. PIRES EMPREENDIMENTOS IMOBILIARIOS LTDA</v>
      </c>
      <c r="AG238" s="60" t="str">
        <f t="shared" si="42"/>
        <v>OK</v>
      </c>
    </row>
    <row r="239" spans="1:33">
      <c r="A239" s="61" t="str">
        <f t="shared" si="36"/>
        <v>LONDRINA [ETAPA 03 - AREAS EXTERNAS G3 - G7]XVI11</v>
      </c>
      <c r="B239" s="263" t="s">
        <v>36</v>
      </c>
      <c r="C239" s="337" t="s">
        <v>522</v>
      </c>
      <c r="D239" s="73">
        <v>11</v>
      </c>
      <c r="E239" s="315">
        <v>257.75</v>
      </c>
      <c r="F239" s="166"/>
      <c r="G239" s="74" t="s">
        <v>934</v>
      </c>
      <c r="H239" s="40">
        <v>43514</v>
      </c>
      <c r="I239" s="35">
        <v>124729.26</v>
      </c>
      <c r="J239" s="35" t="str">
        <f>IFERROR(VLOOKUP(CONCATENATE(B239,C239,D239,),Inadimplencia!$A$6:$K$110,6,0),"ATIVO")</f>
        <v>ATIVO</v>
      </c>
      <c r="K239" s="35">
        <f t="shared" si="37"/>
        <v>20885.100000000002</v>
      </c>
      <c r="L239" s="325">
        <f t="shared" si="38"/>
        <v>0.16744346915872027</v>
      </c>
      <c r="M239" s="423" t="str">
        <f t="shared" si="39"/>
        <v>ATIVO0</v>
      </c>
      <c r="N239" s="28"/>
      <c r="X239" s="203" t="str">
        <f t="shared" si="34"/>
        <v>LONDRINA [ETAPA 03 - AREAS EXTERNAS G3 - G7]ATIVO</v>
      </c>
      <c r="Y239" s="203" t="str">
        <f t="shared" si="35"/>
        <v>XVI11SANVIG MONITORAMENTO E CONSERVACAO LTDA</v>
      </c>
      <c r="Z239" s="203" t="str">
        <f t="shared" si="40"/>
        <v>XVI11SANVIG MONITORAMENTO E CONSERVACAO LTDA</v>
      </c>
      <c r="AA239" s="427" t="s">
        <v>522</v>
      </c>
      <c r="AB239" s="427">
        <v>11</v>
      </c>
      <c r="AC239" s="428" t="s">
        <v>934</v>
      </c>
      <c r="AD239" s="505">
        <v>20885.100000000002</v>
      </c>
      <c r="AE239" s="506">
        <v>129929.98</v>
      </c>
      <c r="AF239" s="60" t="str">
        <f t="shared" si="41"/>
        <v>SANVIG MONITORAMENTO E CONSERVACAO LTDA</v>
      </c>
      <c r="AG239" s="60" t="str">
        <f t="shared" si="42"/>
        <v>OK</v>
      </c>
    </row>
    <row r="240" spans="1:33">
      <c r="A240" s="61" t="str">
        <f t="shared" si="36"/>
        <v>LONDRINA [ETAPA 03 - AREAS EXTERNAS G3 - G7]XVI12</v>
      </c>
      <c r="B240" s="263" t="s">
        <v>36</v>
      </c>
      <c r="C240" s="337" t="s">
        <v>522</v>
      </c>
      <c r="D240" s="166">
        <v>12</v>
      </c>
      <c r="E240" s="197">
        <v>257.75</v>
      </c>
      <c r="F240" s="166">
        <v>3964</v>
      </c>
      <c r="G240" s="338" t="s">
        <v>53</v>
      </c>
      <c r="H240" s="40">
        <v>41915</v>
      </c>
      <c r="I240" s="35">
        <v>89873.5</v>
      </c>
      <c r="J240" s="35" t="str">
        <f>IFERROR(VLOOKUP(CONCATENATE(B240,C240,D240,),Inadimplencia!$A$6:$K$110,6,0),"ATIVO")</f>
        <v>INADIMPLENTE</v>
      </c>
      <c r="K240" s="35">
        <f t="shared" si="37"/>
        <v>166099.53</v>
      </c>
      <c r="L240" s="325">
        <f t="shared" si="38"/>
        <v>1.8481480080335138</v>
      </c>
      <c r="M240" s="423" t="str">
        <f t="shared" si="39"/>
        <v>INADIMPLENTE1</v>
      </c>
      <c r="N240" s="28"/>
      <c r="X240" s="203" t="str">
        <f t="shared" si="34"/>
        <v>LONDRINA [ETAPA 03 - AREAS EXTERNAS G3 - G7]INADIMPLENTE</v>
      </c>
      <c r="Y240" s="203" t="str">
        <f t="shared" si="35"/>
        <v>XVI12ALESSANDRA BERBET</v>
      </c>
      <c r="Z240" s="203" t="str">
        <f t="shared" si="40"/>
        <v>XVI12ALESSANDRA BERBET</v>
      </c>
      <c r="AA240" s="427" t="s">
        <v>522</v>
      </c>
      <c r="AB240" s="427">
        <v>12</v>
      </c>
      <c r="AC240" s="428" t="s">
        <v>53</v>
      </c>
      <c r="AD240" s="505">
        <v>166099.53</v>
      </c>
      <c r="AE240" s="507">
        <v>179841.76</v>
      </c>
      <c r="AF240" s="60" t="str">
        <f t="shared" si="41"/>
        <v>ALESSANDRA BERBET</v>
      </c>
      <c r="AG240" s="60" t="str">
        <f t="shared" si="42"/>
        <v>OK</v>
      </c>
    </row>
    <row r="241" spans="1:33">
      <c r="A241" s="61" t="str">
        <f t="shared" si="36"/>
        <v>LONDRINA [ETAPA 03 - AREAS EXTERNAS G3 - G7]XVI13</v>
      </c>
      <c r="B241" s="263" t="s">
        <v>36</v>
      </c>
      <c r="C241" s="337" t="s">
        <v>522</v>
      </c>
      <c r="D241" s="73">
        <v>13</v>
      </c>
      <c r="E241" s="315">
        <v>257.75</v>
      </c>
      <c r="F241" s="166">
        <v>4125</v>
      </c>
      <c r="G241" s="74" t="s">
        <v>41</v>
      </c>
      <c r="H241" s="40">
        <v>41953</v>
      </c>
      <c r="I241" s="35">
        <v>99750.92</v>
      </c>
      <c r="J241" s="35" t="str">
        <f>IFERROR(VLOOKUP(CONCATENATE(B241,C241,D241,),Inadimplencia!$A$6:$K$110,6,0),"ATIVO")</f>
        <v>ATIVO</v>
      </c>
      <c r="K241" s="35">
        <f t="shared" si="37"/>
        <v>94846.39</v>
      </c>
      <c r="L241" s="325">
        <f t="shared" si="38"/>
        <v>0.95083223292577157</v>
      </c>
      <c r="M241" s="423" t="str">
        <f t="shared" si="39"/>
        <v>ATIVO0</v>
      </c>
      <c r="N241" s="28"/>
      <c r="X241" s="203" t="str">
        <f t="shared" si="34"/>
        <v>LONDRINA [ETAPA 03 - AREAS EXTERNAS G3 - G7]ATIVO</v>
      </c>
      <c r="Y241" s="203" t="str">
        <f t="shared" si="35"/>
        <v>XVI13ADILSON APARECIDO DOS SANTOS</v>
      </c>
      <c r="Z241" s="203" t="str">
        <f t="shared" si="40"/>
        <v>XVI13ADILSON APARECIDO DOS SANTOS</v>
      </c>
      <c r="AA241" s="427" t="s">
        <v>522</v>
      </c>
      <c r="AB241" s="427">
        <v>13</v>
      </c>
      <c r="AC241" s="428" t="s">
        <v>41</v>
      </c>
      <c r="AD241" s="505">
        <v>94846.39</v>
      </c>
      <c r="AE241" s="507">
        <v>166364.69</v>
      </c>
      <c r="AF241" s="60" t="str">
        <f t="shared" si="41"/>
        <v>ADILSON APARECIDO DOS SANTOS</v>
      </c>
      <c r="AG241" s="60" t="str">
        <f t="shared" si="42"/>
        <v>OK</v>
      </c>
    </row>
    <row r="242" spans="1:33">
      <c r="A242" s="61" t="str">
        <f t="shared" si="36"/>
        <v>LONDRINA [ETAPA 03 - AREAS EXTERNAS G3 - G7]XVI15</v>
      </c>
      <c r="B242" s="263" t="s">
        <v>36</v>
      </c>
      <c r="C242" s="337" t="s">
        <v>522</v>
      </c>
      <c r="D242" s="166">
        <v>15</v>
      </c>
      <c r="E242" s="197">
        <v>257.75</v>
      </c>
      <c r="F242" s="166">
        <v>4975</v>
      </c>
      <c r="G242" s="338" t="s">
        <v>1422</v>
      </c>
      <c r="H242" s="40">
        <v>44211</v>
      </c>
      <c r="I242" s="35">
        <v>159249.19</v>
      </c>
      <c r="J242" s="35" t="str">
        <f>IFERROR(VLOOKUP(CONCATENATE(B242,C242,D242,),Inadimplencia!$A$6:$K$110,6,0),"ATIVO")</f>
        <v>ATIVO</v>
      </c>
      <c r="K242" s="35">
        <f t="shared" si="37"/>
        <v>155062.26</v>
      </c>
      <c r="L242" s="325">
        <f t="shared" si="38"/>
        <v>0.97370831211135211</v>
      </c>
      <c r="M242" s="423" t="str">
        <f t="shared" si="39"/>
        <v>ATIVO0</v>
      </c>
      <c r="N242" s="28"/>
      <c r="X242" s="203" t="str">
        <f t="shared" si="34"/>
        <v>LONDRINA [ETAPA 03 - AREAS EXTERNAS G3 - G7]ATIVO</v>
      </c>
      <c r="Y242" s="203" t="str">
        <f t="shared" si="35"/>
        <v>XVI15MIKAELE DA COSTA MOURA</v>
      </c>
      <c r="Z242" s="203" t="str">
        <f t="shared" si="40"/>
        <v>XVI15MIKAELE DA COSTA MOURA</v>
      </c>
      <c r="AA242" s="427" t="s">
        <v>522</v>
      </c>
      <c r="AB242" s="427">
        <v>15</v>
      </c>
      <c r="AC242" s="428" t="s">
        <v>1422</v>
      </c>
      <c r="AD242" s="505">
        <v>155062.26</v>
      </c>
      <c r="AE242" s="506">
        <v>165853.32</v>
      </c>
      <c r="AF242" s="60" t="str">
        <f t="shared" si="41"/>
        <v>MIKAELE DA COSTA MOURA</v>
      </c>
      <c r="AG242" s="60" t="str">
        <f t="shared" si="42"/>
        <v>OK</v>
      </c>
    </row>
    <row r="243" spans="1:33">
      <c r="A243" s="61" t="str">
        <f t="shared" si="36"/>
        <v>LONDRINA [ETAPA 03 - AREAS EXTERNAS G3 - G7]XVI19</v>
      </c>
      <c r="B243" s="263" t="s">
        <v>36</v>
      </c>
      <c r="C243" s="337" t="s">
        <v>522</v>
      </c>
      <c r="D243" s="73">
        <v>19</v>
      </c>
      <c r="E243" s="315">
        <v>273.33999999999997</v>
      </c>
      <c r="F243" s="166">
        <v>4750</v>
      </c>
      <c r="G243" s="74" t="s">
        <v>248</v>
      </c>
      <c r="H243" s="40">
        <v>42125</v>
      </c>
      <c r="I243" s="35">
        <v>115999.4</v>
      </c>
      <c r="J243" s="35" t="str">
        <f>IFERROR(VLOOKUP(CONCATENATE(B243,C243,D243,),Inadimplencia!$A$6:$K$110,6,0),"ATIVO")</f>
        <v>INADIMPLENTE</v>
      </c>
      <c r="K243" s="35">
        <f t="shared" si="37"/>
        <v>114314.53</v>
      </c>
      <c r="L243" s="325">
        <f t="shared" si="38"/>
        <v>0.98547518349232843</v>
      </c>
      <c r="M243" s="423" t="str">
        <f t="shared" si="39"/>
        <v>INADIMPLENTE0</v>
      </c>
      <c r="N243" s="28"/>
      <c r="X243" s="203" t="str">
        <f t="shared" si="34"/>
        <v>LONDRINA [ETAPA 03 - AREAS EXTERNAS G3 - G7]INADIMPLENTE</v>
      </c>
      <c r="Y243" s="203" t="str">
        <f t="shared" si="35"/>
        <v>XVI19IZAURA MARIA CARELLI</v>
      </c>
      <c r="Z243" s="203" t="str">
        <f t="shared" si="40"/>
        <v>XVI19IZAURA MARIA CARELLI</v>
      </c>
      <c r="AA243" s="427" t="s">
        <v>522</v>
      </c>
      <c r="AB243" s="427">
        <v>19</v>
      </c>
      <c r="AC243" s="428" t="s">
        <v>248</v>
      </c>
      <c r="AD243" s="505">
        <v>114314.53</v>
      </c>
      <c r="AE243" s="506">
        <v>196091.65</v>
      </c>
      <c r="AF243" s="60" t="str">
        <f t="shared" si="41"/>
        <v>IZAURA MARIA CARELLI</v>
      </c>
      <c r="AG243" s="60" t="str">
        <f t="shared" si="42"/>
        <v>OK</v>
      </c>
    </row>
    <row r="244" spans="1:33">
      <c r="A244" s="61" t="str">
        <f t="shared" si="36"/>
        <v>LONDRINA [ETAPA 03 - AREAS EXTERNAS G3 - G7]XVI20</v>
      </c>
      <c r="B244" s="263" t="s">
        <v>36</v>
      </c>
      <c r="C244" s="337" t="s">
        <v>522</v>
      </c>
      <c r="D244" s="166">
        <v>20</v>
      </c>
      <c r="E244" s="197">
        <v>273.33999999999997</v>
      </c>
      <c r="F244" s="166">
        <v>5345</v>
      </c>
      <c r="G244" s="338" t="s">
        <v>139</v>
      </c>
      <c r="H244" s="40">
        <v>42698</v>
      </c>
      <c r="I244" s="35">
        <v>129142.05</v>
      </c>
      <c r="J244" s="35" t="str">
        <f>IFERROR(VLOOKUP(CONCATENATE(B244,C244,D244,),Inadimplencia!$A$6:$K$110,6,0),"ATIVO")</f>
        <v>ATIVO</v>
      </c>
      <c r="K244" s="35">
        <f t="shared" si="37"/>
        <v>120441.29000000001</v>
      </c>
      <c r="L244" s="325">
        <f t="shared" si="38"/>
        <v>0.93262643732231298</v>
      </c>
      <c r="M244" s="423" t="str">
        <f t="shared" si="39"/>
        <v>ATIVO0</v>
      </c>
      <c r="N244" s="28"/>
      <c r="X244" s="203" t="str">
        <f t="shared" si="34"/>
        <v>LONDRINA [ETAPA 03 - AREAS EXTERNAS G3 - G7]ATIVO</v>
      </c>
      <c r="Y244" s="203" t="str">
        <f t="shared" si="35"/>
        <v>XVI20DEMILTON SALES DOS SANTOS</v>
      </c>
      <c r="Z244" s="203" t="str">
        <f t="shared" si="40"/>
        <v>XVI20DEMILTON SALES DOS SANTOS</v>
      </c>
      <c r="AA244" s="427" t="s">
        <v>522</v>
      </c>
      <c r="AB244" s="427">
        <v>20</v>
      </c>
      <c r="AC244" s="428" t="s">
        <v>139</v>
      </c>
      <c r="AD244" s="505">
        <v>120441.29000000001</v>
      </c>
      <c r="AE244" s="506">
        <v>210381.12</v>
      </c>
      <c r="AF244" s="60" t="str">
        <f t="shared" si="41"/>
        <v>DEMILTON SALES DOS SANTOS</v>
      </c>
      <c r="AG244" s="60" t="str">
        <f t="shared" si="42"/>
        <v>OK</v>
      </c>
    </row>
    <row r="245" spans="1:33">
      <c r="A245" s="61" t="str">
        <f t="shared" si="36"/>
        <v>LONDRINA [ETAPA 03 - AREAS EXTERNAS G3 - G7]XVI21</v>
      </c>
      <c r="B245" s="263" t="s">
        <v>36</v>
      </c>
      <c r="C245" s="337" t="s">
        <v>522</v>
      </c>
      <c r="D245" s="73">
        <v>21</v>
      </c>
      <c r="E245" s="315">
        <v>273.33999999999997</v>
      </c>
      <c r="F245" s="166"/>
      <c r="G245" s="74" t="s">
        <v>981</v>
      </c>
      <c r="H245" s="40">
        <v>43626</v>
      </c>
      <c r="I245" s="35">
        <v>93060</v>
      </c>
      <c r="J245" s="35" t="str">
        <f>IFERROR(VLOOKUP(CONCATENATE(B245,C245,D245,),Inadimplencia!$A$6:$K$110,6,0),"ATIVO")</f>
        <v>ATIVO</v>
      </c>
      <c r="K245" s="35">
        <f t="shared" si="37"/>
        <v>84545.3</v>
      </c>
      <c r="L245" s="325">
        <f t="shared" si="38"/>
        <v>0.90850311626907376</v>
      </c>
      <c r="M245" s="423" t="str">
        <f t="shared" si="39"/>
        <v>ATIVO0</v>
      </c>
      <c r="N245" s="28"/>
      <c r="X245" s="203" t="str">
        <f t="shared" si="34"/>
        <v>LONDRINA [ETAPA 03 - AREAS EXTERNAS G3 - G7]ATIVO</v>
      </c>
      <c r="Y245" s="203" t="str">
        <f t="shared" si="35"/>
        <v>XVI21MARIA APARECIDA BATISTA FERREIRA</v>
      </c>
      <c r="Z245" s="203" t="str">
        <f t="shared" si="40"/>
        <v>XVI21MARIA APARECIDA BATISTA FERREIRA</v>
      </c>
      <c r="AA245" s="427" t="s">
        <v>522</v>
      </c>
      <c r="AB245" s="427">
        <v>21</v>
      </c>
      <c r="AC245" s="428" t="s">
        <v>981</v>
      </c>
      <c r="AD245" s="505">
        <v>84545.3</v>
      </c>
      <c r="AE245" s="506">
        <v>115031.63</v>
      </c>
      <c r="AF245" s="60" t="str">
        <f t="shared" si="41"/>
        <v>MARIA APARECIDA BATISTA FERREIRA</v>
      </c>
      <c r="AG245" s="60" t="str">
        <f t="shared" si="42"/>
        <v>OK</v>
      </c>
    </row>
    <row r="246" spans="1:33">
      <c r="A246" s="61" t="str">
        <f t="shared" si="36"/>
        <v>LONDRINA [ETAPA 03 - AREAS EXTERNAS G3 - G7]XVI22</v>
      </c>
      <c r="B246" s="263" t="s">
        <v>36</v>
      </c>
      <c r="C246" s="337" t="s">
        <v>522</v>
      </c>
      <c r="D246" s="166">
        <v>22</v>
      </c>
      <c r="E246" s="197">
        <v>273.33999999999997</v>
      </c>
      <c r="F246" s="166"/>
      <c r="G246" s="338" t="s">
        <v>1015</v>
      </c>
      <c r="H246" s="40">
        <v>43648</v>
      </c>
      <c r="I246" s="35">
        <v>93060</v>
      </c>
      <c r="J246" s="35" t="str">
        <f>IFERROR(VLOOKUP(CONCATENATE(B246,C246,D246,),Inadimplencia!$A$6:$K$110,6,0),"ATIVO")</f>
        <v>ATIVO</v>
      </c>
      <c r="K246" s="35">
        <f t="shared" si="37"/>
        <v>87060.28</v>
      </c>
      <c r="L246" s="325">
        <f t="shared" si="38"/>
        <v>0.93552847625188051</v>
      </c>
      <c r="M246" s="423" t="str">
        <f t="shared" si="39"/>
        <v>ATIVO0</v>
      </c>
      <c r="N246" s="28"/>
      <c r="X246" s="203" t="str">
        <f t="shared" si="34"/>
        <v>LONDRINA [ETAPA 03 - AREAS EXTERNAS G3 - G7]ATIVO</v>
      </c>
      <c r="Y246" s="203" t="str">
        <f t="shared" si="35"/>
        <v>XVI22RAFAEL DA COSTA BARROS</v>
      </c>
      <c r="Z246" s="203" t="str">
        <f t="shared" si="40"/>
        <v>XVI22RAFAEL DA COSTA BARROS</v>
      </c>
      <c r="AA246" s="427" t="s">
        <v>522</v>
      </c>
      <c r="AB246" s="427">
        <v>22</v>
      </c>
      <c r="AC246" s="428" t="s">
        <v>1015</v>
      </c>
      <c r="AD246" s="505">
        <v>87060.28</v>
      </c>
      <c r="AE246" s="506">
        <v>116579.5</v>
      </c>
      <c r="AF246" s="60" t="str">
        <f t="shared" si="41"/>
        <v>RAFAEL DA COSTA BARROS</v>
      </c>
      <c r="AG246" s="60" t="str">
        <f t="shared" si="42"/>
        <v>OK</v>
      </c>
    </row>
    <row r="247" spans="1:33">
      <c r="A247" s="61" t="str">
        <f t="shared" si="36"/>
        <v>LONDRINA [ETAPA 03 - AREAS EXTERNAS G3 - G7]XVI23</v>
      </c>
      <c r="B247" s="263" t="s">
        <v>36</v>
      </c>
      <c r="C247" s="337" t="s">
        <v>522</v>
      </c>
      <c r="D247" s="73">
        <v>23</v>
      </c>
      <c r="E247" s="315">
        <v>273.33999999999997</v>
      </c>
      <c r="F247" s="166"/>
      <c r="G247" s="74" t="s">
        <v>1036</v>
      </c>
      <c r="H247" s="40">
        <v>43662</v>
      </c>
      <c r="I247" s="35">
        <v>93060.42</v>
      </c>
      <c r="J247" s="35" t="str">
        <f>IFERROR(VLOOKUP(CONCATENATE(B247,C247,D247,),Inadimplencia!$A$6:$K$110,6,0),"ATIVO")</f>
        <v>ATIVO</v>
      </c>
      <c r="K247" s="35">
        <f t="shared" si="37"/>
        <v>94380.84</v>
      </c>
      <c r="L247" s="325">
        <f t="shared" si="38"/>
        <v>1.0141888463430533</v>
      </c>
      <c r="M247" s="423" t="str">
        <f t="shared" si="39"/>
        <v>ATIVO1</v>
      </c>
      <c r="N247" s="28"/>
      <c r="X247" s="203" t="str">
        <f t="shared" si="34"/>
        <v>LONDRINA [ETAPA 03 - AREAS EXTERNAS G3 - G7]ATIVO</v>
      </c>
      <c r="Y247" s="203" t="str">
        <f t="shared" si="35"/>
        <v>XVI23RITA DE CASSIA APARECIDA JARDIM</v>
      </c>
      <c r="Z247" s="203" t="str">
        <f t="shared" si="40"/>
        <v>XVI23RITA DE CASSIA APARECIDA JARDIM</v>
      </c>
      <c r="AA247" s="427" t="s">
        <v>522</v>
      </c>
      <c r="AB247" s="427">
        <v>23</v>
      </c>
      <c r="AC247" s="428" t="s">
        <v>1036</v>
      </c>
      <c r="AD247" s="505">
        <v>94380.84</v>
      </c>
      <c r="AE247" s="506">
        <v>118270.15000000001</v>
      </c>
      <c r="AF247" s="60" t="str">
        <f t="shared" si="41"/>
        <v>RITA DE CASSIA APARECIDA JARDIM</v>
      </c>
      <c r="AG247" s="60" t="str">
        <f t="shared" si="42"/>
        <v>OK</v>
      </c>
    </row>
    <row r="248" spans="1:33">
      <c r="A248" s="61" t="str">
        <f t="shared" si="36"/>
        <v>LONDRINA [ETAPA 03 - AREAS EXTERNAS G3 - G7]XVI24</v>
      </c>
      <c r="B248" s="263" t="s">
        <v>36</v>
      </c>
      <c r="C248" s="337" t="s">
        <v>522</v>
      </c>
      <c r="D248" s="166">
        <v>24</v>
      </c>
      <c r="E248" s="197">
        <v>273.33999999999997</v>
      </c>
      <c r="F248" s="166">
        <v>3734</v>
      </c>
      <c r="G248" s="338" t="s">
        <v>1124</v>
      </c>
      <c r="H248" s="40">
        <v>43850</v>
      </c>
      <c r="I248" s="35">
        <v>93060</v>
      </c>
      <c r="J248" s="35" t="str">
        <f>IFERROR(VLOOKUP(CONCATENATE(B248,C248,D248,),Inadimplencia!$A$6:$K$110,6,0),"ATIVO")</f>
        <v>ATIVO</v>
      </c>
      <c r="K248" s="35">
        <f t="shared" si="37"/>
        <v>78568.5</v>
      </c>
      <c r="L248" s="325">
        <f t="shared" si="38"/>
        <v>0.84427788523533209</v>
      </c>
      <c r="M248" s="423" t="str">
        <f t="shared" si="39"/>
        <v>ATIVO0</v>
      </c>
      <c r="N248" s="28"/>
      <c r="X248" s="203" t="str">
        <f t="shared" si="34"/>
        <v>LONDRINA [ETAPA 03 - AREAS EXTERNAS G3 - G7]ATIVO</v>
      </c>
      <c r="Y248" s="203" t="str">
        <f t="shared" si="35"/>
        <v>XVI24GABRIEL FERNANDO CONSTANTINO</v>
      </c>
      <c r="Z248" s="203" t="str">
        <f t="shared" si="40"/>
        <v>XVI24GABRIEL FERNANDO CONSTANTINO</v>
      </c>
      <c r="AA248" s="427" t="s">
        <v>522</v>
      </c>
      <c r="AB248" s="427">
        <v>24</v>
      </c>
      <c r="AC248" s="428" t="s">
        <v>1124</v>
      </c>
      <c r="AD248" s="505">
        <v>78568.5</v>
      </c>
      <c r="AE248" s="506">
        <v>109696.16</v>
      </c>
      <c r="AF248" s="60" t="str">
        <f t="shared" si="41"/>
        <v>GABRIEL FERNANDO CONSTANTINO</v>
      </c>
      <c r="AG248" s="60" t="str">
        <f t="shared" si="42"/>
        <v>OK</v>
      </c>
    </row>
    <row r="249" spans="1:33">
      <c r="A249" s="61" t="str">
        <f t="shared" si="36"/>
        <v>LONDRINA [ETAPA 03 - AREAS EXTERNAS G3 - G7]XVI27</v>
      </c>
      <c r="B249" s="263" t="s">
        <v>36</v>
      </c>
      <c r="C249" s="337" t="s">
        <v>522</v>
      </c>
      <c r="D249" s="73">
        <v>27</v>
      </c>
      <c r="E249" s="315">
        <v>273.33999999999997</v>
      </c>
      <c r="F249" s="166"/>
      <c r="G249" s="74" t="s">
        <v>1050</v>
      </c>
      <c r="H249" s="40">
        <v>43696</v>
      </c>
      <c r="I249" s="35">
        <v>93060</v>
      </c>
      <c r="J249" s="35" t="str">
        <f>IFERROR(VLOOKUP(CONCATENATE(B249,C249,D249,),Inadimplencia!$A$6:$K$110,6,0),"ATIVO")</f>
        <v>ATIVO</v>
      </c>
      <c r="K249" s="35">
        <f t="shared" si="37"/>
        <v>82488.150000000009</v>
      </c>
      <c r="L249" s="325">
        <f t="shared" si="38"/>
        <v>0.88639748549323027</v>
      </c>
      <c r="M249" s="423" t="str">
        <f t="shared" si="39"/>
        <v>ATIVO0</v>
      </c>
      <c r="N249" s="28"/>
      <c r="X249" s="203" t="str">
        <f t="shared" si="34"/>
        <v>LONDRINA [ETAPA 03 - AREAS EXTERNAS G3 - G7]ATIVO</v>
      </c>
      <c r="Y249" s="203" t="str">
        <f t="shared" si="35"/>
        <v>XVI27CLAUDIONOR HENRIQUE DA SILVA</v>
      </c>
      <c r="Z249" s="203" t="str">
        <f t="shared" si="40"/>
        <v>XVI27CLAUDIONOR HENRIQUE DA SILVA</v>
      </c>
      <c r="AA249" s="427" t="s">
        <v>522</v>
      </c>
      <c r="AB249" s="427">
        <v>27</v>
      </c>
      <c r="AC249" s="428" t="s">
        <v>1050</v>
      </c>
      <c r="AD249" s="505">
        <v>82488.150000000009</v>
      </c>
      <c r="AE249" s="506">
        <v>116127.28</v>
      </c>
      <c r="AF249" s="60" t="str">
        <f t="shared" si="41"/>
        <v>CLAUDIONOR HENRIQUE DA SILVA</v>
      </c>
      <c r="AG249" s="60" t="str">
        <f t="shared" si="42"/>
        <v>OK</v>
      </c>
    </row>
    <row r="250" spans="1:33">
      <c r="A250" s="61" t="str">
        <f t="shared" si="36"/>
        <v>LONDRINA [ETAPA 03 - CONDOMINIO ARANGUA]XL5</v>
      </c>
      <c r="B250" s="263" t="s">
        <v>33</v>
      </c>
      <c r="C250" s="337" t="s">
        <v>523</v>
      </c>
      <c r="D250" s="166">
        <v>5</v>
      </c>
      <c r="E250" s="197">
        <v>272.07</v>
      </c>
      <c r="F250" s="166">
        <v>6218</v>
      </c>
      <c r="G250" s="338" t="s">
        <v>1354</v>
      </c>
      <c r="H250" s="40">
        <v>43150</v>
      </c>
      <c r="I250" s="35">
        <v>135360</v>
      </c>
      <c r="J250" s="35" t="str">
        <f>IFERROR(VLOOKUP(CONCATENATE(B250,C250,D250,),Inadimplencia!$A$6:$K$110,6,0),"ATIVO")</f>
        <v>ATIVO</v>
      </c>
      <c r="K250" s="35">
        <f t="shared" si="37"/>
        <v>31526.15</v>
      </c>
      <c r="L250" s="325">
        <f t="shared" si="38"/>
        <v>0.23290595449172577</v>
      </c>
      <c r="M250" s="423" t="str">
        <f t="shared" si="39"/>
        <v>ATIVO0</v>
      </c>
      <c r="N250" s="28"/>
      <c r="X250" s="203" t="str">
        <f t="shared" si="34"/>
        <v>LONDRINA [ETAPA 03 - CONDOMINIO ARANGUA]ATIVO</v>
      </c>
      <c r="Y250" s="203" t="str">
        <f t="shared" si="35"/>
        <v>XL5GLAUBER LOPES ARAUJO</v>
      </c>
      <c r="Z250" s="203" t="str">
        <f t="shared" si="40"/>
        <v>XL5GLAUBER LOPES ARAUJO</v>
      </c>
      <c r="AA250" s="427" t="s">
        <v>523</v>
      </c>
      <c r="AB250" s="427">
        <v>5</v>
      </c>
      <c r="AC250" s="428" t="s">
        <v>1354</v>
      </c>
      <c r="AD250" s="505">
        <v>31526.15</v>
      </c>
      <c r="AE250" s="506">
        <v>166301.64000000001</v>
      </c>
      <c r="AF250" s="60" t="str">
        <f t="shared" si="41"/>
        <v>GLAUBER LOPES ARAUJO</v>
      </c>
      <c r="AG250" s="60" t="str">
        <f t="shared" si="42"/>
        <v>OK</v>
      </c>
    </row>
    <row r="251" spans="1:33">
      <c r="A251" s="61" t="str">
        <f t="shared" si="36"/>
        <v>LONDRINA [ETAPA 03 - CONDOMINIO ARANGUA]XL7</v>
      </c>
      <c r="B251" s="263" t="s">
        <v>33</v>
      </c>
      <c r="C251" s="337" t="s">
        <v>523</v>
      </c>
      <c r="D251" s="73">
        <v>7</v>
      </c>
      <c r="E251" s="315">
        <v>287.39999999999998</v>
      </c>
      <c r="F251" s="166">
        <v>5179</v>
      </c>
      <c r="G251" s="74" t="s">
        <v>430</v>
      </c>
      <c r="H251" s="40">
        <v>42461</v>
      </c>
      <c r="I251" s="35">
        <v>160900.5</v>
      </c>
      <c r="J251" s="35" t="str">
        <f>IFERROR(VLOOKUP(CONCATENATE(B251,C251,D251,),Inadimplencia!$A$6:$K$110,6,0),"ATIVO")</f>
        <v>INADIMPLENTE</v>
      </c>
      <c r="K251" s="35">
        <f t="shared" si="37"/>
        <v>189708.36000000002</v>
      </c>
      <c r="L251" s="325">
        <f t="shared" si="38"/>
        <v>1.179041457298144</v>
      </c>
      <c r="M251" s="423" t="str">
        <f t="shared" si="39"/>
        <v>INADIMPLENTE1</v>
      </c>
      <c r="N251" s="28"/>
      <c r="X251" s="203" t="str">
        <f t="shared" si="34"/>
        <v>LONDRINA [ETAPA 03 - CONDOMINIO ARANGUA]INADIMPLENTE</v>
      </c>
      <c r="Y251" s="203" t="str">
        <f t="shared" si="35"/>
        <v>XL7SANDRA KAAFA SOUTELLO</v>
      </c>
      <c r="Z251" s="203" t="str">
        <f t="shared" si="40"/>
        <v>XL7SANDRA KAAFA SOUTELLO</v>
      </c>
      <c r="AA251" s="427" t="s">
        <v>523</v>
      </c>
      <c r="AB251" s="427">
        <v>7</v>
      </c>
      <c r="AC251" s="428" t="s">
        <v>430</v>
      </c>
      <c r="AD251" s="505">
        <v>189708.36000000002</v>
      </c>
      <c r="AE251" s="506">
        <v>280723.21000000002</v>
      </c>
      <c r="AF251" s="60" t="str">
        <f t="shared" si="41"/>
        <v>SANDRA KAAFA SOUTELLO</v>
      </c>
      <c r="AG251" s="60" t="str">
        <f t="shared" si="42"/>
        <v>OK</v>
      </c>
    </row>
    <row r="252" spans="1:33">
      <c r="A252" s="61" t="str">
        <f t="shared" si="36"/>
        <v>LONDRINA [ETAPA 03 - CONDOMINIO ARANGUA]XL8</v>
      </c>
      <c r="B252" s="263" t="s">
        <v>33</v>
      </c>
      <c r="C252" s="337" t="s">
        <v>523</v>
      </c>
      <c r="D252" s="166">
        <v>8</v>
      </c>
      <c r="E252" s="197">
        <v>287.39999999999998</v>
      </c>
      <c r="F252" s="166">
        <v>4870</v>
      </c>
      <c r="G252" s="338" t="s">
        <v>1373</v>
      </c>
      <c r="H252" s="40">
        <v>44155</v>
      </c>
      <c r="I252" s="35">
        <v>168260.04</v>
      </c>
      <c r="J252" s="35" t="str">
        <f>IFERROR(VLOOKUP(CONCATENATE(B252,C252,D252,),Inadimplencia!$A$6:$K$110,6,0),"ATIVO")</f>
        <v>ATIVO</v>
      </c>
      <c r="K252" s="35">
        <f t="shared" si="37"/>
        <v>142984</v>
      </c>
      <c r="L252" s="325">
        <f t="shared" si="38"/>
        <v>0.84977990020684646</v>
      </c>
      <c r="M252" s="423" t="str">
        <f t="shared" si="39"/>
        <v>ATIVO0</v>
      </c>
      <c r="N252" s="28"/>
      <c r="X252" s="203" t="str">
        <f t="shared" si="34"/>
        <v>LONDRINA [ETAPA 03 - CONDOMINIO ARANGUA]ATIVO</v>
      </c>
      <c r="Y252" s="203" t="str">
        <f t="shared" si="35"/>
        <v>XL8M &amp; R MADEIRAS LTDA - ME</v>
      </c>
      <c r="Z252" s="203" t="str">
        <f t="shared" si="40"/>
        <v>XL8M &amp; R MADEIRAS LTDA - ME</v>
      </c>
      <c r="AA252" s="427" t="s">
        <v>523</v>
      </c>
      <c r="AB252" s="427">
        <v>8</v>
      </c>
      <c r="AC252" s="428" t="s">
        <v>1373</v>
      </c>
      <c r="AD252" s="505">
        <v>142984</v>
      </c>
      <c r="AE252" s="506">
        <v>173357.59</v>
      </c>
      <c r="AF252" s="60" t="str">
        <f t="shared" si="41"/>
        <v>M &amp; R MADEIRAS LTDA - ME</v>
      </c>
      <c r="AG252" s="60" t="str">
        <f t="shared" si="42"/>
        <v>OK</v>
      </c>
    </row>
    <row r="253" spans="1:33">
      <c r="A253" s="61" t="str">
        <f t="shared" si="36"/>
        <v>LONDRINA [ETAPA 03 - CONDOMINIO ARANGUA]XL9</v>
      </c>
      <c r="B253" s="263" t="s">
        <v>33</v>
      </c>
      <c r="C253" s="337" t="s">
        <v>523</v>
      </c>
      <c r="D253" s="73">
        <v>9</v>
      </c>
      <c r="E253" s="315">
        <v>287.39999999999998</v>
      </c>
      <c r="F253" s="166">
        <v>4103</v>
      </c>
      <c r="G253" s="74" t="s">
        <v>70</v>
      </c>
      <c r="H253" s="40">
        <v>41944</v>
      </c>
      <c r="I253" s="35">
        <v>143077.37</v>
      </c>
      <c r="J253" s="35" t="str">
        <f>IFERROR(VLOOKUP(CONCATENATE(B253,C253,D253,),Inadimplencia!$A$6:$K$110,6,0),"ATIVO")</f>
        <v>INADIMPLENTE</v>
      </c>
      <c r="K253" s="35">
        <f t="shared" si="37"/>
        <v>284248.13</v>
      </c>
      <c r="L253" s="325">
        <f t="shared" si="38"/>
        <v>1.9866742728077824</v>
      </c>
      <c r="M253" s="423" t="str">
        <f t="shared" si="39"/>
        <v>INADIMPLENTE1</v>
      </c>
      <c r="N253" s="28"/>
      <c r="X253" s="203" t="str">
        <f t="shared" si="34"/>
        <v>LONDRINA [ETAPA 03 - CONDOMINIO ARANGUA]INADIMPLENTE</v>
      </c>
      <c r="Y253" s="203" t="str">
        <f t="shared" si="35"/>
        <v>XL9ANDRE BOBROFF CANAVEZI</v>
      </c>
      <c r="Z253" s="203" t="str">
        <f t="shared" si="40"/>
        <v>XL9ANDRE BOBROFF CANAVEZI</v>
      </c>
      <c r="AA253" s="427" t="s">
        <v>523</v>
      </c>
      <c r="AB253" s="427">
        <v>9</v>
      </c>
      <c r="AC253" s="428" t="s">
        <v>70</v>
      </c>
      <c r="AD253" s="505">
        <v>284248.13</v>
      </c>
      <c r="AE253" s="506">
        <v>316934.56</v>
      </c>
      <c r="AF253" s="60" t="str">
        <f t="shared" si="41"/>
        <v>ANDRE BOBROFF CANAVEZI</v>
      </c>
      <c r="AG253" s="60" t="str">
        <f t="shared" si="42"/>
        <v>OK</v>
      </c>
    </row>
    <row r="254" spans="1:33">
      <c r="A254" s="61" t="str">
        <f t="shared" si="36"/>
        <v>LONDRINA [ETAPA 03 - CONDOMINIO ARANGUA]XL10</v>
      </c>
      <c r="B254" s="263" t="s">
        <v>33</v>
      </c>
      <c r="C254" s="337" t="s">
        <v>523</v>
      </c>
      <c r="D254" s="166">
        <v>10</v>
      </c>
      <c r="E254" s="197">
        <v>287.39999999999998</v>
      </c>
      <c r="F254" s="166">
        <v>3927</v>
      </c>
      <c r="G254" s="338" t="s">
        <v>70</v>
      </c>
      <c r="H254" s="40">
        <v>41913</v>
      </c>
      <c r="I254" s="35">
        <v>128912.47</v>
      </c>
      <c r="J254" s="35" t="str">
        <f>IFERROR(VLOOKUP(CONCATENATE(B254,C254,D254,),Inadimplencia!$A$6:$K$110,6,0),"ATIVO")</f>
        <v>INADIMPLENTE</v>
      </c>
      <c r="K254" s="35">
        <f t="shared" si="37"/>
        <v>282202.22000000003</v>
      </c>
      <c r="L254" s="325">
        <f t="shared" si="38"/>
        <v>2.1890994719129968</v>
      </c>
      <c r="M254" s="423" t="str">
        <f t="shared" si="39"/>
        <v>INADIMPLENTE1</v>
      </c>
      <c r="N254" s="28"/>
      <c r="X254" s="203" t="str">
        <f t="shared" si="34"/>
        <v>LONDRINA [ETAPA 03 - CONDOMINIO ARANGUA]INADIMPLENTE</v>
      </c>
      <c r="Y254" s="203" t="str">
        <f t="shared" si="35"/>
        <v>XL10ANDRE BOBROFF CANAVEZI</v>
      </c>
      <c r="Z254" s="203" t="str">
        <f t="shared" si="40"/>
        <v>XL10ANDRE BOBROFF CANAVEZI</v>
      </c>
      <c r="AA254" s="427" t="s">
        <v>523</v>
      </c>
      <c r="AB254" s="427">
        <v>10</v>
      </c>
      <c r="AC254" s="428" t="s">
        <v>70</v>
      </c>
      <c r="AD254" s="505">
        <v>282202.22000000003</v>
      </c>
      <c r="AE254" s="506">
        <v>303388.75</v>
      </c>
      <c r="AF254" s="60" t="str">
        <f t="shared" si="41"/>
        <v>ANDRE BOBROFF CANAVEZI</v>
      </c>
      <c r="AG254" s="60" t="str">
        <f t="shared" si="42"/>
        <v>OK</v>
      </c>
    </row>
    <row r="255" spans="1:33">
      <c r="A255" s="61" t="str">
        <f t="shared" si="36"/>
        <v>LONDRINA [ETAPA 03 - CONDOMINIO ARANGUA]XL11</v>
      </c>
      <c r="B255" s="263" t="s">
        <v>33</v>
      </c>
      <c r="C255" s="337" t="s">
        <v>523</v>
      </c>
      <c r="D255" s="73">
        <v>11</v>
      </c>
      <c r="E255" s="315">
        <v>287.39999999999998</v>
      </c>
      <c r="F255" s="166">
        <v>4102</v>
      </c>
      <c r="G255" s="74" t="s">
        <v>70</v>
      </c>
      <c r="H255" s="40">
        <v>41944</v>
      </c>
      <c r="I255" s="35">
        <v>143077.37</v>
      </c>
      <c r="J255" s="35" t="str">
        <f>IFERROR(VLOOKUP(CONCATENATE(B255,C255,D255,),Inadimplencia!$A$6:$K$110,6,0),"ATIVO")</f>
        <v>INADIMPLENTE</v>
      </c>
      <c r="K255" s="35">
        <f t="shared" si="37"/>
        <v>284247.93</v>
      </c>
      <c r="L255" s="325">
        <f t="shared" si="38"/>
        <v>1.9866728749626863</v>
      </c>
      <c r="M255" s="423" t="str">
        <f t="shared" si="39"/>
        <v>INADIMPLENTE1</v>
      </c>
      <c r="N255" s="28"/>
      <c r="X255" s="203" t="str">
        <f t="shared" si="34"/>
        <v>LONDRINA [ETAPA 03 - CONDOMINIO ARANGUA]INADIMPLENTE</v>
      </c>
      <c r="Y255" s="203" t="str">
        <f t="shared" si="35"/>
        <v>XL11ANDRE BOBROFF CANAVEZI</v>
      </c>
      <c r="Z255" s="203" t="str">
        <f t="shared" si="40"/>
        <v>XL11ANDRE BOBROFF CANAVEZI</v>
      </c>
      <c r="AA255" s="427" t="s">
        <v>523</v>
      </c>
      <c r="AB255" s="427">
        <v>11</v>
      </c>
      <c r="AC255" s="428" t="s">
        <v>70</v>
      </c>
      <c r="AD255" s="505">
        <v>284247.93</v>
      </c>
      <c r="AE255" s="506">
        <v>316934.36</v>
      </c>
      <c r="AF255" s="60" t="str">
        <f t="shared" si="41"/>
        <v>ANDRE BOBROFF CANAVEZI</v>
      </c>
      <c r="AG255" s="60" t="str">
        <f t="shared" si="42"/>
        <v>OK</v>
      </c>
    </row>
    <row r="256" spans="1:33">
      <c r="A256" s="61" t="str">
        <f t="shared" si="36"/>
        <v>LONDRINA [ETAPA 03 - CONDOMINIO ARANGUA]XL12</v>
      </c>
      <c r="B256" s="263" t="s">
        <v>33</v>
      </c>
      <c r="C256" s="337" t="s">
        <v>523</v>
      </c>
      <c r="D256" s="166">
        <v>12</v>
      </c>
      <c r="E256" s="197">
        <v>287.39999999999998</v>
      </c>
      <c r="F256" s="166">
        <v>3800</v>
      </c>
      <c r="G256" s="338" t="s">
        <v>1150</v>
      </c>
      <c r="H256" s="40">
        <v>43892</v>
      </c>
      <c r="I256" s="35">
        <v>162093.6</v>
      </c>
      <c r="J256" s="35" t="str">
        <f>IFERROR(VLOOKUP(CONCATENATE(B256,C256,D256,),Inadimplencia!$A$6:$K$110,6,0),"ATIVO")</f>
        <v>ATIVO</v>
      </c>
      <c r="K256" s="35">
        <f t="shared" si="37"/>
        <v>155380.16</v>
      </c>
      <c r="L256" s="325">
        <f t="shared" si="38"/>
        <v>0.95858294220129603</v>
      </c>
      <c r="M256" s="423" t="str">
        <f t="shared" si="39"/>
        <v>ATIVO0</v>
      </c>
      <c r="N256" s="28"/>
      <c r="X256" s="203" t="str">
        <f t="shared" si="34"/>
        <v>LONDRINA [ETAPA 03 - CONDOMINIO ARANGUA]ATIVO</v>
      </c>
      <c r="Y256" s="203" t="str">
        <f t="shared" si="35"/>
        <v>XL12DIEGO RODRIGUES VIEIRA</v>
      </c>
      <c r="Z256" s="203" t="str">
        <f t="shared" si="40"/>
        <v>XL12DIEGO RODRIGUES VIEIRA</v>
      </c>
      <c r="AA256" s="427" t="s">
        <v>523</v>
      </c>
      <c r="AB256" s="427">
        <v>12</v>
      </c>
      <c r="AC256" s="428" t="s">
        <v>1150</v>
      </c>
      <c r="AD256" s="505">
        <v>155380.16</v>
      </c>
      <c r="AE256" s="506">
        <v>189219.14</v>
      </c>
      <c r="AF256" s="60" t="str">
        <f t="shared" si="41"/>
        <v>DIEGO RODRIGUES VIEIRA</v>
      </c>
      <c r="AG256" s="60" t="str">
        <f t="shared" si="42"/>
        <v>OK</v>
      </c>
    </row>
    <row r="257" spans="1:33">
      <c r="A257" s="61" t="str">
        <f t="shared" si="36"/>
        <v>LONDRINA [ETAPA 03 - CONDOMINIO ARANGUA]XL13</v>
      </c>
      <c r="B257" s="263" t="s">
        <v>33</v>
      </c>
      <c r="C257" s="337" t="s">
        <v>523</v>
      </c>
      <c r="D257" s="73">
        <v>13</v>
      </c>
      <c r="E257" s="315">
        <v>283.56</v>
      </c>
      <c r="F257" s="166">
        <v>4116</v>
      </c>
      <c r="G257" s="74" t="s">
        <v>202</v>
      </c>
      <c r="H257" s="40">
        <v>41953</v>
      </c>
      <c r="I257" s="35">
        <v>141221.4</v>
      </c>
      <c r="J257" s="35" t="str">
        <f>IFERROR(VLOOKUP(CONCATENATE(B257,C257,D257,),Inadimplencia!$A$6:$K$110,6,0),"ATIVO")</f>
        <v>ATIVO</v>
      </c>
      <c r="K257" s="35">
        <f t="shared" si="37"/>
        <v>110735.8</v>
      </c>
      <c r="L257" s="325">
        <f t="shared" si="38"/>
        <v>0.78412903426817759</v>
      </c>
      <c r="M257" s="423" t="str">
        <f t="shared" si="39"/>
        <v>ATIVO0</v>
      </c>
      <c r="N257" s="28"/>
      <c r="X257" s="203" t="str">
        <f t="shared" si="34"/>
        <v>LONDRINA [ETAPA 03 - CONDOMINIO ARANGUA]ATIVO</v>
      </c>
      <c r="Y257" s="203" t="str">
        <f t="shared" si="35"/>
        <v>XL13FABIO ANTUNES PEREIRA</v>
      </c>
      <c r="Z257" s="203" t="str">
        <f t="shared" si="40"/>
        <v>XL13FABIO ANTUNES PEREIRA</v>
      </c>
      <c r="AA257" s="427" t="s">
        <v>523</v>
      </c>
      <c r="AB257" s="427">
        <v>13</v>
      </c>
      <c r="AC257" s="428" t="s">
        <v>202</v>
      </c>
      <c r="AD257" s="505">
        <v>110735.8</v>
      </c>
      <c r="AE257" s="506">
        <v>219209.96</v>
      </c>
      <c r="AF257" s="60" t="str">
        <f t="shared" si="41"/>
        <v>FABIO ANTUNES PEREIRA</v>
      </c>
      <c r="AG257" s="60" t="str">
        <f t="shared" si="42"/>
        <v>OK</v>
      </c>
    </row>
    <row r="258" spans="1:33">
      <c r="A258" s="61" t="str">
        <f t="shared" si="36"/>
        <v>LONDRINA [ETAPA 03 - CONDOMINIO ARANGUA]XL15</v>
      </c>
      <c r="B258" s="263" t="s">
        <v>33</v>
      </c>
      <c r="C258" s="337" t="s">
        <v>523</v>
      </c>
      <c r="D258" s="166">
        <v>15</v>
      </c>
      <c r="E258" s="197">
        <v>287.39999999999998</v>
      </c>
      <c r="F258" s="166">
        <v>5752</v>
      </c>
      <c r="G258" s="338" t="s">
        <v>46</v>
      </c>
      <c r="H258" s="40">
        <v>42921</v>
      </c>
      <c r="I258" s="35">
        <v>167628.32</v>
      </c>
      <c r="J258" s="35" t="str">
        <f>IFERROR(VLOOKUP(CONCATENATE(B258,C258,D258,),Inadimplencia!$A$6:$K$110,6,0),"ATIVO")</f>
        <v>ATIVO</v>
      </c>
      <c r="K258" s="35">
        <f t="shared" si="37"/>
        <v>91105.64</v>
      </c>
      <c r="L258" s="325">
        <f t="shared" si="38"/>
        <v>0.54349790059340808</v>
      </c>
      <c r="M258" s="423" t="str">
        <f t="shared" si="39"/>
        <v>ATIVO0</v>
      </c>
      <c r="N258" s="28"/>
      <c r="X258" s="203" t="str">
        <f t="shared" si="34"/>
        <v>LONDRINA [ETAPA 03 - CONDOMINIO ARANGUA]ATIVO</v>
      </c>
      <c r="Y258" s="203" t="str">
        <f t="shared" si="35"/>
        <v>XL15ADRIANO SEPE</v>
      </c>
      <c r="Z258" s="203" t="str">
        <f t="shared" si="40"/>
        <v>XL15ADRIANO SEPE</v>
      </c>
      <c r="AA258" s="427" t="s">
        <v>523</v>
      </c>
      <c r="AB258" s="427">
        <v>15</v>
      </c>
      <c r="AC258" s="428" t="s">
        <v>46</v>
      </c>
      <c r="AD258" s="505">
        <v>91105.64</v>
      </c>
      <c r="AE258" s="506">
        <v>219426.46</v>
      </c>
      <c r="AF258" s="60" t="str">
        <f t="shared" si="41"/>
        <v>ADRIANO SEPE</v>
      </c>
      <c r="AG258" s="60" t="str">
        <f t="shared" si="42"/>
        <v>OK</v>
      </c>
    </row>
    <row r="259" spans="1:33">
      <c r="A259" s="61" t="str">
        <f t="shared" si="36"/>
        <v>LONDRINA [ETAPA 03 - CONDOMINIO ARANGUA]XL18</v>
      </c>
      <c r="B259" s="263" t="s">
        <v>33</v>
      </c>
      <c r="C259" s="337" t="s">
        <v>523</v>
      </c>
      <c r="D259" s="73">
        <v>18</v>
      </c>
      <c r="E259" s="315">
        <v>256.19</v>
      </c>
      <c r="F259" s="166">
        <v>4566</v>
      </c>
      <c r="G259" s="74" t="s">
        <v>1240</v>
      </c>
      <c r="H259" s="40">
        <v>44034</v>
      </c>
      <c r="I259" s="35">
        <v>135970.6</v>
      </c>
      <c r="J259" s="35" t="str">
        <f>IFERROR(VLOOKUP(CONCATENATE(B259,C259,D259,),Inadimplencia!$A$6:$K$110,6,0),"ATIVO")</f>
        <v>ATIVO</v>
      </c>
      <c r="K259" s="35">
        <f t="shared" si="37"/>
        <v>123701.57</v>
      </c>
      <c r="L259" s="325">
        <f t="shared" si="38"/>
        <v>0.90976703787436408</v>
      </c>
      <c r="M259" s="423" t="str">
        <f t="shared" si="39"/>
        <v>ATIVO0</v>
      </c>
      <c r="N259" s="28"/>
      <c r="X259" s="203" t="str">
        <f t="shared" si="34"/>
        <v>LONDRINA [ETAPA 03 - CONDOMINIO ARANGUA]ATIVO</v>
      </c>
      <c r="Y259" s="203" t="str">
        <f t="shared" si="35"/>
        <v>XL18LEANDRO LINO DA SILVA</v>
      </c>
      <c r="Z259" s="203" t="str">
        <f t="shared" si="40"/>
        <v>XL18LEANDRO LINO DA SILVA</v>
      </c>
      <c r="AA259" s="427" t="s">
        <v>523</v>
      </c>
      <c r="AB259" s="427">
        <v>18</v>
      </c>
      <c r="AC259" s="428" t="s">
        <v>1240</v>
      </c>
      <c r="AD259" s="505">
        <v>123701.57</v>
      </c>
      <c r="AE259" s="506">
        <v>151765.86000000002</v>
      </c>
      <c r="AF259" s="60" t="str">
        <f t="shared" si="41"/>
        <v>LEANDRO LINO DA SILVA</v>
      </c>
      <c r="AG259" s="60" t="str">
        <f t="shared" si="42"/>
        <v>OK</v>
      </c>
    </row>
    <row r="260" spans="1:33">
      <c r="A260" s="61" t="str">
        <f t="shared" si="36"/>
        <v>LONDRINA [ETAPA 03 - CONDOMINIO ARANGUA]XL20</v>
      </c>
      <c r="B260" s="263" t="s">
        <v>33</v>
      </c>
      <c r="C260" s="337" t="s">
        <v>523</v>
      </c>
      <c r="D260" s="166">
        <v>20</v>
      </c>
      <c r="E260" s="197">
        <v>256.19</v>
      </c>
      <c r="F260" s="166">
        <v>6080</v>
      </c>
      <c r="G260" s="338" t="s">
        <v>216</v>
      </c>
      <c r="H260" s="40">
        <v>43102</v>
      </c>
      <c r="I260" s="35">
        <v>121260</v>
      </c>
      <c r="J260" s="35" t="str">
        <f>IFERROR(VLOOKUP(CONCATENATE(B260,C260,D260,),Inadimplencia!$A$6:$K$110,6,0),"ATIVO")</f>
        <v>ATRASO</v>
      </c>
      <c r="K260" s="35">
        <f t="shared" si="37"/>
        <v>127795.77</v>
      </c>
      <c r="L260" s="325">
        <f t="shared" si="38"/>
        <v>1.0538988124690747</v>
      </c>
      <c r="M260" s="423" t="str">
        <f t="shared" si="39"/>
        <v>ATRASO1</v>
      </c>
      <c r="N260" s="28"/>
      <c r="X260" s="203" t="str">
        <f t="shared" si="34"/>
        <v>LONDRINA [ETAPA 03 - CONDOMINIO ARANGUA]ATRASO</v>
      </c>
      <c r="Y260" s="203" t="str">
        <f t="shared" si="35"/>
        <v>XL20FLAVIO DA SILVA SENA</v>
      </c>
      <c r="Z260" s="203" t="str">
        <f t="shared" si="40"/>
        <v>XL20FLAVIO DA SILVA SENA</v>
      </c>
      <c r="AA260" s="427" t="s">
        <v>523</v>
      </c>
      <c r="AB260" s="427">
        <v>20</v>
      </c>
      <c r="AC260" s="428" t="s">
        <v>216</v>
      </c>
      <c r="AD260" s="505">
        <v>127795.77</v>
      </c>
      <c r="AE260" s="506">
        <v>175481.55000000002</v>
      </c>
      <c r="AF260" s="60" t="str">
        <f t="shared" si="41"/>
        <v>FLAVIO DA SILVA SENA</v>
      </c>
      <c r="AG260" s="60" t="str">
        <f t="shared" si="42"/>
        <v>OK</v>
      </c>
    </row>
    <row r="261" spans="1:33">
      <c r="A261" s="61" t="str">
        <f t="shared" si="36"/>
        <v>LONDRINA [ETAPA 03 - CONDOMINIO ARANGUA]XL22</v>
      </c>
      <c r="B261" s="263" t="s">
        <v>33</v>
      </c>
      <c r="C261" s="337" t="s">
        <v>523</v>
      </c>
      <c r="D261" s="73">
        <v>22</v>
      </c>
      <c r="E261" s="315">
        <v>256.19</v>
      </c>
      <c r="F261" s="166">
        <v>4978</v>
      </c>
      <c r="G261" s="74" t="s">
        <v>1419</v>
      </c>
      <c r="H261" s="40">
        <v>44211</v>
      </c>
      <c r="I261" s="35">
        <v>165440</v>
      </c>
      <c r="J261" s="35" t="str">
        <f>IFERROR(VLOOKUP(CONCATENATE(B261,C261,D261,),Inadimplencia!$A$6:$K$110,6,0),"ATIVO")</f>
        <v>ATIVO</v>
      </c>
      <c r="K261" s="35">
        <f t="shared" si="37"/>
        <v>99812.160000000003</v>
      </c>
      <c r="L261" s="325">
        <f t="shared" si="38"/>
        <v>0.60331334622823984</v>
      </c>
      <c r="M261" s="423" t="str">
        <f t="shared" si="39"/>
        <v>ATIVO0</v>
      </c>
      <c r="N261" s="28"/>
      <c r="X261" s="203" t="str">
        <f t="shared" ref="X261:X324" si="43">CONCATENATE(B261,J261)</f>
        <v>LONDRINA [ETAPA 03 - CONDOMINIO ARANGUA]ATIVO</v>
      </c>
      <c r="Y261" s="203" t="str">
        <f t="shared" ref="Y261:Y324" si="44">CONCATENATE(C261,D261,G261)</f>
        <v>XL22IZALTINO CELESTE</v>
      </c>
      <c r="Z261" s="203" t="str">
        <f t="shared" si="40"/>
        <v>XL22IZALTINO CELESTE</v>
      </c>
      <c r="AA261" s="427" t="s">
        <v>523</v>
      </c>
      <c r="AB261" s="427">
        <v>22</v>
      </c>
      <c r="AC261" s="428" t="s">
        <v>1419</v>
      </c>
      <c r="AD261" s="505">
        <v>99812.160000000003</v>
      </c>
      <c r="AE261" s="506">
        <v>167323.73000000001</v>
      </c>
      <c r="AF261" s="60" t="str">
        <f t="shared" si="41"/>
        <v>IZALTINO CELESTE</v>
      </c>
      <c r="AG261" s="60" t="str">
        <f t="shared" si="42"/>
        <v>OK</v>
      </c>
    </row>
    <row r="262" spans="1:33">
      <c r="A262" s="61" t="str">
        <f t="shared" ref="A262:A325" si="45">CONCATENATE(B262,C262,D262)</f>
        <v>LONDRINA [ETAPA 03 - CONDOMINIO ARANGUA]XL25</v>
      </c>
      <c r="B262" s="263" t="s">
        <v>33</v>
      </c>
      <c r="C262" s="337" t="s">
        <v>523</v>
      </c>
      <c r="D262" s="166">
        <v>25</v>
      </c>
      <c r="E262" s="197">
        <v>256.19</v>
      </c>
      <c r="F262" s="166">
        <v>5091</v>
      </c>
      <c r="G262" s="338" t="s">
        <v>356</v>
      </c>
      <c r="H262" s="40">
        <v>42401</v>
      </c>
      <c r="I262" s="35">
        <v>131500</v>
      </c>
      <c r="J262" s="35" t="str">
        <f>IFERROR(VLOOKUP(CONCATENATE(B262,C262,D262,),Inadimplencia!$A$6:$K$110,6,0),"ATIVO")</f>
        <v>ATIVO</v>
      </c>
      <c r="K262" s="35">
        <f t="shared" ref="K262:K325" si="46">VLOOKUP(Y262,$Z$5:$AD$520,5,0)</f>
        <v>124529.8</v>
      </c>
      <c r="L262" s="325">
        <f t="shared" ref="L262:L325" si="47">K262/I262</f>
        <v>0.94699467680608362</v>
      </c>
      <c r="M262" s="423" t="str">
        <f t="shared" ref="M262:M325" si="48">CONCATENATE(J262,IF(L262&gt;100%,1,0))</f>
        <v>ATIVO0</v>
      </c>
      <c r="N262" s="28"/>
      <c r="X262" s="203" t="str">
        <f t="shared" si="43"/>
        <v>LONDRINA [ETAPA 03 - CONDOMINIO ARANGUA]ATIVO</v>
      </c>
      <c r="Y262" s="203" t="str">
        <f t="shared" si="44"/>
        <v>XL25MARILENA DE PAULO</v>
      </c>
      <c r="Z262" s="203" t="str">
        <f t="shared" ref="Z262:Z325" si="49">CONCATENATE(AA262,AB262,AC262)</f>
        <v>XL25MARILENA DE PAULO</v>
      </c>
      <c r="AA262" s="427" t="s">
        <v>523</v>
      </c>
      <c r="AB262" s="427">
        <v>25</v>
      </c>
      <c r="AC262" s="428" t="s">
        <v>356</v>
      </c>
      <c r="AD262" s="505">
        <v>124529.8</v>
      </c>
      <c r="AE262" s="506">
        <v>237226.47</v>
      </c>
      <c r="AF262" s="60" t="str">
        <f t="shared" ref="AF262:AF325" si="50">VLOOKUP(AC262,$G$5:$G$520,1,0)</f>
        <v>MARILENA DE PAULO</v>
      </c>
      <c r="AG262" s="60" t="str">
        <f t="shared" ref="AG262:AG325" si="51">IF(AC262=AF262,"OK","NÃO BATE")</f>
        <v>OK</v>
      </c>
    </row>
    <row r="263" spans="1:33">
      <c r="A263" s="61" t="str">
        <f t="shared" si="45"/>
        <v>LONDRINA [ETAPA 03 - CONDOMINIO ARANGUA]XL26</v>
      </c>
      <c r="B263" s="263" t="s">
        <v>33</v>
      </c>
      <c r="C263" s="337" t="s">
        <v>523</v>
      </c>
      <c r="D263" s="73">
        <v>26</v>
      </c>
      <c r="E263" s="315">
        <v>256.19</v>
      </c>
      <c r="F263" s="166">
        <v>6055</v>
      </c>
      <c r="G263" s="74" t="s">
        <v>168</v>
      </c>
      <c r="H263" s="40">
        <v>43081</v>
      </c>
      <c r="I263" s="35">
        <v>121259.76</v>
      </c>
      <c r="J263" s="35" t="str">
        <f>IFERROR(VLOOKUP(CONCATENATE(B263,C263,D263,),Inadimplencia!$A$6:$K$110,6,0),"ATIVO")</f>
        <v>INADIMPLENTE</v>
      </c>
      <c r="K263" s="35">
        <f t="shared" si="46"/>
        <v>113581.63</v>
      </c>
      <c r="L263" s="325">
        <f t="shared" si="47"/>
        <v>0.93668031340322633</v>
      </c>
      <c r="M263" s="423" t="str">
        <f t="shared" si="48"/>
        <v>INADIMPLENTE0</v>
      </c>
      <c r="N263" s="28"/>
      <c r="X263" s="203" t="str">
        <f t="shared" si="43"/>
        <v>LONDRINA [ETAPA 03 - CONDOMINIO ARANGUA]INADIMPLENTE</v>
      </c>
      <c r="Y263" s="203" t="str">
        <f t="shared" si="44"/>
        <v>XL26EDUARDO DA SILVA</v>
      </c>
      <c r="Z263" s="203" t="str">
        <f t="shared" si="49"/>
        <v>XL26EDUARDO DA SILVA</v>
      </c>
      <c r="AA263" s="427" t="s">
        <v>523</v>
      </c>
      <c r="AB263" s="427">
        <v>26</v>
      </c>
      <c r="AC263" s="428" t="s">
        <v>168</v>
      </c>
      <c r="AD263" s="505">
        <v>113581.63</v>
      </c>
      <c r="AE263" s="506">
        <v>174968.17</v>
      </c>
      <c r="AF263" s="60" t="str">
        <f t="shared" si="50"/>
        <v>EDUARDO DA SILVA</v>
      </c>
      <c r="AG263" s="60" t="str">
        <f t="shared" si="51"/>
        <v>OK</v>
      </c>
    </row>
    <row r="264" spans="1:33">
      <c r="A264" s="61" t="str">
        <f t="shared" si="45"/>
        <v>LONDRINA [ETAPA 03 - CONDOMINIO ARANGUA]XL27</v>
      </c>
      <c r="B264" s="263" t="s">
        <v>33</v>
      </c>
      <c r="C264" s="337" t="s">
        <v>523</v>
      </c>
      <c r="D264" s="166">
        <v>27</v>
      </c>
      <c r="E264" s="197">
        <v>256.19</v>
      </c>
      <c r="F264" s="166">
        <v>5295</v>
      </c>
      <c r="G264" s="338" t="s">
        <v>108</v>
      </c>
      <c r="H264" s="40">
        <v>42647</v>
      </c>
      <c r="I264" s="35">
        <v>137422.92000000001</v>
      </c>
      <c r="J264" s="35" t="str">
        <f>IFERROR(VLOOKUP(CONCATENATE(B264,C264,D264,),Inadimplencia!$A$6:$K$110,6,0),"ATIVO")</f>
        <v>ATIVO</v>
      </c>
      <c r="K264" s="35">
        <f t="shared" si="46"/>
        <v>120967.68000000001</v>
      </c>
      <c r="L264" s="325">
        <f t="shared" si="47"/>
        <v>0.88025840231018226</v>
      </c>
      <c r="M264" s="423" t="str">
        <f t="shared" si="48"/>
        <v>ATIVO0</v>
      </c>
      <c r="N264" s="28"/>
      <c r="X264" s="203" t="str">
        <f t="shared" si="43"/>
        <v>LONDRINA [ETAPA 03 - CONDOMINIO ARANGUA]ATIVO</v>
      </c>
      <c r="Y264" s="203" t="str">
        <f t="shared" si="44"/>
        <v>XL27CHRISTIAN RIBEIRO FRANCO</v>
      </c>
      <c r="Z264" s="203" t="str">
        <f t="shared" si="49"/>
        <v>XL27CHRISTIAN RIBEIRO FRANCO</v>
      </c>
      <c r="AA264" s="427" t="s">
        <v>523</v>
      </c>
      <c r="AB264" s="427">
        <v>27</v>
      </c>
      <c r="AC264" s="428" t="s">
        <v>108</v>
      </c>
      <c r="AD264" s="505">
        <v>120967.68000000001</v>
      </c>
      <c r="AE264" s="506">
        <v>219298.09</v>
      </c>
      <c r="AF264" s="60" t="str">
        <f t="shared" si="50"/>
        <v>CHRISTIAN RIBEIRO FRANCO</v>
      </c>
      <c r="AG264" s="60" t="str">
        <f t="shared" si="51"/>
        <v>OK</v>
      </c>
    </row>
    <row r="265" spans="1:33">
      <c r="A265" s="61" t="str">
        <f t="shared" si="45"/>
        <v>LONDRINA [ETAPA 03 - CONDOMINIO ARANGUA]XL28</v>
      </c>
      <c r="B265" s="263" t="s">
        <v>33</v>
      </c>
      <c r="C265" s="337" t="s">
        <v>523</v>
      </c>
      <c r="D265" s="73">
        <v>28</v>
      </c>
      <c r="E265" s="315">
        <v>256.19</v>
      </c>
      <c r="F265" s="166">
        <v>6127</v>
      </c>
      <c r="G265" s="74" t="s">
        <v>1136</v>
      </c>
      <c r="H265" s="40">
        <v>43110</v>
      </c>
      <c r="I265" s="35">
        <v>121260</v>
      </c>
      <c r="J265" s="35" t="str">
        <f>IFERROR(VLOOKUP(CONCATENATE(B265,C265,D265,),Inadimplencia!$A$6:$K$110,6,0),"ATIVO")</f>
        <v>INADIMPLENTE</v>
      </c>
      <c r="K265" s="35">
        <f t="shared" si="46"/>
        <v>69239.98</v>
      </c>
      <c r="L265" s="325">
        <f t="shared" si="47"/>
        <v>0.57100428830611905</v>
      </c>
      <c r="M265" s="423" t="str">
        <f t="shared" si="48"/>
        <v>INADIMPLENTE0</v>
      </c>
      <c r="N265" s="28"/>
      <c r="X265" s="203" t="str">
        <f t="shared" si="43"/>
        <v>LONDRINA [ETAPA 03 - CONDOMINIO ARANGUA]INADIMPLENTE</v>
      </c>
      <c r="Y265" s="203" t="str">
        <f t="shared" si="44"/>
        <v>XL28VANIA BALDUINO FARIAS</v>
      </c>
      <c r="Z265" s="203" t="str">
        <f t="shared" si="49"/>
        <v>XL28VANIA BALDUINO FARIAS</v>
      </c>
      <c r="AA265" s="427" t="s">
        <v>523</v>
      </c>
      <c r="AB265" s="427">
        <v>28</v>
      </c>
      <c r="AC265" s="428" t="s">
        <v>1136</v>
      </c>
      <c r="AD265" s="505">
        <v>69239.98</v>
      </c>
      <c r="AE265" s="506">
        <v>164948.81</v>
      </c>
      <c r="AF265" s="60" t="str">
        <f t="shared" si="50"/>
        <v>VANIA BALDUINO FARIAS</v>
      </c>
      <c r="AG265" s="60" t="str">
        <f t="shared" si="51"/>
        <v>OK</v>
      </c>
    </row>
    <row r="266" spans="1:33">
      <c r="A266" s="61" t="str">
        <f t="shared" si="45"/>
        <v>LONDRINA [ETAPA 03 - CONDOMINIO ARANGUA]XL29</v>
      </c>
      <c r="B266" s="263" t="s">
        <v>33</v>
      </c>
      <c r="C266" s="337" t="s">
        <v>523</v>
      </c>
      <c r="D266" s="166">
        <v>29</v>
      </c>
      <c r="E266" s="197">
        <v>256.19</v>
      </c>
      <c r="F266" s="166">
        <v>6483</v>
      </c>
      <c r="G266" s="338" t="s">
        <v>637</v>
      </c>
      <c r="H266" s="40">
        <v>43264</v>
      </c>
      <c r="I266" s="35">
        <v>131600</v>
      </c>
      <c r="J266" s="35" t="str">
        <f>IFERROR(VLOOKUP(CONCATENATE(B266,C266,D266,),Inadimplencia!$A$6:$K$110,6,0),"ATIVO")</f>
        <v>INADIMPLENTE</v>
      </c>
      <c r="K266" s="35">
        <f t="shared" si="46"/>
        <v>140337.18</v>
      </c>
      <c r="L266" s="325">
        <f t="shared" si="47"/>
        <v>1.0663919452887538</v>
      </c>
      <c r="M266" s="423" t="str">
        <f t="shared" si="48"/>
        <v>INADIMPLENTE1</v>
      </c>
      <c r="N266" s="28"/>
      <c r="X266" s="203" t="str">
        <f t="shared" si="43"/>
        <v>LONDRINA [ETAPA 03 - CONDOMINIO ARANGUA]INADIMPLENTE</v>
      </c>
      <c r="Y266" s="203" t="str">
        <f t="shared" si="44"/>
        <v>XL29MIKAELA APARECIDA LIMA TEODORO</v>
      </c>
      <c r="Z266" s="203" t="str">
        <f t="shared" si="49"/>
        <v>XL29MIKAELA APARECIDA LIMA TEODORO</v>
      </c>
      <c r="AA266" s="427" t="s">
        <v>523</v>
      </c>
      <c r="AB266" s="427">
        <v>29</v>
      </c>
      <c r="AC266" s="428" t="s">
        <v>637</v>
      </c>
      <c r="AD266" s="505">
        <v>140337.18</v>
      </c>
      <c r="AE266" s="506">
        <v>187985.45</v>
      </c>
      <c r="AF266" s="60" t="str">
        <f t="shared" si="50"/>
        <v>MIKAELA APARECIDA LIMA TEODORO</v>
      </c>
      <c r="AG266" s="60" t="str">
        <f t="shared" si="51"/>
        <v>OK</v>
      </c>
    </row>
    <row r="267" spans="1:33">
      <c r="A267" s="61" t="str">
        <f t="shared" si="45"/>
        <v>LONDRINA [ETAPA 03 - CONDOMINIO ARANGUA]XL30</v>
      </c>
      <c r="B267" s="263" t="s">
        <v>33</v>
      </c>
      <c r="C267" s="337" t="s">
        <v>523</v>
      </c>
      <c r="D267" s="73">
        <v>30</v>
      </c>
      <c r="E267" s="315">
        <v>256.19</v>
      </c>
      <c r="F267" s="166">
        <v>4844</v>
      </c>
      <c r="G267" s="74" t="s">
        <v>1346</v>
      </c>
      <c r="H267" s="40">
        <v>44127</v>
      </c>
      <c r="I267" s="35">
        <v>165360.18</v>
      </c>
      <c r="J267" s="35" t="str">
        <f>IFERROR(VLOOKUP(CONCATENATE(B267,C267,D267,),Inadimplencia!$A$6:$K$110,6,0),"ATIVO")</f>
        <v>ATIVO</v>
      </c>
      <c r="K267" s="35">
        <f t="shared" si="46"/>
        <v>155532.07</v>
      </c>
      <c r="L267" s="325">
        <f t="shared" si="47"/>
        <v>0.94056543721711006</v>
      </c>
      <c r="M267" s="423" t="str">
        <f t="shared" si="48"/>
        <v>ATIVO0</v>
      </c>
      <c r="N267" s="28"/>
      <c r="X267" s="203" t="str">
        <f t="shared" si="43"/>
        <v>LONDRINA [ETAPA 03 - CONDOMINIO ARANGUA]ATIVO</v>
      </c>
      <c r="Y267" s="203" t="str">
        <f t="shared" si="44"/>
        <v>XL30SORAYA FERNANDES DA SILVA ARAUJO</v>
      </c>
      <c r="Z267" s="203" t="str">
        <f t="shared" si="49"/>
        <v>XL30SORAYA FERNANDES DA SILVA ARAUJO</v>
      </c>
      <c r="AA267" s="427" t="s">
        <v>523</v>
      </c>
      <c r="AB267" s="427">
        <v>30</v>
      </c>
      <c r="AC267" s="428" t="s">
        <v>1346</v>
      </c>
      <c r="AD267" s="505">
        <v>155532.07</v>
      </c>
      <c r="AE267" s="506">
        <v>180496.18</v>
      </c>
      <c r="AF267" s="60" t="str">
        <f t="shared" si="50"/>
        <v>SORAYA FERNANDES DA SILVA ARAUJO</v>
      </c>
      <c r="AG267" s="60" t="str">
        <f t="shared" si="51"/>
        <v>OK</v>
      </c>
    </row>
    <row r="268" spans="1:33">
      <c r="A268" s="61" t="str">
        <f t="shared" si="45"/>
        <v>LONDRINA [ETAPA 03 - CONDOMINIO ARANGUA]XL31</v>
      </c>
      <c r="B268" s="263" t="s">
        <v>33</v>
      </c>
      <c r="C268" s="337" t="s">
        <v>523</v>
      </c>
      <c r="D268" s="166">
        <v>31</v>
      </c>
      <c r="E268" s="197">
        <v>277.37</v>
      </c>
      <c r="F268" s="166">
        <v>6014</v>
      </c>
      <c r="G268" s="338" t="s">
        <v>292</v>
      </c>
      <c r="H268" s="40">
        <v>43061</v>
      </c>
      <c r="I268" s="35">
        <v>132539.85</v>
      </c>
      <c r="J268" s="35" t="str">
        <f>IFERROR(VLOOKUP(CONCATENATE(B268,C268,D268,),Inadimplencia!$A$6:$K$110,6,0),"ATIVO")</f>
        <v>ATRASO</v>
      </c>
      <c r="K268" s="35">
        <f t="shared" si="46"/>
        <v>163230.29</v>
      </c>
      <c r="L268" s="325">
        <f t="shared" si="47"/>
        <v>1.2315563206084812</v>
      </c>
      <c r="M268" s="423" t="str">
        <f t="shared" si="48"/>
        <v>ATRASO1</v>
      </c>
      <c r="N268" s="28"/>
      <c r="X268" s="203" t="str">
        <f t="shared" si="43"/>
        <v>LONDRINA [ETAPA 03 - CONDOMINIO ARANGUA]ATRASO</v>
      </c>
      <c r="Y268" s="203" t="str">
        <f t="shared" si="44"/>
        <v>XL31KAREN JEREMIAS FERMINO</v>
      </c>
      <c r="Z268" s="203" t="str">
        <f t="shared" si="49"/>
        <v>XL31KAREN JEREMIAS FERMINO</v>
      </c>
      <c r="AA268" s="427" t="s">
        <v>523</v>
      </c>
      <c r="AB268" s="427">
        <v>31</v>
      </c>
      <c r="AC268" s="428" t="s">
        <v>292</v>
      </c>
      <c r="AD268" s="505">
        <v>163230.29</v>
      </c>
      <c r="AE268" s="506">
        <v>207933.03</v>
      </c>
      <c r="AF268" s="60" t="str">
        <f t="shared" si="50"/>
        <v>KAREN JEREMIAS FERMINO</v>
      </c>
      <c r="AG268" s="60" t="str">
        <f t="shared" si="51"/>
        <v>OK</v>
      </c>
    </row>
    <row r="269" spans="1:33">
      <c r="A269" s="61" t="str">
        <f t="shared" si="45"/>
        <v>LONDRINA [ETAPA 03 - CONDOMINIO ARANGUA]XLI1</v>
      </c>
      <c r="B269" s="263" t="s">
        <v>33</v>
      </c>
      <c r="C269" s="337" t="s">
        <v>524</v>
      </c>
      <c r="D269" s="73">
        <v>1</v>
      </c>
      <c r="E269" s="315">
        <v>370.23</v>
      </c>
      <c r="F269" s="166">
        <v>6816</v>
      </c>
      <c r="G269" s="74" t="s">
        <v>911</v>
      </c>
      <c r="H269" s="40">
        <v>43439</v>
      </c>
      <c r="I269" s="35">
        <v>155100</v>
      </c>
      <c r="J269" s="35" t="str">
        <f>IFERROR(VLOOKUP(CONCATENATE(B269,C269,D269,),Inadimplencia!$A$6:$K$110,6,0),"ATIVO")</f>
        <v>ATIVO</v>
      </c>
      <c r="K269" s="35">
        <f t="shared" si="46"/>
        <v>30491.79</v>
      </c>
      <c r="L269" s="325">
        <f t="shared" si="47"/>
        <v>0.19659439071566731</v>
      </c>
      <c r="M269" s="423" t="str">
        <f t="shared" si="48"/>
        <v>ATIVO0</v>
      </c>
      <c r="N269" s="28"/>
      <c r="X269" s="203" t="str">
        <f t="shared" si="43"/>
        <v>LONDRINA [ETAPA 03 - CONDOMINIO ARANGUA]ATIVO</v>
      </c>
      <c r="Y269" s="203" t="str">
        <f t="shared" si="44"/>
        <v>XLI1LEONARDO MEDEIROS GUILET PIRES</v>
      </c>
      <c r="Z269" s="203" t="str">
        <f t="shared" si="49"/>
        <v>XLI1LEONARDO MEDEIROS GUILET PIRES</v>
      </c>
      <c r="AA269" s="427" t="s">
        <v>524</v>
      </c>
      <c r="AB269" s="427">
        <v>1</v>
      </c>
      <c r="AC269" s="428" t="s">
        <v>911</v>
      </c>
      <c r="AD269" s="505">
        <v>30491.79</v>
      </c>
      <c r="AE269" s="506">
        <v>164689.47</v>
      </c>
      <c r="AF269" s="60" t="str">
        <f t="shared" si="50"/>
        <v>LEONARDO MEDEIROS GUILET PIRES</v>
      </c>
      <c r="AG269" s="60" t="str">
        <f t="shared" si="51"/>
        <v>OK</v>
      </c>
    </row>
    <row r="270" spans="1:33">
      <c r="A270" s="61" t="str">
        <f t="shared" si="45"/>
        <v>LONDRINA [ETAPA 03 - CONDOMINIO ARANGUA]XLI3</v>
      </c>
      <c r="B270" s="263" t="s">
        <v>33</v>
      </c>
      <c r="C270" s="337" t="s">
        <v>524</v>
      </c>
      <c r="D270" s="166">
        <v>3</v>
      </c>
      <c r="E270" s="197">
        <v>262.42</v>
      </c>
      <c r="F270" s="166">
        <v>6594</v>
      </c>
      <c r="G270" s="338" t="s">
        <v>790</v>
      </c>
      <c r="H270" s="40">
        <v>43328</v>
      </c>
      <c r="I270" s="35">
        <v>124456</v>
      </c>
      <c r="J270" s="35" t="str">
        <f>IFERROR(VLOOKUP(CONCATENATE(B270,C270,D270,),Inadimplencia!$A$6:$K$110,6,0),"ATIVO")</f>
        <v>ATIVO</v>
      </c>
      <c r="K270" s="35">
        <f t="shared" si="46"/>
        <v>118082.84</v>
      </c>
      <c r="L270" s="325">
        <f t="shared" si="47"/>
        <v>0.94879186218422573</v>
      </c>
      <c r="M270" s="423" t="str">
        <f t="shared" si="48"/>
        <v>ATIVO0</v>
      </c>
      <c r="N270" s="28"/>
      <c r="X270" s="203" t="str">
        <f t="shared" si="43"/>
        <v>LONDRINA [ETAPA 03 - CONDOMINIO ARANGUA]ATIVO</v>
      </c>
      <c r="Y270" s="203" t="str">
        <f t="shared" si="44"/>
        <v>XLI3RICARDO CANDIDO RODRIGUES</v>
      </c>
      <c r="Z270" s="203" t="str">
        <f t="shared" si="49"/>
        <v>XLI3RICARDO CANDIDO RODRIGUES</v>
      </c>
      <c r="AA270" s="427" t="s">
        <v>524</v>
      </c>
      <c r="AB270" s="427">
        <v>3</v>
      </c>
      <c r="AC270" s="428" t="s">
        <v>790</v>
      </c>
      <c r="AD270" s="505">
        <v>118082.84</v>
      </c>
      <c r="AE270" s="506">
        <v>172341.16</v>
      </c>
      <c r="AF270" s="60" t="str">
        <f t="shared" si="50"/>
        <v>RICARDO CANDIDO RODRIGUES</v>
      </c>
      <c r="AG270" s="60" t="str">
        <f t="shared" si="51"/>
        <v>OK</v>
      </c>
    </row>
    <row r="271" spans="1:33">
      <c r="A271" s="61" t="str">
        <f t="shared" si="45"/>
        <v>LONDRINA [ETAPA 03 - CONDOMINIO ARANGUA]XLI4</v>
      </c>
      <c r="B271" s="263" t="s">
        <v>33</v>
      </c>
      <c r="C271" s="337" t="s">
        <v>524</v>
      </c>
      <c r="D271" s="73">
        <v>4</v>
      </c>
      <c r="E271" s="315">
        <v>262.42</v>
      </c>
      <c r="F271" s="166">
        <v>6577</v>
      </c>
      <c r="G271" s="74" t="s">
        <v>791</v>
      </c>
      <c r="H271" s="40">
        <v>43313</v>
      </c>
      <c r="I271" s="35">
        <v>126900</v>
      </c>
      <c r="J271" s="35" t="str">
        <f>IFERROR(VLOOKUP(CONCATENATE(B271,C271,D271,),Inadimplencia!$A$6:$K$110,6,0),"ATIVO")</f>
        <v>ATRASO</v>
      </c>
      <c r="K271" s="35">
        <f t="shared" si="46"/>
        <v>45395.85</v>
      </c>
      <c r="L271" s="325">
        <f t="shared" si="47"/>
        <v>0.35772931442080375</v>
      </c>
      <c r="M271" s="423" t="str">
        <f t="shared" si="48"/>
        <v>ATRASO0</v>
      </c>
      <c r="N271" s="28"/>
      <c r="X271" s="203" t="str">
        <f t="shared" si="43"/>
        <v>LONDRINA [ETAPA 03 - CONDOMINIO ARANGUA]ATRASO</v>
      </c>
      <c r="Y271" s="203" t="str">
        <f t="shared" si="44"/>
        <v>XLI4POLEANE RODRIGUES</v>
      </c>
      <c r="Z271" s="203" t="str">
        <f t="shared" si="49"/>
        <v>XLI4POLEANE RODRIGUES</v>
      </c>
      <c r="AA271" s="427" t="s">
        <v>524</v>
      </c>
      <c r="AB271" s="427">
        <v>4</v>
      </c>
      <c r="AC271" s="428" t="s">
        <v>791</v>
      </c>
      <c r="AD271" s="505">
        <v>45395.85</v>
      </c>
      <c r="AE271" s="506">
        <v>135625.29999999999</v>
      </c>
      <c r="AF271" s="60" t="str">
        <f t="shared" si="50"/>
        <v>POLEANE RODRIGUES</v>
      </c>
      <c r="AG271" s="60" t="str">
        <f t="shared" si="51"/>
        <v>OK</v>
      </c>
    </row>
    <row r="272" spans="1:33">
      <c r="A272" s="61" t="str">
        <f t="shared" si="45"/>
        <v>LONDRINA [ETAPA 03 - CONDOMINIO ARANGUA]XLI5</v>
      </c>
      <c r="B272" s="263" t="s">
        <v>33</v>
      </c>
      <c r="C272" s="337" t="s">
        <v>524</v>
      </c>
      <c r="D272" s="166">
        <v>5</v>
      </c>
      <c r="E272" s="197">
        <v>262.42</v>
      </c>
      <c r="F272" s="166">
        <v>6810</v>
      </c>
      <c r="G272" s="338" t="s">
        <v>912</v>
      </c>
      <c r="H272" s="40">
        <v>43452</v>
      </c>
      <c r="I272" s="35">
        <v>117500</v>
      </c>
      <c r="J272" s="35" t="str">
        <f>IFERROR(VLOOKUP(CONCATENATE(B272,C272,D272,),Inadimplencia!$A$6:$K$110,6,0),"ATIVO")</f>
        <v>ATIVO</v>
      </c>
      <c r="K272" s="35">
        <f t="shared" si="46"/>
        <v>117212.25</v>
      </c>
      <c r="L272" s="325">
        <f t="shared" si="47"/>
        <v>0.9975510638297872</v>
      </c>
      <c r="M272" s="423" t="str">
        <f t="shared" si="48"/>
        <v>ATIVO0</v>
      </c>
      <c r="N272" s="28"/>
      <c r="X272" s="203" t="str">
        <f t="shared" si="43"/>
        <v>LONDRINA [ETAPA 03 - CONDOMINIO ARANGUA]ATIVO</v>
      </c>
      <c r="Y272" s="203" t="str">
        <f t="shared" si="44"/>
        <v>XLI5THAIS AMARILHA DE CASTRO</v>
      </c>
      <c r="Z272" s="203" t="str">
        <f t="shared" si="49"/>
        <v>XLI5THAIS AMARILHA DE CASTRO</v>
      </c>
      <c r="AA272" s="427" t="s">
        <v>524</v>
      </c>
      <c r="AB272" s="427">
        <v>5</v>
      </c>
      <c r="AC272" s="428" t="s">
        <v>912</v>
      </c>
      <c r="AD272" s="505">
        <v>117212.25</v>
      </c>
      <c r="AE272" s="506">
        <v>157230.94</v>
      </c>
      <c r="AF272" s="60" t="str">
        <f t="shared" si="50"/>
        <v>THAIS AMARILHA DE CASTRO</v>
      </c>
      <c r="AG272" s="60" t="str">
        <f t="shared" si="51"/>
        <v>OK</v>
      </c>
    </row>
    <row r="273" spans="1:33">
      <c r="A273" s="61" t="str">
        <f t="shared" si="45"/>
        <v>LONDRINA [ETAPA 03 - CONDOMINIO ARANGUA]XLI7</v>
      </c>
      <c r="B273" s="263" t="s">
        <v>33</v>
      </c>
      <c r="C273" s="337" t="s">
        <v>524</v>
      </c>
      <c r="D273" s="73">
        <v>7</v>
      </c>
      <c r="E273" s="315">
        <v>262.42</v>
      </c>
      <c r="F273" s="166">
        <v>2954</v>
      </c>
      <c r="G273" s="74" t="s">
        <v>1060</v>
      </c>
      <c r="H273" s="40">
        <v>43710</v>
      </c>
      <c r="I273" s="35">
        <v>117499.65</v>
      </c>
      <c r="J273" s="35" t="str">
        <f>IFERROR(VLOOKUP(CONCATENATE(B273,C273,D273,),Inadimplencia!$A$6:$K$110,6,0),"ATIVO")</f>
        <v>ATIVO</v>
      </c>
      <c r="K273" s="35">
        <f t="shared" si="46"/>
        <v>69226.09</v>
      </c>
      <c r="L273" s="325">
        <f t="shared" si="47"/>
        <v>0.58915996771054213</v>
      </c>
      <c r="M273" s="423" t="str">
        <f t="shared" si="48"/>
        <v>ATIVO0</v>
      </c>
      <c r="N273" s="28"/>
      <c r="X273" s="203" t="str">
        <f t="shared" si="43"/>
        <v>LONDRINA [ETAPA 03 - CONDOMINIO ARANGUA]ATIVO</v>
      </c>
      <c r="Y273" s="203" t="str">
        <f t="shared" si="44"/>
        <v>XLI7WESLEY DE LIMA PICCIOLI</v>
      </c>
      <c r="Z273" s="203" t="str">
        <f t="shared" si="49"/>
        <v>XLI7WESLEY DE LIMA PICCIOLI</v>
      </c>
      <c r="AA273" s="427" t="s">
        <v>524</v>
      </c>
      <c r="AB273" s="427">
        <v>7</v>
      </c>
      <c r="AC273" s="428" t="s">
        <v>1060</v>
      </c>
      <c r="AD273" s="505">
        <v>69226.09</v>
      </c>
      <c r="AE273" s="506">
        <v>134632.71</v>
      </c>
      <c r="AF273" s="60" t="str">
        <f t="shared" si="50"/>
        <v>WESLEY DE LIMA PICCIOLI</v>
      </c>
      <c r="AG273" s="60" t="str">
        <f t="shared" si="51"/>
        <v>OK</v>
      </c>
    </row>
    <row r="274" spans="1:33">
      <c r="A274" s="61" t="str">
        <f t="shared" si="45"/>
        <v>LONDRINA [ETAPA 03 - CONDOMINIO ARANGUA]XLI9</v>
      </c>
      <c r="B274" s="263" t="s">
        <v>33</v>
      </c>
      <c r="C274" s="337" t="s">
        <v>524</v>
      </c>
      <c r="D274" s="166">
        <v>9</v>
      </c>
      <c r="E274" s="197">
        <v>262.42</v>
      </c>
      <c r="F274" s="166">
        <v>7066</v>
      </c>
      <c r="G274" s="338" t="s">
        <v>948</v>
      </c>
      <c r="H274" s="40">
        <v>43556</v>
      </c>
      <c r="I274" s="35">
        <v>121025</v>
      </c>
      <c r="J274" s="35" t="str">
        <f>IFERROR(VLOOKUP(CONCATENATE(B274,C274,D274,),Inadimplencia!$A$6:$K$110,6,0),"ATIVO")</f>
        <v>ATIVO</v>
      </c>
      <c r="K274" s="35">
        <f t="shared" si="46"/>
        <v>25423.65</v>
      </c>
      <c r="L274" s="325">
        <f t="shared" si="47"/>
        <v>0.21006940714728364</v>
      </c>
      <c r="M274" s="423" t="str">
        <f t="shared" si="48"/>
        <v>ATIVO0</v>
      </c>
      <c r="N274" s="28"/>
      <c r="X274" s="203" t="str">
        <f t="shared" si="43"/>
        <v>LONDRINA [ETAPA 03 - CONDOMINIO ARANGUA]ATIVO</v>
      </c>
      <c r="Y274" s="203" t="str">
        <f t="shared" si="44"/>
        <v>XLI9KRATOS ENGENHARIA LTDA</v>
      </c>
      <c r="Z274" s="203" t="str">
        <f t="shared" si="49"/>
        <v>XLI9KRATOS ENGENHARIA LTDA</v>
      </c>
      <c r="AA274" s="427" t="s">
        <v>524</v>
      </c>
      <c r="AB274" s="427">
        <v>9</v>
      </c>
      <c r="AC274" s="428" t="s">
        <v>948</v>
      </c>
      <c r="AD274" s="505">
        <v>25423.65</v>
      </c>
      <c r="AE274" s="506">
        <v>126161.09</v>
      </c>
      <c r="AF274" s="60" t="str">
        <f t="shared" si="50"/>
        <v>KRATOS ENGENHARIA LTDA</v>
      </c>
      <c r="AG274" s="60" t="str">
        <f t="shared" si="51"/>
        <v>OK</v>
      </c>
    </row>
    <row r="275" spans="1:33">
      <c r="A275" s="61" t="str">
        <f t="shared" si="45"/>
        <v>LONDRINA [ETAPA 03 - CONDOMINIO ARANGUA]XLI11</v>
      </c>
      <c r="B275" s="263" t="s">
        <v>33</v>
      </c>
      <c r="C275" s="337" t="s">
        <v>524</v>
      </c>
      <c r="D275" s="73">
        <v>11</v>
      </c>
      <c r="E275" s="315">
        <v>262.42</v>
      </c>
      <c r="F275" s="166">
        <v>4776</v>
      </c>
      <c r="G275" s="74" t="s">
        <v>1314</v>
      </c>
      <c r="H275" s="40">
        <v>44084</v>
      </c>
      <c r="I275" s="35">
        <v>122199.9</v>
      </c>
      <c r="J275" s="35" t="str">
        <f>IFERROR(VLOOKUP(CONCATENATE(B275,C275,D275,),Inadimplencia!$A$6:$K$110,6,0),"ATIVO")</f>
        <v>ATIVO</v>
      </c>
      <c r="K275" s="35">
        <f t="shared" si="46"/>
        <v>96188.74</v>
      </c>
      <c r="L275" s="325">
        <f t="shared" si="47"/>
        <v>0.78714254266983863</v>
      </c>
      <c r="M275" s="423" t="str">
        <f t="shared" si="48"/>
        <v>ATIVO0</v>
      </c>
      <c r="N275" s="28"/>
      <c r="X275" s="203" t="str">
        <f t="shared" si="43"/>
        <v>LONDRINA [ETAPA 03 - CONDOMINIO ARANGUA]ATIVO</v>
      </c>
      <c r="Y275" s="203" t="str">
        <f t="shared" si="44"/>
        <v>XLI11SERGIO AUGUSTO POLO</v>
      </c>
      <c r="Z275" s="203" t="str">
        <f t="shared" si="49"/>
        <v>XLI11SERGIO AUGUSTO POLO</v>
      </c>
      <c r="AA275" s="427" t="s">
        <v>524</v>
      </c>
      <c r="AB275" s="427">
        <v>11</v>
      </c>
      <c r="AC275" s="428" t="s">
        <v>1314</v>
      </c>
      <c r="AD275" s="505">
        <v>96188.74</v>
      </c>
      <c r="AE275" s="506">
        <v>126531.05</v>
      </c>
      <c r="AF275" s="60" t="str">
        <f t="shared" si="50"/>
        <v>SERGIO AUGUSTO POLO</v>
      </c>
      <c r="AG275" s="60" t="str">
        <f t="shared" si="51"/>
        <v>OK</v>
      </c>
    </row>
    <row r="276" spans="1:33">
      <c r="A276" s="61" t="str">
        <f t="shared" si="45"/>
        <v>LONDRINA [ETAPA 03 - CONDOMINIO ARANGUA]XLI12</v>
      </c>
      <c r="B276" s="263" t="s">
        <v>33</v>
      </c>
      <c r="C276" s="337" t="s">
        <v>524</v>
      </c>
      <c r="D276" s="166">
        <v>12</v>
      </c>
      <c r="E276" s="197">
        <v>277.48</v>
      </c>
      <c r="F276" s="166">
        <v>2955</v>
      </c>
      <c r="G276" s="338" t="s">
        <v>1061</v>
      </c>
      <c r="H276" s="40">
        <v>43710</v>
      </c>
      <c r="I276" s="35">
        <v>122800</v>
      </c>
      <c r="J276" s="35" t="str">
        <f>IFERROR(VLOOKUP(CONCATENATE(B276,C276,D276,),Inadimplencia!$A$6:$K$110,6,0),"ATIVO")</f>
        <v>INADIMPLENTE</v>
      </c>
      <c r="K276" s="35">
        <f t="shared" si="46"/>
        <v>147726.12</v>
      </c>
      <c r="L276" s="325">
        <f t="shared" si="47"/>
        <v>1.2029814332247557</v>
      </c>
      <c r="M276" s="423" t="str">
        <f t="shared" si="48"/>
        <v>INADIMPLENTE1</v>
      </c>
      <c r="N276" s="28"/>
      <c r="X276" s="203" t="str">
        <f t="shared" si="43"/>
        <v>LONDRINA [ETAPA 03 - CONDOMINIO ARANGUA]INADIMPLENTE</v>
      </c>
      <c r="Y276" s="203" t="str">
        <f t="shared" si="44"/>
        <v>XLI12CINTHYA DE CARVALHO SOVENHI DIAS</v>
      </c>
      <c r="Z276" s="203" t="str">
        <f t="shared" si="49"/>
        <v>XLI12CINTHYA DE CARVALHO SOVENHI DIAS</v>
      </c>
      <c r="AA276" s="427" t="s">
        <v>524</v>
      </c>
      <c r="AB276" s="427">
        <v>12</v>
      </c>
      <c r="AC276" s="428" t="s">
        <v>1061</v>
      </c>
      <c r="AD276" s="505">
        <v>147726.12</v>
      </c>
      <c r="AE276" s="506">
        <v>155813.66</v>
      </c>
      <c r="AF276" s="60" t="str">
        <f t="shared" si="50"/>
        <v>CINTHYA DE CARVALHO SOVENHI DIAS</v>
      </c>
      <c r="AG276" s="60" t="str">
        <f t="shared" si="51"/>
        <v>OK</v>
      </c>
    </row>
    <row r="277" spans="1:33">
      <c r="A277" s="61" t="str">
        <f t="shared" si="45"/>
        <v>LONDRINA [ETAPA 03 - CONDOMINIO ARANGUA]XLI13</v>
      </c>
      <c r="B277" s="263" t="s">
        <v>33</v>
      </c>
      <c r="C277" s="337" t="s">
        <v>524</v>
      </c>
      <c r="D277" s="73">
        <v>13</v>
      </c>
      <c r="E277" s="315">
        <v>277.48</v>
      </c>
      <c r="F277" s="166">
        <v>2056</v>
      </c>
      <c r="G277" s="74" t="s">
        <v>1061</v>
      </c>
      <c r="H277" s="40">
        <v>43710</v>
      </c>
      <c r="I277" s="35">
        <v>122800</v>
      </c>
      <c r="J277" s="35" t="str">
        <f>IFERROR(VLOOKUP(CONCATENATE(B277,C277,D277,),Inadimplencia!$A$6:$K$110,6,0),"ATIVO")</f>
        <v>INADIMPLENTE</v>
      </c>
      <c r="K277" s="35">
        <f t="shared" si="46"/>
        <v>147726.12</v>
      </c>
      <c r="L277" s="325">
        <f t="shared" si="47"/>
        <v>1.2029814332247557</v>
      </c>
      <c r="M277" s="423" t="str">
        <f t="shared" si="48"/>
        <v>INADIMPLENTE1</v>
      </c>
      <c r="N277" s="28"/>
      <c r="X277" s="203" t="str">
        <f t="shared" si="43"/>
        <v>LONDRINA [ETAPA 03 - CONDOMINIO ARANGUA]INADIMPLENTE</v>
      </c>
      <c r="Y277" s="203" t="str">
        <f t="shared" si="44"/>
        <v>XLI13CINTHYA DE CARVALHO SOVENHI DIAS</v>
      </c>
      <c r="Z277" s="203" t="str">
        <f t="shared" si="49"/>
        <v>XLI13CINTHYA DE CARVALHO SOVENHI DIAS</v>
      </c>
      <c r="AA277" s="427" t="s">
        <v>524</v>
      </c>
      <c r="AB277" s="427">
        <v>13</v>
      </c>
      <c r="AC277" s="428" t="s">
        <v>1061</v>
      </c>
      <c r="AD277" s="505">
        <v>147726.12</v>
      </c>
      <c r="AE277" s="506">
        <v>155846.9</v>
      </c>
      <c r="AF277" s="60" t="str">
        <f t="shared" si="50"/>
        <v>CINTHYA DE CARVALHO SOVENHI DIAS</v>
      </c>
      <c r="AG277" s="60" t="str">
        <f t="shared" si="51"/>
        <v>OK</v>
      </c>
    </row>
    <row r="278" spans="1:33">
      <c r="A278" s="61" t="str">
        <f t="shared" si="45"/>
        <v>LONDRINA [ETAPA 03 - CONDOMINIO ARANGUA]XLI15</v>
      </c>
      <c r="B278" s="263" t="s">
        <v>33</v>
      </c>
      <c r="C278" s="337" t="s">
        <v>524</v>
      </c>
      <c r="D278" s="166">
        <v>15</v>
      </c>
      <c r="E278" s="197">
        <v>255.46</v>
      </c>
      <c r="F278" s="166">
        <v>4869</v>
      </c>
      <c r="G278" s="338" t="s">
        <v>977</v>
      </c>
      <c r="H278" s="40">
        <v>42192</v>
      </c>
      <c r="I278" s="35">
        <v>118400.8</v>
      </c>
      <c r="J278" s="35" t="str">
        <f>IFERROR(VLOOKUP(CONCATENATE(B278,C278,D278,),Inadimplencia!$A$6:$K$110,6,0),"ATIVO")</f>
        <v>ATIVO</v>
      </c>
      <c r="K278" s="35">
        <f t="shared" si="46"/>
        <v>12661.970000000001</v>
      </c>
      <c r="L278" s="325">
        <f t="shared" si="47"/>
        <v>0.1069415916108675</v>
      </c>
      <c r="M278" s="423" t="str">
        <f t="shared" si="48"/>
        <v>ATIVO0</v>
      </c>
      <c r="N278" s="28"/>
      <c r="X278" s="203" t="str">
        <f t="shared" si="43"/>
        <v>LONDRINA [ETAPA 03 - CONDOMINIO ARANGUA]ATIVO</v>
      </c>
      <c r="Y278" s="203" t="str">
        <f t="shared" si="44"/>
        <v>XLI15ROBERTA REIS DA SILVA TERRA</v>
      </c>
      <c r="Z278" s="203" t="str">
        <f t="shared" si="49"/>
        <v>XLI15ROBERTA REIS DA SILVA TERRA</v>
      </c>
      <c r="AA278" s="427" t="s">
        <v>524</v>
      </c>
      <c r="AB278" s="427">
        <v>15</v>
      </c>
      <c r="AC278" s="428" t="s">
        <v>977</v>
      </c>
      <c r="AD278" s="505">
        <v>12661.970000000001</v>
      </c>
      <c r="AE278" s="506">
        <v>163766.87</v>
      </c>
      <c r="AF278" s="60" t="str">
        <f t="shared" si="50"/>
        <v>ROBERTA REIS DA SILVA TERRA</v>
      </c>
      <c r="AG278" s="60" t="str">
        <f t="shared" si="51"/>
        <v>OK</v>
      </c>
    </row>
    <row r="279" spans="1:33">
      <c r="A279" s="61" t="str">
        <f t="shared" si="45"/>
        <v>LONDRINA [ETAPA 03 - CONDOMINIO ARANGUA]XLI16</v>
      </c>
      <c r="B279" s="263" t="s">
        <v>33</v>
      </c>
      <c r="C279" s="337" t="s">
        <v>524</v>
      </c>
      <c r="D279" s="73">
        <v>16</v>
      </c>
      <c r="E279" s="315">
        <v>255.46</v>
      </c>
      <c r="F279" s="166">
        <v>4785</v>
      </c>
      <c r="G279" s="74" t="s">
        <v>1326</v>
      </c>
      <c r="H279" s="40">
        <v>44098</v>
      </c>
      <c r="I279" s="35">
        <v>122200.09</v>
      </c>
      <c r="J279" s="35" t="str">
        <f>IFERROR(VLOOKUP(CONCATENATE(B279,C279,D279,),Inadimplencia!$A$6:$K$110,6,0),"ATIVO")</f>
        <v>ATIVO</v>
      </c>
      <c r="K279" s="35">
        <f t="shared" si="46"/>
        <v>66913.919999999998</v>
      </c>
      <c r="L279" s="325">
        <f t="shared" si="47"/>
        <v>0.54757668345416111</v>
      </c>
      <c r="M279" s="423" t="str">
        <f t="shared" si="48"/>
        <v>ATIVO0</v>
      </c>
      <c r="X279" s="203" t="str">
        <f t="shared" si="43"/>
        <v>LONDRINA [ETAPA 03 - CONDOMINIO ARANGUA]ATIVO</v>
      </c>
      <c r="Y279" s="203" t="str">
        <f t="shared" si="44"/>
        <v>XLI16CALEBE GUEDES SILVA</v>
      </c>
      <c r="Z279" s="203" t="str">
        <f t="shared" si="49"/>
        <v>XLI16CALEBE GUEDES SILVA</v>
      </c>
      <c r="AA279" s="427" t="s">
        <v>524</v>
      </c>
      <c r="AB279" s="427">
        <v>16</v>
      </c>
      <c r="AC279" s="428" t="s">
        <v>1326</v>
      </c>
      <c r="AD279" s="505">
        <v>66913.919999999998</v>
      </c>
      <c r="AE279" s="506">
        <v>125184.32000000001</v>
      </c>
      <c r="AF279" s="60" t="str">
        <f t="shared" si="50"/>
        <v>CALEBE GUEDES SILVA</v>
      </c>
      <c r="AG279" s="60" t="str">
        <f t="shared" si="51"/>
        <v>OK</v>
      </c>
    </row>
    <row r="280" spans="1:33">
      <c r="A280" s="61" t="str">
        <f t="shared" si="45"/>
        <v>LONDRINA [ETAPA 03 - CONDOMINIO ARANGUA]XLI17</v>
      </c>
      <c r="B280" s="263" t="s">
        <v>33</v>
      </c>
      <c r="C280" s="337" t="s">
        <v>524</v>
      </c>
      <c r="D280" s="166">
        <v>17</v>
      </c>
      <c r="E280" s="197">
        <v>255.46</v>
      </c>
      <c r="F280" s="166">
        <v>4863</v>
      </c>
      <c r="G280" s="338" t="s">
        <v>1374</v>
      </c>
      <c r="H280" s="40">
        <v>44138</v>
      </c>
      <c r="I280" s="35">
        <v>129531.6</v>
      </c>
      <c r="J280" s="35" t="str">
        <f>IFERROR(VLOOKUP(CONCATENATE(B280,C280,D280,),Inadimplencia!$A$6:$K$110,6,0),"ATIVO")</f>
        <v>ATIVO</v>
      </c>
      <c r="K280" s="35">
        <f t="shared" si="46"/>
        <v>128753.04000000001</v>
      </c>
      <c r="L280" s="325">
        <f t="shared" si="47"/>
        <v>0.99398942034221771</v>
      </c>
      <c r="M280" s="423" t="str">
        <f t="shared" si="48"/>
        <v>ATIVO0</v>
      </c>
      <c r="X280" s="203" t="str">
        <f t="shared" si="43"/>
        <v>LONDRINA [ETAPA 03 - CONDOMINIO ARANGUA]ATIVO</v>
      </c>
      <c r="Y280" s="203" t="str">
        <f t="shared" si="44"/>
        <v>XLI17LUCIMARA LOPES DA SILVA</v>
      </c>
      <c r="Z280" s="203" t="str">
        <f t="shared" si="49"/>
        <v>XLI17LUCIMARA LOPES DA SILVA</v>
      </c>
      <c r="AA280" s="427" t="s">
        <v>524</v>
      </c>
      <c r="AB280" s="427">
        <v>17</v>
      </c>
      <c r="AC280" s="428" t="s">
        <v>1374</v>
      </c>
      <c r="AD280" s="505">
        <v>128753.04000000001</v>
      </c>
      <c r="AE280" s="506">
        <v>139972.34</v>
      </c>
      <c r="AF280" s="60" t="str">
        <f t="shared" si="50"/>
        <v>LUCIMARA LOPES DA SILVA</v>
      </c>
      <c r="AG280" s="60" t="str">
        <f t="shared" si="51"/>
        <v>OK</v>
      </c>
    </row>
    <row r="281" spans="1:33">
      <c r="A281" s="61" t="str">
        <f t="shared" si="45"/>
        <v>LONDRINA [ETAPA 03 - CONDOMINIO ARANGUA]XLI - A2</v>
      </c>
      <c r="B281" s="263" t="s">
        <v>33</v>
      </c>
      <c r="C281" s="337" t="s">
        <v>1079</v>
      </c>
      <c r="D281" s="73">
        <v>2</v>
      </c>
      <c r="E281" s="315">
        <v>255.45</v>
      </c>
      <c r="F281" s="166">
        <v>4742</v>
      </c>
      <c r="G281" s="74" t="s">
        <v>1266</v>
      </c>
      <c r="H281" s="40">
        <v>44062</v>
      </c>
      <c r="I281" s="35">
        <v>122200</v>
      </c>
      <c r="J281" s="35" t="str">
        <f>IFERROR(VLOOKUP(CONCATENATE(B281,C281,D281,),Inadimplencia!$A$6:$K$110,6,0),"ATIVO")</f>
        <v>ATIVO</v>
      </c>
      <c r="K281" s="35">
        <f t="shared" si="46"/>
        <v>73660.320000000007</v>
      </c>
      <c r="L281" s="325">
        <f t="shared" si="47"/>
        <v>0.60278494271685767</v>
      </c>
      <c r="M281" s="423" t="str">
        <f t="shared" si="48"/>
        <v>ATIVO0</v>
      </c>
      <c r="X281" s="203" t="str">
        <f t="shared" si="43"/>
        <v>LONDRINA [ETAPA 03 - CONDOMINIO ARANGUA]ATIVO</v>
      </c>
      <c r="Y281" s="203" t="str">
        <f t="shared" si="44"/>
        <v>XLI - A2MATEUS HOFSTATTER</v>
      </c>
      <c r="Z281" s="203" t="str">
        <f t="shared" si="49"/>
        <v>XLI - A2MATEUS HOFSTATTER</v>
      </c>
      <c r="AA281" s="427" t="s">
        <v>1079</v>
      </c>
      <c r="AB281" s="427">
        <v>2</v>
      </c>
      <c r="AC281" s="428" t="s">
        <v>1266</v>
      </c>
      <c r="AD281" s="505">
        <v>73660.320000000007</v>
      </c>
      <c r="AE281" s="506">
        <v>125771.89</v>
      </c>
      <c r="AF281" s="60" t="str">
        <f t="shared" si="50"/>
        <v>MATEUS HOFSTATTER</v>
      </c>
      <c r="AG281" s="60" t="str">
        <f t="shared" si="51"/>
        <v>OK</v>
      </c>
    </row>
    <row r="282" spans="1:33">
      <c r="A282" s="61" t="str">
        <f t="shared" si="45"/>
        <v>LONDRINA [ETAPA 03 - CONDOMINIO ARANGUA]XLI - A3</v>
      </c>
      <c r="B282" s="263" t="s">
        <v>33</v>
      </c>
      <c r="C282" s="337" t="s">
        <v>1079</v>
      </c>
      <c r="D282" s="166">
        <v>3</v>
      </c>
      <c r="E282" s="197">
        <v>255.45</v>
      </c>
      <c r="F282" s="166">
        <v>5199</v>
      </c>
      <c r="G282" s="338" t="s">
        <v>237</v>
      </c>
      <c r="H282" s="40">
        <v>42461</v>
      </c>
      <c r="I282" s="35">
        <v>116730</v>
      </c>
      <c r="J282" s="35" t="str">
        <f>IFERROR(VLOOKUP(CONCATENATE(B282,C282,D282,),Inadimplencia!$A$6:$K$110,6,0),"ATIVO")</f>
        <v>ATIVO</v>
      </c>
      <c r="K282" s="35">
        <f t="shared" si="46"/>
        <v>80712.56</v>
      </c>
      <c r="L282" s="325">
        <f t="shared" si="47"/>
        <v>0.69144658613895316</v>
      </c>
      <c r="M282" s="423" t="str">
        <f t="shared" si="48"/>
        <v>ATIVO0</v>
      </c>
      <c r="X282" s="203" t="str">
        <f t="shared" si="43"/>
        <v>LONDRINA [ETAPA 03 - CONDOMINIO ARANGUA]ATIVO</v>
      </c>
      <c r="Y282" s="203" t="str">
        <f t="shared" si="44"/>
        <v>XLI - A3HELTON ERNANI DE AGUIAR</v>
      </c>
      <c r="Z282" s="203" t="str">
        <f t="shared" si="49"/>
        <v>XLI - A3HELTON ERNANI DE AGUIAR</v>
      </c>
      <c r="AA282" s="427" t="s">
        <v>1079</v>
      </c>
      <c r="AB282" s="427">
        <v>3</v>
      </c>
      <c r="AC282" s="428" t="s">
        <v>237</v>
      </c>
      <c r="AD282" s="505">
        <v>80712.56</v>
      </c>
      <c r="AE282" s="506">
        <v>198252.66</v>
      </c>
      <c r="AF282" s="60" t="str">
        <f t="shared" si="50"/>
        <v>HELTON ERNANI DE AGUIAR</v>
      </c>
      <c r="AG282" s="60" t="str">
        <f t="shared" si="51"/>
        <v>OK</v>
      </c>
    </row>
    <row r="283" spans="1:33">
      <c r="A283" s="61" t="str">
        <f t="shared" si="45"/>
        <v>LONDRINA [ETAPA 03 - CONDOMINIO ARANGUA]XLI - A4</v>
      </c>
      <c r="B283" s="263" t="s">
        <v>33</v>
      </c>
      <c r="C283" s="337" t="s">
        <v>1079</v>
      </c>
      <c r="D283" s="73">
        <v>4</v>
      </c>
      <c r="E283" s="315">
        <v>277.48</v>
      </c>
      <c r="F283" s="166">
        <v>6385</v>
      </c>
      <c r="G283" s="74" t="s">
        <v>870</v>
      </c>
      <c r="H283" s="40">
        <v>43234</v>
      </c>
      <c r="I283" s="35">
        <v>123140</v>
      </c>
      <c r="J283" s="35" t="str">
        <f>IFERROR(VLOOKUP(CONCATENATE(B283,C283,D283,),Inadimplencia!$A$6:$K$110,6,0),"ATIVO")</f>
        <v>ATIVO</v>
      </c>
      <c r="K283" s="35">
        <f t="shared" si="46"/>
        <v>124101.22</v>
      </c>
      <c r="L283" s="325">
        <f t="shared" si="47"/>
        <v>1.0078059119701153</v>
      </c>
      <c r="M283" s="423" t="str">
        <f t="shared" si="48"/>
        <v>ATIVO1</v>
      </c>
      <c r="X283" s="203" t="str">
        <f t="shared" si="43"/>
        <v>LONDRINA [ETAPA 03 - CONDOMINIO ARANGUA]ATIVO</v>
      </c>
      <c r="Y283" s="203" t="str">
        <f t="shared" si="44"/>
        <v>XLI - A4RODRIGO LAFORE DOMENE</v>
      </c>
      <c r="Z283" s="203" t="str">
        <f t="shared" si="49"/>
        <v>XLI - A4RODRIGO LAFORE DOMENE</v>
      </c>
      <c r="AA283" s="427" t="s">
        <v>1079</v>
      </c>
      <c r="AB283" s="427">
        <v>4</v>
      </c>
      <c r="AC283" s="428" t="s">
        <v>870</v>
      </c>
      <c r="AD283" s="505">
        <v>124101.22</v>
      </c>
      <c r="AE283" s="506">
        <v>179731.26</v>
      </c>
      <c r="AF283" s="60" t="str">
        <f t="shared" si="50"/>
        <v>RODRIGO LAFORE DOMENE</v>
      </c>
      <c r="AG283" s="60" t="str">
        <f t="shared" si="51"/>
        <v>OK</v>
      </c>
    </row>
    <row r="284" spans="1:33">
      <c r="A284" s="61" t="str">
        <f t="shared" si="45"/>
        <v>LONDRINA [ETAPA 03 - CONDOMINIO ARANGUA]XLI - A5</v>
      </c>
      <c r="B284" s="263" t="s">
        <v>33</v>
      </c>
      <c r="C284" s="337" t="s">
        <v>1079</v>
      </c>
      <c r="D284" s="166">
        <v>5</v>
      </c>
      <c r="E284" s="197">
        <v>277.48</v>
      </c>
      <c r="F284" s="166">
        <v>6252</v>
      </c>
      <c r="G284" s="338" t="s">
        <v>562</v>
      </c>
      <c r="H284" s="40">
        <v>43175</v>
      </c>
      <c r="I284" s="35">
        <v>124140</v>
      </c>
      <c r="J284" s="35" t="str">
        <f>IFERROR(VLOOKUP(CONCATENATE(B284,C284,D284,),Inadimplencia!$A$6:$K$110,6,0),"ATIVO")</f>
        <v>ATIVO</v>
      </c>
      <c r="K284" s="35">
        <f t="shared" si="46"/>
        <v>130367.01000000001</v>
      </c>
      <c r="L284" s="325">
        <f t="shared" si="47"/>
        <v>1.0501611889801838</v>
      </c>
      <c r="M284" s="423" t="str">
        <f t="shared" si="48"/>
        <v>ATIVO1</v>
      </c>
      <c r="X284" s="203" t="str">
        <f t="shared" si="43"/>
        <v>LONDRINA [ETAPA 03 - CONDOMINIO ARANGUA]ATIVO</v>
      </c>
      <c r="Y284" s="203" t="str">
        <f t="shared" si="44"/>
        <v>XLI - A5BRUNO RODRIGUES CROCE</v>
      </c>
      <c r="Z284" s="203" t="str">
        <f t="shared" si="49"/>
        <v>XLI - A5BRUNO RODRIGUES CROCE</v>
      </c>
      <c r="AA284" s="427" t="s">
        <v>1079</v>
      </c>
      <c r="AB284" s="427">
        <v>5</v>
      </c>
      <c r="AC284" s="428" t="s">
        <v>562</v>
      </c>
      <c r="AD284" s="505">
        <v>130367.01000000001</v>
      </c>
      <c r="AE284" s="506">
        <v>175902.54</v>
      </c>
      <c r="AF284" s="60" t="str">
        <f t="shared" si="50"/>
        <v>BRUNO RODRIGUES CROCE</v>
      </c>
      <c r="AG284" s="60" t="str">
        <f t="shared" si="51"/>
        <v>OK</v>
      </c>
    </row>
    <row r="285" spans="1:33">
      <c r="A285" s="61" t="str">
        <f t="shared" si="45"/>
        <v>LONDRINA [ETAPA 03 - CONDOMINIO ARANGUA]XLI - A6</v>
      </c>
      <c r="B285" s="263" t="s">
        <v>33</v>
      </c>
      <c r="C285" s="337" t="s">
        <v>1079</v>
      </c>
      <c r="D285" s="73">
        <v>6</v>
      </c>
      <c r="E285" s="315">
        <v>277.48</v>
      </c>
      <c r="F285" s="166">
        <v>6282</v>
      </c>
      <c r="G285" s="74" t="s">
        <v>563</v>
      </c>
      <c r="H285" s="40">
        <v>43187</v>
      </c>
      <c r="I285" s="35">
        <v>123140</v>
      </c>
      <c r="J285" s="35" t="str">
        <f>IFERROR(VLOOKUP(CONCATENATE(B285,C285,D285,),Inadimplencia!$A$6:$K$110,6,0),"ATIVO")</f>
        <v>ATIVO</v>
      </c>
      <c r="K285" s="35">
        <f t="shared" si="46"/>
        <v>125483.95</v>
      </c>
      <c r="L285" s="325">
        <f t="shared" si="47"/>
        <v>1.0190348383953223</v>
      </c>
      <c r="M285" s="423" t="str">
        <f t="shared" si="48"/>
        <v>ATIVO1</v>
      </c>
      <c r="X285" s="203" t="str">
        <f t="shared" si="43"/>
        <v>LONDRINA [ETAPA 03 - CONDOMINIO ARANGUA]ATIVO</v>
      </c>
      <c r="Y285" s="203" t="str">
        <f t="shared" si="44"/>
        <v>XLI - A6CRISTIANE CAROLINA CRUZES</v>
      </c>
      <c r="Z285" s="203" t="str">
        <f t="shared" si="49"/>
        <v>XLI - A6CRISTIANE CAROLINA CRUZES</v>
      </c>
      <c r="AA285" s="427" t="s">
        <v>1079</v>
      </c>
      <c r="AB285" s="427">
        <v>6</v>
      </c>
      <c r="AC285" s="428" t="s">
        <v>563</v>
      </c>
      <c r="AD285" s="505">
        <v>125483.95</v>
      </c>
      <c r="AE285" s="506">
        <v>181657.26</v>
      </c>
      <c r="AF285" s="60" t="str">
        <f t="shared" si="50"/>
        <v>CRISTIANE CAROLINA CRUZES</v>
      </c>
      <c r="AG285" s="60" t="str">
        <f t="shared" si="51"/>
        <v>OK</v>
      </c>
    </row>
    <row r="286" spans="1:33">
      <c r="A286" s="61" t="str">
        <f t="shared" si="45"/>
        <v>LONDRINA [ETAPA 03 - CONDOMINIO ARANGUA]XLI - A7</v>
      </c>
      <c r="B286" s="263" t="s">
        <v>33</v>
      </c>
      <c r="C286" s="337" t="s">
        <v>1079</v>
      </c>
      <c r="D286" s="166">
        <v>7</v>
      </c>
      <c r="E286" s="197">
        <v>277.48</v>
      </c>
      <c r="F286" s="166">
        <v>3699</v>
      </c>
      <c r="G286" s="338" t="s">
        <v>1123</v>
      </c>
      <c r="H286" s="40">
        <v>43845</v>
      </c>
      <c r="I286" s="35">
        <v>122200.2</v>
      </c>
      <c r="J286" s="35" t="str">
        <f>IFERROR(VLOOKUP(CONCATENATE(B286,C286,D286,),Inadimplencia!$A$6:$K$110,6,0),"ATIVO")</f>
        <v>ATIVO</v>
      </c>
      <c r="K286" s="35">
        <f t="shared" si="46"/>
        <v>121811.39</v>
      </c>
      <c r="L286" s="325">
        <f t="shared" si="47"/>
        <v>0.99681825397994439</v>
      </c>
      <c r="M286" s="423" t="str">
        <f t="shared" si="48"/>
        <v>ATIVO0</v>
      </c>
      <c r="X286" s="203" t="str">
        <f t="shared" si="43"/>
        <v>LONDRINA [ETAPA 03 - CONDOMINIO ARANGUA]ATIVO</v>
      </c>
      <c r="Y286" s="203" t="str">
        <f t="shared" si="44"/>
        <v>XLI - A7LUIZ GUILHERME DE GOES</v>
      </c>
      <c r="Z286" s="203" t="str">
        <f t="shared" si="49"/>
        <v>XLI - A7LUIZ GUILHERME DE GOES</v>
      </c>
      <c r="AA286" s="427" t="s">
        <v>1079</v>
      </c>
      <c r="AB286" s="427">
        <v>7</v>
      </c>
      <c r="AC286" s="428" t="s">
        <v>1123</v>
      </c>
      <c r="AD286" s="505">
        <v>121811.39</v>
      </c>
      <c r="AE286" s="506">
        <v>147037.63</v>
      </c>
      <c r="AF286" s="60" t="str">
        <f t="shared" si="50"/>
        <v>LUIZ GUILHERME DE GOES</v>
      </c>
      <c r="AG286" s="60" t="str">
        <f t="shared" si="51"/>
        <v>OK</v>
      </c>
    </row>
    <row r="287" spans="1:33">
      <c r="A287" s="61" t="str">
        <f t="shared" si="45"/>
        <v>LONDRINA [ETAPA 03 - CONDOMINIO ARANGUA]XLI - A9</v>
      </c>
      <c r="B287" s="263" t="s">
        <v>33</v>
      </c>
      <c r="C287" s="337" t="s">
        <v>1079</v>
      </c>
      <c r="D287" s="73">
        <v>9</v>
      </c>
      <c r="E287" s="315">
        <v>376.97</v>
      </c>
      <c r="F287" s="166">
        <v>5110</v>
      </c>
      <c r="G287" s="74" t="s">
        <v>1499</v>
      </c>
      <c r="H287" s="40">
        <v>44270</v>
      </c>
      <c r="I287" s="35">
        <v>220249.24</v>
      </c>
      <c r="J287" s="35" t="str">
        <f>IFERROR(VLOOKUP(CONCATENATE(B287,C287,D287,),Inadimplencia!$A$6:$K$110,6,0),"ATIVO")</f>
        <v>ATIVO</v>
      </c>
      <c r="K287" s="35">
        <f t="shared" si="46"/>
        <v>211387.68</v>
      </c>
      <c r="L287" s="325">
        <f t="shared" si="47"/>
        <v>0.95976576355042131</v>
      </c>
      <c r="M287" s="423" t="str">
        <f t="shared" si="48"/>
        <v>ATIVO0</v>
      </c>
      <c r="X287" s="203" t="str">
        <f t="shared" si="43"/>
        <v>LONDRINA [ETAPA 03 - CONDOMINIO ARANGUA]ATIVO</v>
      </c>
      <c r="Y287" s="203" t="str">
        <f t="shared" si="44"/>
        <v>XLI - A9WESLEY ROQUE SIQUEIRA</v>
      </c>
      <c r="Z287" s="203" t="str">
        <f t="shared" si="49"/>
        <v>XLI - A9WESLEY ROQUE SIQUEIRA</v>
      </c>
      <c r="AA287" s="427" t="s">
        <v>1079</v>
      </c>
      <c r="AB287" s="427">
        <v>9</v>
      </c>
      <c r="AC287" s="428" t="s">
        <v>1499</v>
      </c>
      <c r="AD287" s="505">
        <v>211387.68</v>
      </c>
      <c r="AE287" s="506">
        <v>220759.42</v>
      </c>
      <c r="AF287" s="60" t="str">
        <f t="shared" si="50"/>
        <v>WESLEY ROQUE SIQUEIRA</v>
      </c>
      <c r="AG287" s="60" t="str">
        <f t="shared" si="51"/>
        <v>OK</v>
      </c>
    </row>
    <row r="288" spans="1:33">
      <c r="A288" s="61" t="str">
        <f t="shared" si="45"/>
        <v>LONDRINA [ETAPA 03 - CONDOMINIO ARANGUA]XLII1</v>
      </c>
      <c r="B288" s="263" t="s">
        <v>33</v>
      </c>
      <c r="C288" s="337" t="s">
        <v>525</v>
      </c>
      <c r="D288" s="166">
        <v>1</v>
      </c>
      <c r="E288" s="197">
        <v>275.16000000000003</v>
      </c>
      <c r="F288" s="166">
        <v>6150</v>
      </c>
      <c r="G288" s="338" t="s">
        <v>259</v>
      </c>
      <c r="H288" s="40">
        <v>43129</v>
      </c>
      <c r="I288" s="35">
        <v>129720</v>
      </c>
      <c r="J288" s="35" t="str">
        <f>IFERROR(VLOOKUP(CONCATENATE(B288,C288,D288,),Inadimplencia!$A$6:$K$110,6,0),"ATIVO")</f>
        <v>ATIVO</v>
      </c>
      <c r="K288" s="35">
        <f t="shared" si="46"/>
        <v>85348.24</v>
      </c>
      <c r="L288" s="325">
        <f t="shared" si="47"/>
        <v>0.65794202898550724</v>
      </c>
      <c r="M288" s="423" t="str">
        <f t="shared" si="48"/>
        <v>ATIVO0</v>
      </c>
      <c r="X288" s="203" t="str">
        <f t="shared" si="43"/>
        <v>LONDRINA [ETAPA 03 - CONDOMINIO ARANGUA]ATIVO</v>
      </c>
      <c r="Y288" s="203" t="str">
        <f t="shared" si="44"/>
        <v>XLII1JEFFERSON MOREIRA FRANCA</v>
      </c>
      <c r="Z288" s="203" t="str">
        <f t="shared" si="49"/>
        <v>XLII1JEFFERSON MOREIRA FRANCA</v>
      </c>
      <c r="AA288" s="427" t="s">
        <v>525</v>
      </c>
      <c r="AB288" s="427">
        <v>1</v>
      </c>
      <c r="AC288" s="428" t="s">
        <v>259</v>
      </c>
      <c r="AD288" s="505">
        <v>85348.24</v>
      </c>
      <c r="AE288" s="506">
        <v>184009</v>
      </c>
      <c r="AF288" s="60" t="str">
        <f t="shared" si="50"/>
        <v>JEFFERSON MOREIRA FRANCA</v>
      </c>
      <c r="AG288" s="60" t="str">
        <f t="shared" si="51"/>
        <v>OK</v>
      </c>
    </row>
    <row r="289" spans="1:33">
      <c r="A289" s="61" t="str">
        <f t="shared" si="45"/>
        <v>LONDRINA [ETAPA 03 - CONDOMINIO ARANGUA]XLII2</v>
      </c>
      <c r="B289" s="263" t="s">
        <v>33</v>
      </c>
      <c r="C289" s="337" t="s">
        <v>525</v>
      </c>
      <c r="D289" s="73">
        <v>2</v>
      </c>
      <c r="E289" s="315">
        <v>262.92</v>
      </c>
      <c r="F289" s="166"/>
      <c r="G289" s="74" t="s">
        <v>1013</v>
      </c>
      <c r="H289" s="40">
        <v>43647</v>
      </c>
      <c r="I289" s="35">
        <v>122200</v>
      </c>
      <c r="J289" s="35" t="str">
        <f>IFERROR(VLOOKUP(CONCATENATE(B289,C289,D289,),Inadimplencia!$A$6:$K$110,6,0),"ATIVO")</f>
        <v>ATIVO</v>
      </c>
      <c r="K289" s="35">
        <f t="shared" si="46"/>
        <v>121047.08</v>
      </c>
      <c r="L289" s="325">
        <f t="shared" si="47"/>
        <v>0.99056530278232402</v>
      </c>
      <c r="M289" s="423" t="str">
        <f t="shared" si="48"/>
        <v>ATIVO0</v>
      </c>
      <c r="X289" s="203" t="str">
        <f t="shared" si="43"/>
        <v>LONDRINA [ETAPA 03 - CONDOMINIO ARANGUA]ATIVO</v>
      </c>
      <c r="Y289" s="203" t="str">
        <f t="shared" si="44"/>
        <v>XLII2EDNILSON APARECIDO DA SILVA</v>
      </c>
      <c r="Z289" s="203" t="str">
        <f t="shared" si="49"/>
        <v>XLII2EDNILSON APARECIDO DA SILVA</v>
      </c>
      <c r="AA289" s="427" t="s">
        <v>525</v>
      </c>
      <c r="AB289" s="427">
        <v>2</v>
      </c>
      <c r="AC289" s="428" t="s">
        <v>1013</v>
      </c>
      <c r="AD289" s="505">
        <v>121047.08</v>
      </c>
      <c r="AE289" s="506">
        <v>154804.06</v>
      </c>
      <c r="AF289" s="60" t="str">
        <f t="shared" si="50"/>
        <v>EDNILSON APARECIDO DA SILVA</v>
      </c>
      <c r="AG289" s="60" t="str">
        <f t="shared" si="51"/>
        <v>OK</v>
      </c>
    </row>
    <row r="290" spans="1:33">
      <c r="A290" s="61" t="str">
        <f t="shared" si="45"/>
        <v>LONDRINA [ETAPA 03 - CONDOMINIO ARANGUA]XLII4</v>
      </c>
      <c r="B290" s="263" t="s">
        <v>33</v>
      </c>
      <c r="C290" s="337" t="s">
        <v>525</v>
      </c>
      <c r="D290" s="166">
        <v>4</v>
      </c>
      <c r="E290" s="197">
        <v>253.01</v>
      </c>
      <c r="F290" s="166">
        <v>6524</v>
      </c>
      <c r="G290" s="338" t="s">
        <v>763</v>
      </c>
      <c r="H290" s="40">
        <v>43284</v>
      </c>
      <c r="I290" s="35">
        <v>131600</v>
      </c>
      <c r="J290" s="35" t="str">
        <f>IFERROR(VLOOKUP(CONCATENATE(B290,C290,D290,),Inadimplencia!$A$6:$K$110,6,0),"ATIVO")</f>
        <v>INADIMPLENTE</v>
      </c>
      <c r="K290" s="35">
        <f t="shared" si="46"/>
        <v>187475.79</v>
      </c>
      <c r="L290" s="325">
        <f t="shared" si="47"/>
        <v>1.4245880699088147</v>
      </c>
      <c r="M290" s="423" t="str">
        <f t="shared" si="48"/>
        <v>INADIMPLENTE1</v>
      </c>
      <c r="X290" s="203" t="str">
        <f t="shared" si="43"/>
        <v>LONDRINA [ETAPA 03 - CONDOMINIO ARANGUA]INADIMPLENTE</v>
      </c>
      <c r="Y290" s="203" t="str">
        <f t="shared" si="44"/>
        <v>XLII4LEONARDO NUNES BUONO</v>
      </c>
      <c r="Z290" s="203" t="str">
        <f t="shared" si="49"/>
        <v>XLII4LEONARDO NUNES BUONO</v>
      </c>
      <c r="AA290" s="427" t="s">
        <v>525</v>
      </c>
      <c r="AB290" s="427">
        <v>4</v>
      </c>
      <c r="AC290" s="428" t="s">
        <v>763</v>
      </c>
      <c r="AD290" s="505">
        <v>187475.79</v>
      </c>
      <c r="AE290" s="506">
        <v>198863.57</v>
      </c>
      <c r="AF290" s="60" t="str">
        <f t="shared" si="50"/>
        <v>LEONARDO NUNES BUONO</v>
      </c>
      <c r="AG290" s="60" t="str">
        <f t="shared" si="51"/>
        <v>OK</v>
      </c>
    </row>
    <row r="291" spans="1:33">
      <c r="A291" s="61" t="str">
        <f t="shared" si="45"/>
        <v>LONDRINA [ETAPA 03 - CONDOMINIO ARANGUA]XLII5</v>
      </c>
      <c r="B291" s="263" t="s">
        <v>33</v>
      </c>
      <c r="C291" s="337" t="s">
        <v>525</v>
      </c>
      <c r="D291" s="73">
        <v>5</v>
      </c>
      <c r="E291" s="315">
        <v>253.01</v>
      </c>
      <c r="F291" s="166"/>
      <c r="G291" s="74" t="s">
        <v>858</v>
      </c>
      <c r="H291" s="40">
        <v>43427</v>
      </c>
      <c r="I291" s="35">
        <v>272538.23</v>
      </c>
      <c r="J291" s="35" t="str">
        <f>IFERROR(VLOOKUP(CONCATENATE(B291,C291,D291,),Inadimplencia!$A$6:$K$110,6,0),"ATIVO")</f>
        <v>ATIVO</v>
      </c>
      <c r="K291" s="35">
        <f t="shared" si="46"/>
        <v>112927.77</v>
      </c>
      <c r="L291" s="325">
        <f t="shared" si="47"/>
        <v>0.41435570341819572</v>
      </c>
      <c r="M291" s="423" t="str">
        <f t="shared" si="48"/>
        <v>ATIVO0</v>
      </c>
      <c r="X291" s="203" t="str">
        <f t="shared" si="43"/>
        <v>LONDRINA [ETAPA 03 - CONDOMINIO ARANGUA]ATIVO</v>
      </c>
      <c r="Y291" s="203" t="str">
        <f t="shared" si="44"/>
        <v>XLII5GIOVANO APARECIDO DE LIMA</v>
      </c>
      <c r="Z291" s="203" t="str">
        <f t="shared" si="49"/>
        <v>XLII5GIOVANO APARECIDO DE LIMA</v>
      </c>
      <c r="AA291" s="427" t="s">
        <v>525</v>
      </c>
      <c r="AB291" s="427">
        <v>5</v>
      </c>
      <c r="AC291" s="428" t="s">
        <v>858</v>
      </c>
      <c r="AD291" s="505">
        <v>112927.77</v>
      </c>
      <c r="AE291" s="506">
        <v>184456.7</v>
      </c>
      <c r="AF291" s="60" t="str">
        <f t="shared" si="50"/>
        <v>GIOVANO APARECIDO DE LIMA</v>
      </c>
      <c r="AG291" s="60" t="str">
        <f t="shared" si="51"/>
        <v>OK</v>
      </c>
    </row>
    <row r="292" spans="1:33">
      <c r="A292" s="61" t="str">
        <f t="shared" si="45"/>
        <v>LONDRINA [ETAPA 03 - CONDOMINIO ARANGUA]XLII6</v>
      </c>
      <c r="B292" s="263" t="s">
        <v>33</v>
      </c>
      <c r="C292" s="337" t="s">
        <v>525</v>
      </c>
      <c r="D292" s="166">
        <v>6</v>
      </c>
      <c r="E292" s="197">
        <v>253.01</v>
      </c>
      <c r="F292" s="166">
        <v>6331</v>
      </c>
      <c r="G292" s="338" t="s">
        <v>586</v>
      </c>
      <c r="H292" s="40">
        <v>43215</v>
      </c>
      <c r="I292" s="35">
        <v>141353.45000000001</v>
      </c>
      <c r="J292" s="35" t="str">
        <f>IFERROR(VLOOKUP(CONCATENATE(B292,C292,D292,),Inadimplencia!$A$6:$K$110,6,0),"ATIVO")</f>
        <v>ATRASO</v>
      </c>
      <c r="K292" s="35">
        <f t="shared" si="46"/>
        <v>143906.65</v>
      </c>
      <c r="L292" s="325">
        <f t="shared" si="47"/>
        <v>1.0180625234120566</v>
      </c>
      <c r="M292" s="423" t="str">
        <f t="shared" si="48"/>
        <v>ATRASO1</v>
      </c>
      <c r="X292" s="203" t="str">
        <f t="shared" si="43"/>
        <v>LONDRINA [ETAPA 03 - CONDOMINIO ARANGUA]ATRASO</v>
      </c>
      <c r="Y292" s="203" t="str">
        <f t="shared" si="44"/>
        <v>XLII6FRANCIELLE SANCHES CARNELOSSI</v>
      </c>
      <c r="Z292" s="203" t="str">
        <f t="shared" si="49"/>
        <v>XLII6FRANCIELLE SANCHES CARNELOSSI</v>
      </c>
      <c r="AA292" s="427" t="s">
        <v>525</v>
      </c>
      <c r="AB292" s="427">
        <v>6</v>
      </c>
      <c r="AC292" s="428" t="s">
        <v>586</v>
      </c>
      <c r="AD292" s="505">
        <v>143906.65</v>
      </c>
      <c r="AE292" s="506">
        <v>203283.25</v>
      </c>
      <c r="AF292" s="60" t="str">
        <f t="shared" si="50"/>
        <v>FRANCIELLE SANCHES CARNELOSSI</v>
      </c>
      <c r="AG292" s="60" t="str">
        <f t="shared" si="51"/>
        <v>OK</v>
      </c>
    </row>
    <row r="293" spans="1:33">
      <c r="A293" s="61" t="str">
        <f t="shared" si="45"/>
        <v>LONDRINA [ETAPA 03 - CONDOMINIO ARANGUA]XLII7</v>
      </c>
      <c r="B293" s="263" t="s">
        <v>33</v>
      </c>
      <c r="C293" s="337" t="s">
        <v>525</v>
      </c>
      <c r="D293" s="73">
        <v>7</v>
      </c>
      <c r="E293" s="315">
        <v>253.01</v>
      </c>
      <c r="F293" s="166">
        <v>5530</v>
      </c>
      <c r="G293" s="74" t="s">
        <v>413</v>
      </c>
      <c r="H293" s="40">
        <v>42772</v>
      </c>
      <c r="I293" s="35">
        <v>128212.23</v>
      </c>
      <c r="J293" s="35" t="str">
        <f>IFERROR(VLOOKUP(CONCATENATE(B293,C293,D293,),Inadimplencia!$A$6:$K$110,6,0),"ATIVO")</f>
        <v>ATRASO</v>
      </c>
      <c r="K293" s="35">
        <f t="shared" si="46"/>
        <v>128443.17</v>
      </c>
      <c r="L293" s="325">
        <f t="shared" si="47"/>
        <v>1.0018012322225422</v>
      </c>
      <c r="M293" s="423" t="str">
        <f t="shared" si="48"/>
        <v>ATRASO1</v>
      </c>
      <c r="X293" s="203" t="str">
        <f t="shared" si="43"/>
        <v>LONDRINA [ETAPA 03 - CONDOMINIO ARANGUA]ATRASO</v>
      </c>
      <c r="Y293" s="203" t="str">
        <f t="shared" si="44"/>
        <v>XLII7RENAN VINICIUS GOUVEIA ANCIOTO</v>
      </c>
      <c r="Z293" s="203" t="str">
        <f t="shared" si="49"/>
        <v>XLII7RENAN VINICIUS GOUVEIA ANCIOTO</v>
      </c>
      <c r="AA293" s="427" t="s">
        <v>525</v>
      </c>
      <c r="AB293" s="427">
        <v>7</v>
      </c>
      <c r="AC293" s="428" t="s">
        <v>413</v>
      </c>
      <c r="AD293" s="505">
        <v>128443.17</v>
      </c>
      <c r="AE293" s="506">
        <v>199851.87</v>
      </c>
      <c r="AF293" s="60" t="str">
        <f t="shared" si="50"/>
        <v>RENAN VINICIUS GOUVEIA ANCIOTO</v>
      </c>
      <c r="AG293" s="60" t="str">
        <f t="shared" si="51"/>
        <v>OK</v>
      </c>
    </row>
    <row r="294" spans="1:33">
      <c r="A294" s="61" t="str">
        <f t="shared" si="45"/>
        <v>LONDRINA [ETAPA 03 - CONDOMINIO ARANGUA]XLII9</v>
      </c>
      <c r="B294" s="263" t="s">
        <v>33</v>
      </c>
      <c r="C294" s="337" t="s">
        <v>525</v>
      </c>
      <c r="D294" s="166">
        <v>9</v>
      </c>
      <c r="E294" s="197">
        <v>253.01</v>
      </c>
      <c r="F294" s="166">
        <v>5349</v>
      </c>
      <c r="G294" s="338" t="s">
        <v>121</v>
      </c>
      <c r="H294" s="40">
        <v>42705</v>
      </c>
      <c r="I294" s="35">
        <v>136395.99</v>
      </c>
      <c r="J294" s="35" t="str">
        <f>IFERROR(VLOOKUP(CONCATENATE(B294,C294,D294,),Inadimplencia!$A$6:$K$110,6,0),"ATIVO")</f>
        <v>ATIVO</v>
      </c>
      <c r="K294" s="35">
        <f t="shared" si="46"/>
        <v>128083.93000000001</v>
      </c>
      <c r="L294" s="325">
        <f t="shared" si="47"/>
        <v>0.93905935211145153</v>
      </c>
      <c r="M294" s="423" t="str">
        <f t="shared" si="48"/>
        <v>ATIVO0</v>
      </c>
      <c r="X294" s="203" t="str">
        <f t="shared" si="43"/>
        <v>LONDRINA [ETAPA 03 - CONDOMINIO ARANGUA]ATIVO</v>
      </c>
      <c r="Y294" s="203" t="str">
        <f t="shared" si="44"/>
        <v>XLII9CRISTINA DA SILVA GERMANI</v>
      </c>
      <c r="Z294" s="203" t="str">
        <f t="shared" si="49"/>
        <v>XLII9CRISTINA DA SILVA GERMANI</v>
      </c>
      <c r="AA294" s="427" t="s">
        <v>525</v>
      </c>
      <c r="AB294" s="427">
        <v>9</v>
      </c>
      <c r="AC294" s="428" t="s">
        <v>121</v>
      </c>
      <c r="AD294" s="505">
        <v>128083.93000000001</v>
      </c>
      <c r="AE294" s="506">
        <v>218977.86000000002</v>
      </c>
      <c r="AF294" s="60" t="str">
        <f t="shared" si="50"/>
        <v>CRISTINA DA SILVA GERMANI</v>
      </c>
      <c r="AG294" s="60" t="str">
        <f t="shared" si="51"/>
        <v>OK</v>
      </c>
    </row>
    <row r="295" spans="1:33">
      <c r="A295" s="61" t="str">
        <f t="shared" si="45"/>
        <v>LONDRINA [ETAPA 03 - CONDOMINIO ARANGUA]XLII11</v>
      </c>
      <c r="B295" s="263" t="s">
        <v>33</v>
      </c>
      <c r="C295" s="337" t="s">
        <v>525</v>
      </c>
      <c r="D295" s="73">
        <v>11</v>
      </c>
      <c r="E295" s="315">
        <v>253.01</v>
      </c>
      <c r="F295" s="166">
        <v>4811</v>
      </c>
      <c r="G295" s="74" t="s">
        <v>124</v>
      </c>
      <c r="H295" s="40">
        <v>42156</v>
      </c>
      <c r="I295" s="35">
        <v>129699.4</v>
      </c>
      <c r="J295" s="35" t="str">
        <f>IFERROR(VLOOKUP(CONCATENATE(B295,C295,D295,),Inadimplencia!$A$6:$K$110,6,0),"ATIVO")</f>
        <v>INADIMPLENTE</v>
      </c>
      <c r="K295" s="35">
        <f t="shared" si="46"/>
        <v>212076.51</v>
      </c>
      <c r="L295" s="325">
        <f t="shared" si="47"/>
        <v>1.6351387130549564</v>
      </c>
      <c r="M295" s="423" t="str">
        <f t="shared" si="48"/>
        <v>INADIMPLENTE1</v>
      </c>
      <c r="X295" s="203" t="str">
        <f t="shared" si="43"/>
        <v>LONDRINA [ETAPA 03 - CONDOMINIO ARANGUA]INADIMPLENTE</v>
      </c>
      <c r="Y295" s="203" t="str">
        <f t="shared" si="44"/>
        <v>XLII11DANIEL BRAGUETO MARTINS</v>
      </c>
      <c r="Z295" s="203" t="str">
        <f t="shared" si="49"/>
        <v>XLII11DANIEL BRAGUETO MARTINS</v>
      </c>
      <c r="AA295" s="427" t="s">
        <v>525</v>
      </c>
      <c r="AB295" s="427">
        <v>11</v>
      </c>
      <c r="AC295" s="428" t="s">
        <v>124</v>
      </c>
      <c r="AD295" s="505">
        <v>212076.51</v>
      </c>
      <c r="AE295" s="506">
        <v>230561.52000000002</v>
      </c>
      <c r="AF295" s="60" t="str">
        <f t="shared" si="50"/>
        <v>DANIEL BRAGUETO MARTINS</v>
      </c>
      <c r="AG295" s="60" t="str">
        <f t="shared" si="51"/>
        <v>OK</v>
      </c>
    </row>
    <row r="296" spans="1:33">
      <c r="A296" s="61" t="str">
        <f t="shared" si="45"/>
        <v>LONDRINA [ETAPA 03 - CONDOMINIO ARANGUA]XLII12</v>
      </c>
      <c r="B296" s="263" t="s">
        <v>33</v>
      </c>
      <c r="C296" s="337" t="s">
        <v>525</v>
      </c>
      <c r="D296" s="166">
        <v>12</v>
      </c>
      <c r="E296" s="197">
        <v>253.01</v>
      </c>
      <c r="F296" s="166">
        <v>3868</v>
      </c>
      <c r="G296" s="338" t="s">
        <v>935</v>
      </c>
      <c r="H296" s="40">
        <v>41859</v>
      </c>
      <c r="I296" s="35">
        <v>102223.52</v>
      </c>
      <c r="J296" s="35" t="str">
        <f>IFERROR(VLOOKUP(CONCATENATE(B296,C296,D296,),Inadimplencia!$A$6:$K$110,6,0),"ATIVO")</f>
        <v>ATIVO</v>
      </c>
      <c r="K296" s="35">
        <f t="shared" si="46"/>
        <v>100190.21</v>
      </c>
      <c r="L296" s="325">
        <f t="shared" si="47"/>
        <v>0.98010917644002082</v>
      </c>
      <c r="M296" s="423" t="str">
        <f t="shared" si="48"/>
        <v>ATIVO0</v>
      </c>
      <c r="X296" s="203" t="str">
        <f t="shared" si="43"/>
        <v>LONDRINA [ETAPA 03 - CONDOMINIO ARANGUA]ATIVO</v>
      </c>
      <c r="Y296" s="203" t="str">
        <f t="shared" si="44"/>
        <v>XLII12FELIPE MARTINS SCOTTON</v>
      </c>
      <c r="Z296" s="203" t="str">
        <f t="shared" si="49"/>
        <v>XLII12FELIPE MARTINS SCOTTON</v>
      </c>
      <c r="AA296" s="427" t="s">
        <v>525</v>
      </c>
      <c r="AB296" s="427">
        <v>12</v>
      </c>
      <c r="AC296" s="428" t="s">
        <v>935</v>
      </c>
      <c r="AD296" s="505">
        <v>100190.21</v>
      </c>
      <c r="AE296" s="506">
        <v>179727.17</v>
      </c>
      <c r="AF296" s="60" t="str">
        <f t="shared" si="50"/>
        <v>FELIPE MARTINS SCOTTON</v>
      </c>
      <c r="AG296" s="60" t="str">
        <f t="shared" si="51"/>
        <v>OK</v>
      </c>
    </row>
    <row r="297" spans="1:33">
      <c r="A297" s="61" t="str">
        <f t="shared" si="45"/>
        <v>LONDRINA [ETAPA 03 - CONDOMINIO ARANGUA]XLII15</v>
      </c>
      <c r="B297" s="263" t="s">
        <v>33</v>
      </c>
      <c r="C297" s="337" t="s">
        <v>525</v>
      </c>
      <c r="D297" s="73">
        <v>15</v>
      </c>
      <c r="E297" s="315">
        <v>272.5</v>
      </c>
      <c r="F297" s="166">
        <v>4313</v>
      </c>
      <c r="G297" s="74" t="s">
        <v>421</v>
      </c>
      <c r="H297" s="40">
        <v>41990</v>
      </c>
      <c r="I297" s="35">
        <v>134352.85</v>
      </c>
      <c r="J297" s="35" t="str">
        <f>IFERROR(VLOOKUP(CONCATENATE(B297,C297,D297,),Inadimplencia!$A$6:$K$110,6,0),"ATIVO")</f>
        <v>ATIVO</v>
      </c>
      <c r="K297" s="35">
        <f t="shared" si="46"/>
        <v>75808.94</v>
      </c>
      <c r="L297" s="325">
        <f t="shared" si="47"/>
        <v>0.56425256330624918</v>
      </c>
      <c r="M297" s="423" t="str">
        <f t="shared" si="48"/>
        <v>ATIVO0</v>
      </c>
      <c r="X297" s="203" t="str">
        <f t="shared" si="43"/>
        <v>LONDRINA [ETAPA 03 - CONDOMINIO ARANGUA]ATIVO</v>
      </c>
      <c r="Y297" s="203" t="str">
        <f t="shared" si="44"/>
        <v>XLII15RODRIGO AUGUSTO MODESTO</v>
      </c>
      <c r="Z297" s="203" t="str">
        <f t="shared" si="49"/>
        <v>XLII15RODRIGO AUGUSTO MODESTO</v>
      </c>
      <c r="AA297" s="427" t="s">
        <v>525</v>
      </c>
      <c r="AB297" s="427">
        <v>15</v>
      </c>
      <c r="AC297" s="428" t="s">
        <v>421</v>
      </c>
      <c r="AD297" s="505">
        <v>75808.94</v>
      </c>
      <c r="AE297" s="506">
        <v>193401.44</v>
      </c>
      <c r="AF297" s="60" t="str">
        <f t="shared" si="50"/>
        <v>RODRIGO AUGUSTO MODESTO</v>
      </c>
      <c r="AG297" s="60" t="str">
        <f t="shared" si="51"/>
        <v>OK</v>
      </c>
    </row>
    <row r="298" spans="1:33">
      <c r="A298" s="61" t="str">
        <f t="shared" si="45"/>
        <v>LONDRINA [ETAPA 03 - CONDOMINIO ARANGUA]XLII16</v>
      </c>
      <c r="B298" s="263" t="s">
        <v>33</v>
      </c>
      <c r="C298" s="337" t="s">
        <v>525</v>
      </c>
      <c r="D298" s="166">
        <v>16</v>
      </c>
      <c r="E298" s="197">
        <v>272.5</v>
      </c>
      <c r="F298" s="166">
        <v>4312</v>
      </c>
      <c r="G298" s="338" t="s">
        <v>354</v>
      </c>
      <c r="H298" s="40">
        <v>41990</v>
      </c>
      <c r="I298" s="35">
        <v>134352.85</v>
      </c>
      <c r="J298" s="35" t="str">
        <f>IFERROR(VLOOKUP(CONCATENATE(B298,C298,D298,),Inadimplencia!$A$6:$K$110,6,0),"ATIVO")</f>
        <v>ATIVO</v>
      </c>
      <c r="K298" s="35">
        <f t="shared" si="46"/>
        <v>125209.93000000001</v>
      </c>
      <c r="L298" s="325">
        <f t="shared" si="47"/>
        <v>0.93194844768830731</v>
      </c>
      <c r="M298" s="423" t="str">
        <f t="shared" si="48"/>
        <v>ATIVO0</v>
      </c>
      <c r="X298" s="203" t="str">
        <f t="shared" si="43"/>
        <v>LONDRINA [ETAPA 03 - CONDOMINIO ARANGUA]ATIVO</v>
      </c>
      <c r="Y298" s="203" t="str">
        <f t="shared" si="44"/>
        <v>XLII16MARIA INEZ BUENO MODESTO</v>
      </c>
      <c r="Z298" s="203" t="str">
        <f t="shared" si="49"/>
        <v>XLII16MARIA INEZ BUENO MODESTO</v>
      </c>
      <c r="AA298" s="427" t="s">
        <v>525</v>
      </c>
      <c r="AB298" s="427">
        <v>16</v>
      </c>
      <c r="AC298" s="428" t="s">
        <v>354</v>
      </c>
      <c r="AD298" s="505">
        <v>125209.93000000001</v>
      </c>
      <c r="AE298" s="506">
        <v>218294.14</v>
      </c>
      <c r="AF298" s="60" t="str">
        <f t="shared" si="50"/>
        <v>MARIA INEZ BUENO MODESTO</v>
      </c>
      <c r="AG298" s="60" t="str">
        <f t="shared" si="51"/>
        <v>OK</v>
      </c>
    </row>
    <row r="299" spans="1:33">
      <c r="A299" s="61" t="str">
        <f t="shared" si="45"/>
        <v>LONDRINA [ETAPA 03 - CONDOMINIO ARANGUA]XLII19</v>
      </c>
      <c r="B299" s="263" t="s">
        <v>33</v>
      </c>
      <c r="C299" s="337" t="s">
        <v>525</v>
      </c>
      <c r="D299" s="73">
        <v>19</v>
      </c>
      <c r="E299" s="315">
        <v>304.64</v>
      </c>
      <c r="F299" s="166"/>
      <c r="G299" s="74" t="s">
        <v>1047</v>
      </c>
      <c r="H299" s="40">
        <v>43700</v>
      </c>
      <c r="I299" s="35">
        <v>154160.6</v>
      </c>
      <c r="J299" s="35" t="str">
        <f>IFERROR(VLOOKUP(CONCATENATE(B299,C299,D299,),Inadimplencia!$A$6:$K$110,6,0),"ATIVO")</f>
        <v>ATIVO</v>
      </c>
      <c r="K299" s="35">
        <f t="shared" si="46"/>
        <v>147993.18</v>
      </c>
      <c r="L299" s="325">
        <f t="shared" si="47"/>
        <v>0.95999353920521835</v>
      </c>
      <c r="M299" s="423" t="str">
        <f t="shared" si="48"/>
        <v>ATIVO0</v>
      </c>
      <c r="X299" s="203" t="str">
        <f t="shared" si="43"/>
        <v>LONDRINA [ETAPA 03 - CONDOMINIO ARANGUA]ATIVO</v>
      </c>
      <c r="Y299" s="203" t="str">
        <f t="shared" si="44"/>
        <v>XLII19BENEDITA DE LOURDES CARDOSO</v>
      </c>
      <c r="Z299" s="203" t="str">
        <f t="shared" si="49"/>
        <v>XLII19BENEDITA DE LOURDES CARDOSO</v>
      </c>
      <c r="AA299" s="427" t="s">
        <v>525</v>
      </c>
      <c r="AB299" s="427">
        <v>19</v>
      </c>
      <c r="AC299" s="428" t="s">
        <v>1047</v>
      </c>
      <c r="AD299" s="505">
        <v>147993.18</v>
      </c>
      <c r="AE299" s="506">
        <v>192614</v>
      </c>
      <c r="AF299" s="60" t="str">
        <f t="shared" si="50"/>
        <v>BENEDITA DE LOURDES CARDOSO</v>
      </c>
      <c r="AG299" s="60" t="str">
        <f t="shared" si="51"/>
        <v>OK</v>
      </c>
    </row>
    <row r="300" spans="1:33">
      <c r="A300" s="61" t="str">
        <f t="shared" si="45"/>
        <v>LONDRINA [ETAPA 03 - CONDOMINIO ARANGUA]XLIII1</v>
      </c>
      <c r="B300" s="263" t="s">
        <v>33</v>
      </c>
      <c r="C300" s="337" t="s">
        <v>526</v>
      </c>
      <c r="D300" s="166">
        <v>1</v>
      </c>
      <c r="E300" s="197">
        <v>300.63</v>
      </c>
      <c r="F300" s="166"/>
      <c r="G300" s="338" t="s">
        <v>929</v>
      </c>
      <c r="H300" s="40">
        <v>43500</v>
      </c>
      <c r="I300" s="35">
        <v>141000</v>
      </c>
      <c r="J300" s="35" t="str">
        <f>IFERROR(VLOOKUP(CONCATENATE(B300,C300,D300,),Inadimplencia!$A$6:$K$110,6,0),"ATIVO")</f>
        <v>ATIVO</v>
      </c>
      <c r="K300" s="35">
        <f t="shared" si="46"/>
        <v>133427.33000000002</v>
      </c>
      <c r="L300" s="325">
        <f t="shared" si="47"/>
        <v>0.94629312056737602</v>
      </c>
      <c r="M300" s="423" t="str">
        <f t="shared" si="48"/>
        <v>ATIVO0</v>
      </c>
      <c r="X300" s="203" t="str">
        <f t="shared" si="43"/>
        <v>LONDRINA [ETAPA 03 - CONDOMINIO ARANGUA]ATIVO</v>
      </c>
      <c r="Y300" s="203" t="str">
        <f t="shared" si="44"/>
        <v>XLIII1ROBERTO CARDOSO</v>
      </c>
      <c r="Z300" s="203" t="str">
        <f t="shared" si="49"/>
        <v>XLIII1ROBERTO CARDOSO</v>
      </c>
      <c r="AA300" s="427" t="s">
        <v>526</v>
      </c>
      <c r="AB300" s="427">
        <v>1</v>
      </c>
      <c r="AC300" s="428" t="s">
        <v>929</v>
      </c>
      <c r="AD300" s="505">
        <v>133427.33000000002</v>
      </c>
      <c r="AE300" s="506">
        <v>187577.58000000002</v>
      </c>
      <c r="AF300" s="60" t="str">
        <f t="shared" si="50"/>
        <v>ROBERTO CARDOSO</v>
      </c>
      <c r="AG300" s="60" t="str">
        <f t="shared" si="51"/>
        <v>OK</v>
      </c>
    </row>
    <row r="301" spans="1:33">
      <c r="A301" s="61" t="str">
        <f t="shared" si="45"/>
        <v>LONDRINA [ETAPA 03 - CONDOMINIO ARANGUA]XLIII2</v>
      </c>
      <c r="B301" s="263" t="s">
        <v>33</v>
      </c>
      <c r="C301" s="337" t="s">
        <v>526</v>
      </c>
      <c r="D301" s="73">
        <v>2</v>
      </c>
      <c r="E301" s="315">
        <v>265.06</v>
      </c>
      <c r="F301" s="166"/>
      <c r="G301" s="74" t="s">
        <v>876</v>
      </c>
      <c r="H301" s="40">
        <v>43432</v>
      </c>
      <c r="I301" s="35">
        <v>117500</v>
      </c>
      <c r="J301" s="35" t="str">
        <f>IFERROR(VLOOKUP(CONCATENATE(B301,C301,D301,),Inadimplencia!$A$6:$K$110,6,0),"ATIVO")</f>
        <v>ATIVO</v>
      </c>
      <c r="K301" s="35">
        <f t="shared" si="46"/>
        <v>117768.98</v>
      </c>
      <c r="L301" s="325">
        <f t="shared" si="47"/>
        <v>1.0022891914893617</v>
      </c>
      <c r="M301" s="423" t="str">
        <f t="shared" si="48"/>
        <v>ATIVO1</v>
      </c>
      <c r="X301" s="203" t="str">
        <f t="shared" si="43"/>
        <v>LONDRINA [ETAPA 03 - CONDOMINIO ARANGUA]ATIVO</v>
      </c>
      <c r="Y301" s="203" t="str">
        <f t="shared" si="44"/>
        <v>XLIII2GILBERTO MILLE</v>
      </c>
      <c r="Z301" s="203" t="str">
        <f t="shared" si="49"/>
        <v>XLIII2GILBERTO MILLE</v>
      </c>
      <c r="AA301" s="427" t="s">
        <v>526</v>
      </c>
      <c r="AB301" s="427">
        <v>2</v>
      </c>
      <c r="AC301" s="428" t="s">
        <v>876</v>
      </c>
      <c r="AD301" s="505">
        <v>117768.98</v>
      </c>
      <c r="AE301" s="506">
        <v>161215.05000000002</v>
      </c>
      <c r="AF301" s="60" t="str">
        <f t="shared" si="50"/>
        <v>GILBERTO MILLE</v>
      </c>
      <c r="AG301" s="60" t="str">
        <f t="shared" si="51"/>
        <v>OK</v>
      </c>
    </row>
    <row r="302" spans="1:33">
      <c r="A302" s="61" t="str">
        <f t="shared" si="45"/>
        <v>LONDRINA [ETAPA 03 - CONDOMINIO ARANGUA]XLIII6</v>
      </c>
      <c r="B302" s="263" t="s">
        <v>33</v>
      </c>
      <c r="C302" s="337" t="s">
        <v>526</v>
      </c>
      <c r="D302" s="166">
        <v>6</v>
      </c>
      <c r="E302" s="197">
        <v>253.77</v>
      </c>
      <c r="F302" s="166"/>
      <c r="G302" s="338" t="s">
        <v>982</v>
      </c>
      <c r="H302" s="40">
        <v>43619</v>
      </c>
      <c r="I302" s="35">
        <v>122200.1</v>
      </c>
      <c r="J302" s="35" t="str">
        <f>IFERROR(VLOOKUP(CONCATENATE(B302,C302,D302,),Inadimplencia!$A$6:$K$110,6,0),"ATIVO")</f>
        <v>ATIVO</v>
      </c>
      <c r="K302" s="35">
        <f t="shared" si="46"/>
        <v>25945.02</v>
      </c>
      <c r="L302" s="325">
        <f t="shared" si="47"/>
        <v>0.21231586553529824</v>
      </c>
      <c r="M302" s="423" t="str">
        <f t="shared" si="48"/>
        <v>ATIVO0</v>
      </c>
      <c r="X302" s="203" t="str">
        <f t="shared" si="43"/>
        <v>LONDRINA [ETAPA 03 - CONDOMINIO ARANGUA]ATIVO</v>
      </c>
      <c r="Y302" s="203" t="str">
        <f t="shared" si="44"/>
        <v>XLIII6LEO ANTONIO RAMOS</v>
      </c>
      <c r="Z302" s="203" t="str">
        <f t="shared" si="49"/>
        <v>XLIII6LEO ANTONIO RAMOS</v>
      </c>
      <c r="AA302" s="427" t="s">
        <v>526</v>
      </c>
      <c r="AB302" s="427">
        <v>6</v>
      </c>
      <c r="AC302" s="429" t="s">
        <v>982</v>
      </c>
      <c r="AD302" s="505">
        <v>25945.02</v>
      </c>
      <c r="AE302" s="506">
        <v>125218.39</v>
      </c>
      <c r="AF302" s="60" t="str">
        <f t="shared" si="50"/>
        <v>LEO ANTONIO RAMOS</v>
      </c>
      <c r="AG302" s="60" t="str">
        <f t="shared" si="51"/>
        <v>OK</v>
      </c>
    </row>
    <row r="303" spans="1:33">
      <c r="A303" s="61" t="str">
        <f t="shared" si="45"/>
        <v>LONDRINA [ETAPA 03 - CONDOMINIO ARANGUA]XLIII7</v>
      </c>
      <c r="B303" s="263" t="s">
        <v>33</v>
      </c>
      <c r="C303" s="337" t="s">
        <v>526</v>
      </c>
      <c r="D303" s="73">
        <v>7</v>
      </c>
      <c r="E303" s="315">
        <v>253.77</v>
      </c>
      <c r="F303" s="166">
        <v>4681</v>
      </c>
      <c r="G303" s="74" t="s">
        <v>1267</v>
      </c>
      <c r="H303" s="40">
        <v>44046</v>
      </c>
      <c r="I303" s="35">
        <v>122200</v>
      </c>
      <c r="J303" s="35" t="str">
        <f>IFERROR(VLOOKUP(CONCATENATE(B303,C303,D303,),Inadimplencia!$A$6:$K$110,6,0),"ATIVO")</f>
        <v>ATIVO</v>
      </c>
      <c r="K303" s="35">
        <f t="shared" si="46"/>
        <v>120931.79000000001</v>
      </c>
      <c r="L303" s="325">
        <f t="shared" si="47"/>
        <v>0.98962184942716869</v>
      </c>
      <c r="M303" s="423" t="str">
        <f t="shared" si="48"/>
        <v>ATIVO0</v>
      </c>
      <c r="X303" s="203" t="str">
        <f t="shared" si="43"/>
        <v>LONDRINA [ETAPA 03 - CONDOMINIO ARANGUA]ATIVO</v>
      </c>
      <c r="Y303" s="203" t="str">
        <f t="shared" si="44"/>
        <v>XLIII7WESLY APARECIDO WEBER</v>
      </c>
      <c r="Z303" s="203" t="str">
        <f t="shared" si="49"/>
        <v>XLIII7WESLY APARECIDO WEBER</v>
      </c>
      <c r="AA303" s="427" t="s">
        <v>526</v>
      </c>
      <c r="AB303" s="427">
        <v>7</v>
      </c>
      <c r="AC303" s="428" t="s">
        <v>1267</v>
      </c>
      <c r="AD303" s="505">
        <v>120931.79000000001</v>
      </c>
      <c r="AE303" s="506">
        <v>136689.79999999999</v>
      </c>
      <c r="AF303" s="60" t="str">
        <f t="shared" si="50"/>
        <v>WESLY APARECIDO WEBER</v>
      </c>
      <c r="AG303" s="60" t="str">
        <f t="shared" si="51"/>
        <v>OK</v>
      </c>
    </row>
    <row r="304" spans="1:33">
      <c r="A304" s="61" t="str">
        <f t="shared" si="45"/>
        <v>LONDRINA [ETAPA 03 - CONDOMINIO ARANGUA]XLIII8</v>
      </c>
      <c r="B304" s="263" t="s">
        <v>33</v>
      </c>
      <c r="C304" s="337" t="s">
        <v>526</v>
      </c>
      <c r="D304" s="166">
        <v>8</v>
      </c>
      <c r="E304" s="197">
        <v>253.77</v>
      </c>
      <c r="F304" s="166">
        <v>4795</v>
      </c>
      <c r="G304" s="338" t="s">
        <v>1317</v>
      </c>
      <c r="H304" s="40">
        <v>44104</v>
      </c>
      <c r="I304" s="35">
        <v>122200</v>
      </c>
      <c r="J304" s="35" t="str">
        <f>IFERROR(VLOOKUP(CONCATENATE(B304,C304,D304,),Inadimplencia!$A$6:$K$110,6,0),"ATIVO")</f>
        <v>ATIVO</v>
      </c>
      <c r="K304" s="35">
        <f t="shared" si="46"/>
        <v>124491.75</v>
      </c>
      <c r="L304" s="325">
        <f t="shared" si="47"/>
        <v>1.0187540916530278</v>
      </c>
      <c r="M304" s="423" t="str">
        <f t="shared" si="48"/>
        <v>ATIVO1</v>
      </c>
      <c r="X304" s="203" t="str">
        <f t="shared" si="43"/>
        <v>LONDRINA [ETAPA 03 - CONDOMINIO ARANGUA]ATIVO</v>
      </c>
      <c r="Y304" s="203" t="str">
        <f t="shared" si="44"/>
        <v>XLIII8KATIA MUNARETTO</v>
      </c>
      <c r="Z304" s="203" t="str">
        <f t="shared" si="49"/>
        <v>XLIII8KATIA MUNARETTO</v>
      </c>
      <c r="AA304" s="427" t="s">
        <v>526</v>
      </c>
      <c r="AB304" s="427">
        <v>8</v>
      </c>
      <c r="AC304" s="429" t="s">
        <v>1317</v>
      </c>
      <c r="AD304" s="505">
        <v>124491.75</v>
      </c>
      <c r="AE304" s="506">
        <v>133989.48000000001</v>
      </c>
      <c r="AF304" s="60" t="str">
        <f t="shared" si="50"/>
        <v>KATIA MUNARETTO</v>
      </c>
      <c r="AG304" s="60" t="str">
        <f t="shared" si="51"/>
        <v>OK</v>
      </c>
    </row>
    <row r="305" spans="1:33">
      <c r="A305" s="61" t="str">
        <f t="shared" si="45"/>
        <v>LONDRINA [ETAPA 03 - CONDOMINIO ARANGUA]XLIII9</v>
      </c>
      <c r="B305" s="263" t="s">
        <v>33</v>
      </c>
      <c r="C305" s="337" t="s">
        <v>526</v>
      </c>
      <c r="D305" s="73">
        <v>9</v>
      </c>
      <c r="E305" s="315">
        <v>251.25</v>
      </c>
      <c r="F305" s="166">
        <v>3445</v>
      </c>
      <c r="G305" s="74" t="s">
        <v>1116</v>
      </c>
      <c r="H305" s="40">
        <v>43802</v>
      </c>
      <c r="I305" s="35">
        <v>136299.75</v>
      </c>
      <c r="J305" s="35" t="str">
        <f>IFERROR(VLOOKUP(CONCATENATE(B305,C305,D305,),Inadimplencia!$A$6:$K$110,6,0),"ATIVO")</f>
        <v>INADIMPLENTE</v>
      </c>
      <c r="K305" s="35">
        <f t="shared" si="46"/>
        <v>135365.07</v>
      </c>
      <c r="L305" s="325">
        <f t="shared" si="47"/>
        <v>0.99314246724590471</v>
      </c>
      <c r="M305" s="423" t="str">
        <f t="shared" si="48"/>
        <v>INADIMPLENTE0</v>
      </c>
      <c r="X305" s="203" t="str">
        <f t="shared" si="43"/>
        <v>LONDRINA [ETAPA 03 - CONDOMINIO ARANGUA]INADIMPLENTE</v>
      </c>
      <c r="Y305" s="203" t="str">
        <f t="shared" si="44"/>
        <v>XLIII9LEWI PETHRUS COSTA</v>
      </c>
      <c r="Z305" s="203" t="str">
        <f t="shared" si="49"/>
        <v>XLIII9LEWI PETHRUS COSTA</v>
      </c>
      <c r="AA305" s="427" t="s">
        <v>526</v>
      </c>
      <c r="AB305" s="427">
        <v>9</v>
      </c>
      <c r="AC305" s="428" t="s">
        <v>1116</v>
      </c>
      <c r="AD305" s="505">
        <v>135365.07</v>
      </c>
      <c r="AE305" s="506">
        <v>164464.64000000001</v>
      </c>
      <c r="AF305" s="60" t="str">
        <f t="shared" si="50"/>
        <v>LEWI PETHRUS COSTA</v>
      </c>
      <c r="AG305" s="60" t="str">
        <f t="shared" si="51"/>
        <v>OK</v>
      </c>
    </row>
    <row r="306" spans="1:33">
      <c r="A306" s="61" t="str">
        <f t="shared" si="45"/>
        <v>LONDRINA [ETAPA 03 - CONDOMINIO ARANGUA]XXXIX1</v>
      </c>
      <c r="B306" s="263" t="s">
        <v>33</v>
      </c>
      <c r="C306" s="337" t="s">
        <v>527</v>
      </c>
      <c r="D306" s="166">
        <v>1</v>
      </c>
      <c r="E306" s="197">
        <v>332.84</v>
      </c>
      <c r="F306" s="166">
        <v>4812</v>
      </c>
      <c r="G306" s="338" t="s">
        <v>352</v>
      </c>
      <c r="H306" s="40">
        <v>42156</v>
      </c>
      <c r="I306" s="35">
        <v>174300</v>
      </c>
      <c r="J306" s="35" t="str">
        <f>IFERROR(VLOOKUP(CONCATENATE(B306,C306,D306,),Inadimplencia!$A$6:$K$110,6,0),"ATIVO")</f>
        <v>ATIVO</v>
      </c>
      <c r="K306" s="35">
        <f t="shared" si="46"/>
        <v>161207.79</v>
      </c>
      <c r="L306" s="325">
        <f t="shared" si="47"/>
        <v>0.92488691910499143</v>
      </c>
      <c r="M306" s="423" t="str">
        <f t="shared" si="48"/>
        <v>ATIVO0</v>
      </c>
      <c r="X306" s="203" t="str">
        <f t="shared" si="43"/>
        <v>LONDRINA [ETAPA 03 - CONDOMINIO ARANGUA]ATIVO</v>
      </c>
      <c r="Y306" s="203" t="str">
        <f t="shared" si="44"/>
        <v>XXXIX1MARIA DAS GRACAS PICCININI</v>
      </c>
      <c r="Z306" s="203" t="str">
        <f t="shared" si="49"/>
        <v>XXXIX1MARIA DAS GRACAS PICCININI</v>
      </c>
      <c r="AA306" s="427" t="s">
        <v>527</v>
      </c>
      <c r="AB306" s="427">
        <v>1</v>
      </c>
      <c r="AC306" s="428" t="s">
        <v>352</v>
      </c>
      <c r="AD306" s="505">
        <v>161207.79</v>
      </c>
      <c r="AE306" s="506">
        <v>264813.26</v>
      </c>
      <c r="AF306" s="60" t="str">
        <f t="shared" si="50"/>
        <v>MARIA DAS GRACAS PICCININI</v>
      </c>
      <c r="AG306" s="60" t="str">
        <f t="shared" si="51"/>
        <v>OK</v>
      </c>
    </row>
    <row r="307" spans="1:33">
      <c r="A307" s="61" t="str">
        <f t="shared" si="45"/>
        <v>LONDRINA [ETAPA 03 - CONDOMINIO ARANGUA]XXXIX3</v>
      </c>
      <c r="B307" s="263" t="s">
        <v>33</v>
      </c>
      <c r="C307" s="337" t="s">
        <v>527</v>
      </c>
      <c r="D307" s="73">
        <v>3</v>
      </c>
      <c r="E307" s="315">
        <v>250.5</v>
      </c>
      <c r="F307" s="166">
        <v>4567</v>
      </c>
      <c r="G307" s="74" t="s">
        <v>1231</v>
      </c>
      <c r="H307" s="40">
        <v>44032</v>
      </c>
      <c r="I307" s="35">
        <v>141940</v>
      </c>
      <c r="J307" s="35" t="str">
        <f>IFERROR(VLOOKUP(CONCATENATE(B307,C307,D307,),Inadimplencia!$A$6:$K$110,6,0),"ATIVO")</f>
        <v>ATIVO</v>
      </c>
      <c r="K307" s="35">
        <f t="shared" si="46"/>
        <v>46288.88</v>
      </c>
      <c r="L307" s="325">
        <f t="shared" si="47"/>
        <v>0.3261158235874313</v>
      </c>
      <c r="M307" s="423" t="str">
        <f t="shared" si="48"/>
        <v>ATIVO0</v>
      </c>
      <c r="X307" s="203" t="str">
        <f t="shared" si="43"/>
        <v>LONDRINA [ETAPA 03 - CONDOMINIO ARANGUA]ATIVO</v>
      </c>
      <c r="Y307" s="203" t="str">
        <f t="shared" si="44"/>
        <v>XXXIX3VALDEIR MAGALHAES</v>
      </c>
      <c r="Z307" s="203" t="str">
        <f t="shared" si="49"/>
        <v>XXXIX3VALDEIR MAGALHAES</v>
      </c>
      <c r="AA307" s="427" t="s">
        <v>527</v>
      </c>
      <c r="AB307" s="427">
        <v>3</v>
      </c>
      <c r="AC307" s="429" t="s">
        <v>1231</v>
      </c>
      <c r="AD307" s="505">
        <v>46288.88</v>
      </c>
      <c r="AE307" s="506">
        <v>144512.73000000001</v>
      </c>
      <c r="AF307" s="60" t="str">
        <f t="shared" si="50"/>
        <v>VALDEIR MAGALHAES</v>
      </c>
      <c r="AG307" s="60" t="str">
        <f t="shared" si="51"/>
        <v>OK</v>
      </c>
    </row>
    <row r="308" spans="1:33">
      <c r="A308" s="61" t="str">
        <f t="shared" si="45"/>
        <v>LONDRINA [ETAPA 03 - CONDOMINIO ARANGUA]XXXIX5</v>
      </c>
      <c r="B308" s="263" t="s">
        <v>33</v>
      </c>
      <c r="C308" s="337" t="s">
        <v>527</v>
      </c>
      <c r="D308" s="166">
        <v>5</v>
      </c>
      <c r="E308" s="197">
        <v>250.5</v>
      </c>
      <c r="F308" s="166">
        <v>5165</v>
      </c>
      <c r="G308" s="338" t="s">
        <v>230</v>
      </c>
      <c r="H308" s="40">
        <v>42453</v>
      </c>
      <c r="I308" s="35">
        <v>126990.9</v>
      </c>
      <c r="J308" s="35" t="str">
        <f>IFERROR(VLOOKUP(CONCATENATE(B308,C308,D308,),Inadimplencia!$A$6:$K$110,6,0),"ATIVO")</f>
        <v>INADIMPLENTE</v>
      </c>
      <c r="K308" s="35">
        <f t="shared" si="46"/>
        <v>192782.07</v>
      </c>
      <c r="L308" s="325">
        <f t="shared" si="47"/>
        <v>1.5180778307737013</v>
      </c>
      <c r="M308" s="423" t="str">
        <f t="shared" si="48"/>
        <v>INADIMPLENTE1</v>
      </c>
      <c r="X308" s="203" t="str">
        <f t="shared" si="43"/>
        <v>LONDRINA [ETAPA 03 - CONDOMINIO ARANGUA]INADIMPLENTE</v>
      </c>
      <c r="Y308" s="203" t="str">
        <f t="shared" si="44"/>
        <v>XXXIX5GUILHERME GALAN CORDEIRO</v>
      </c>
      <c r="Z308" s="203" t="str">
        <f t="shared" si="49"/>
        <v>XXXIX5GUILHERME GALAN CORDEIRO</v>
      </c>
      <c r="AA308" s="427" t="s">
        <v>527</v>
      </c>
      <c r="AB308" s="427">
        <v>5</v>
      </c>
      <c r="AC308" s="428" t="s">
        <v>230</v>
      </c>
      <c r="AD308" s="505">
        <v>192782.07</v>
      </c>
      <c r="AE308" s="506">
        <v>239557.5</v>
      </c>
      <c r="AF308" s="60" t="str">
        <f t="shared" si="50"/>
        <v>GUILHERME GALAN CORDEIRO</v>
      </c>
      <c r="AG308" s="60" t="str">
        <f t="shared" si="51"/>
        <v>OK</v>
      </c>
    </row>
    <row r="309" spans="1:33">
      <c r="A309" s="61" t="str">
        <f t="shared" si="45"/>
        <v>LONDRINA [ETAPA 03 - CONDOMINIO ARANGUA]XXXIX7</v>
      </c>
      <c r="B309" s="263" t="s">
        <v>33</v>
      </c>
      <c r="C309" s="337" t="s">
        <v>527</v>
      </c>
      <c r="D309" s="73">
        <v>7</v>
      </c>
      <c r="E309" s="315">
        <v>250.5</v>
      </c>
      <c r="F309" s="166">
        <v>5526</v>
      </c>
      <c r="G309" s="74" t="s">
        <v>102</v>
      </c>
      <c r="H309" s="40">
        <v>42775</v>
      </c>
      <c r="I309" s="35">
        <v>133280.68</v>
      </c>
      <c r="J309" s="35" t="str">
        <f>IFERROR(VLOOKUP(CONCATENATE(B309,C309,D309,),Inadimplencia!$A$6:$K$110,6,0),"ATIVO")</f>
        <v>ATIVO</v>
      </c>
      <c r="K309" s="35">
        <f t="shared" si="46"/>
        <v>132115.21</v>
      </c>
      <c r="L309" s="325">
        <f t="shared" si="47"/>
        <v>0.99125552180556098</v>
      </c>
      <c r="M309" s="423" t="str">
        <f t="shared" si="48"/>
        <v>ATIVO0</v>
      </c>
      <c r="X309" s="203" t="str">
        <f t="shared" si="43"/>
        <v>LONDRINA [ETAPA 03 - CONDOMINIO ARANGUA]ATIVO</v>
      </c>
      <c r="Y309" s="203" t="str">
        <f t="shared" si="44"/>
        <v>XXXIX7CASSIA REGINA BACELAR</v>
      </c>
      <c r="Z309" s="203" t="str">
        <f t="shared" si="49"/>
        <v>XXXIX7CASSIA REGINA BACELAR</v>
      </c>
      <c r="AA309" s="427" t="s">
        <v>527</v>
      </c>
      <c r="AB309" s="427">
        <v>7</v>
      </c>
      <c r="AC309" s="429" t="s">
        <v>102</v>
      </c>
      <c r="AD309" s="505">
        <v>132115.21</v>
      </c>
      <c r="AE309" s="506">
        <v>219504.66</v>
      </c>
      <c r="AF309" s="60" t="str">
        <f t="shared" si="50"/>
        <v>CASSIA REGINA BACELAR</v>
      </c>
      <c r="AG309" s="60" t="str">
        <f t="shared" si="51"/>
        <v>OK</v>
      </c>
    </row>
    <row r="310" spans="1:33">
      <c r="A310" s="61" t="str">
        <f t="shared" si="45"/>
        <v>LONDRINA [ETAPA 03 - CONDOMINIO ARANGUA]XXXIX9</v>
      </c>
      <c r="B310" s="263" t="s">
        <v>33</v>
      </c>
      <c r="C310" s="337" t="s">
        <v>527</v>
      </c>
      <c r="D310" s="166">
        <v>9</v>
      </c>
      <c r="E310" s="197">
        <v>250.5</v>
      </c>
      <c r="F310" s="166">
        <v>6158</v>
      </c>
      <c r="G310" s="338" t="s">
        <v>107</v>
      </c>
      <c r="H310" s="40">
        <v>43130</v>
      </c>
      <c r="I310" s="35">
        <v>141000</v>
      </c>
      <c r="J310" s="35" t="str">
        <f>IFERROR(VLOOKUP(CONCATENATE(B310,C310,D310,),Inadimplencia!$A$6:$K$110,6,0),"ATIVO")</f>
        <v>ATIVO</v>
      </c>
      <c r="K310" s="35">
        <f t="shared" si="46"/>
        <v>142350.22</v>
      </c>
      <c r="L310" s="325">
        <f t="shared" si="47"/>
        <v>1.0095760283687942</v>
      </c>
      <c r="M310" s="423" t="str">
        <f t="shared" si="48"/>
        <v>ATIVO1</v>
      </c>
      <c r="X310" s="203" t="str">
        <f t="shared" si="43"/>
        <v>LONDRINA [ETAPA 03 - CONDOMINIO ARANGUA]ATIVO</v>
      </c>
      <c r="Y310" s="203" t="str">
        <f t="shared" si="44"/>
        <v>XXXIX9CEZAR ALVES MOREIRA</v>
      </c>
      <c r="Z310" s="203" t="str">
        <f t="shared" si="49"/>
        <v>XXXIX9CEZAR ALVES MOREIRA</v>
      </c>
      <c r="AA310" s="427" t="s">
        <v>527</v>
      </c>
      <c r="AB310" s="427">
        <v>9</v>
      </c>
      <c r="AC310" s="428" t="s">
        <v>107</v>
      </c>
      <c r="AD310" s="505">
        <v>142350.22</v>
      </c>
      <c r="AE310" s="506">
        <v>211026.52000000002</v>
      </c>
      <c r="AF310" s="60" t="str">
        <f t="shared" si="50"/>
        <v>CEZAR ALVES MOREIRA</v>
      </c>
      <c r="AG310" s="60" t="str">
        <f t="shared" si="51"/>
        <v>OK</v>
      </c>
    </row>
    <row r="311" spans="1:33">
      <c r="A311" s="61" t="str">
        <f t="shared" si="45"/>
        <v>LONDRINA [ETAPA 03 - CONDOMINIO ARANGUA]XXXIX10</v>
      </c>
      <c r="B311" s="263" t="s">
        <v>33</v>
      </c>
      <c r="C311" s="337" t="s">
        <v>527</v>
      </c>
      <c r="D311" s="73">
        <v>10</v>
      </c>
      <c r="E311" s="315">
        <v>250.5</v>
      </c>
      <c r="F311" s="166">
        <v>5172</v>
      </c>
      <c r="G311" s="74" t="s">
        <v>477</v>
      </c>
      <c r="H311" s="40">
        <v>42464</v>
      </c>
      <c r="I311" s="35">
        <v>141099.45000000001</v>
      </c>
      <c r="J311" s="35" t="str">
        <f>IFERROR(VLOOKUP(CONCATENATE(B311,C311,D311,),Inadimplencia!$A$6:$K$110,6,0),"ATIVO")</f>
        <v>ATIVO</v>
      </c>
      <c r="K311" s="35">
        <f t="shared" si="46"/>
        <v>122898.7</v>
      </c>
      <c r="L311" s="325">
        <f t="shared" si="47"/>
        <v>0.87100764744299131</v>
      </c>
      <c r="M311" s="423" t="str">
        <f t="shared" si="48"/>
        <v>ATIVO0</v>
      </c>
      <c r="X311" s="203" t="str">
        <f t="shared" si="43"/>
        <v>LONDRINA [ETAPA 03 - CONDOMINIO ARANGUA]ATIVO</v>
      </c>
      <c r="Y311" s="203" t="str">
        <f t="shared" si="44"/>
        <v>XXXIX10WALMI PEREIRA DE SOUZA</v>
      </c>
      <c r="Z311" s="203" t="str">
        <f t="shared" si="49"/>
        <v>XXXIX10WALMI PEREIRA DE SOUZA</v>
      </c>
      <c r="AA311" s="427" t="s">
        <v>527</v>
      </c>
      <c r="AB311" s="427">
        <v>10</v>
      </c>
      <c r="AC311" s="428" t="s">
        <v>477</v>
      </c>
      <c r="AD311" s="505">
        <v>122898.7</v>
      </c>
      <c r="AE311" s="506">
        <v>234001.48</v>
      </c>
      <c r="AF311" s="60" t="str">
        <f t="shared" si="50"/>
        <v>WALMI PEREIRA DE SOUZA</v>
      </c>
      <c r="AG311" s="60" t="str">
        <f t="shared" si="51"/>
        <v>OK</v>
      </c>
    </row>
    <row r="312" spans="1:33">
      <c r="A312" s="61" t="str">
        <f t="shared" si="45"/>
        <v>LONDRINA [ETAPA 03 - CONDOMINIO ARANGUA]XXXIX11</v>
      </c>
      <c r="B312" s="263" t="s">
        <v>33</v>
      </c>
      <c r="C312" s="337" t="s">
        <v>527</v>
      </c>
      <c r="D312" s="166">
        <v>11</v>
      </c>
      <c r="E312" s="197">
        <v>250.5</v>
      </c>
      <c r="F312" s="166">
        <v>5164</v>
      </c>
      <c r="G312" s="338" t="s">
        <v>212</v>
      </c>
      <c r="H312" s="40">
        <v>42461</v>
      </c>
      <c r="I312" s="35">
        <v>141099.45000000001</v>
      </c>
      <c r="J312" s="35" t="str">
        <f>IFERROR(VLOOKUP(CONCATENATE(B312,C312,D312,),Inadimplencia!$A$6:$K$110,6,0),"ATIVO")</f>
        <v>ATIVO</v>
      </c>
      <c r="K312" s="35">
        <f t="shared" si="46"/>
        <v>142156.04</v>
      </c>
      <c r="L312" s="325">
        <f t="shared" si="47"/>
        <v>1.0074882644829586</v>
      </c>
      <c r="M312" s="423" t="str">
        <f t="shared" si="48"/>
        <v>ATIVO1</v>
      </c>
      <c r="X312" s="203" t="str">
        <f t="shared" si="43"/>
        <v>LONDRINA [ETAPA 03 - CONDOMINIO ARANGUA]ATIVO</v>
      </c>
      <c r="Y312" s="203" t="str">
        <f t="shared" si="44"/>
        <v>XXXIX11FERNANDO JUNIOR DE SOUZA</v>
      </c>
      <c r="Z312" s="203" t="str">
        <f t="shared" si="49"/>
        <v>XXXIX11FERNANDO JUNIOR DE SOUZA</v>
      </c>
      <c r="AA312" s="427" t="s">
        <v>527</v>
      </c>
      <c r="AB312" s="427">
        <v>11</v>
      </c>
      <c r="AC312" s="429" t="s">
        <v>212</v>
      </c>
      <c r="AD312" s="505">
        <v>142156.04</v>
      </c>
      <c r="AE312" s="506">
        <v>248062.17</v>
      </c>
      <c r="AF312" s="60" t="str">
        <f t="shared" si="50"/>
        <v>FERNANDO JUNIOR DE SOUZA</v>
      </c>
      <c r="AG312" s="60" t="str">
        <f t="shared" si="51"/>
        <v>OK</v>
      </c>
    </row>
    <row r="313" spans="1:33">
      <c r="A313" s="61" t="str">
        <f t="shared" si="45"/>
        <v>LONDRINA [ETAPA 03 - CONDOMINIO ARANGUA]XXXIX12</v>
      </c>
      <c r="B313" s="263" t="s">
        <v>33</v>
      </c>
      <c r="C313" s="337" t="s">
        <v>527</v>
      </c>
      <c r="D313" s="73">
        <v>12</v>
      </c>
      <c r="E313" s="315">
        <v>250.5</v>
      </c>
      <c r="F313" s="166">
        <v>4914</v>
      </c>
      <c r="G313" s="74" t="s">
        <v>271</v>
      </c>
      <c r="H313" s="40">
        <v>44166</v>
      </c>
      <c r="I313" s="35">
        <v>159799.6</v>
      </c>
      <c r="J313" s="35" t="str">
        <f>IFERROR(VLOOKUP(CONCATENATE(B313,C313,D313,),Inadimplencia!$A$6:$K$110,6,0),"ATIVO")</f>
        <v>ATIVO</v>
      </c>
      <c r="K313" s="35">
        <f t="shared" si="46"/>
        <v>85692.73</v>
      </c>
      <c r="L313" s="325">
        <f t="shared" si="47"/>
        <v>0.53625121714947965</v>
      </c>
      <c r="M313" s="423" t="str">
        <f t="shared" si="48"/>
        <v>ATIVO0</v>
      </c>
      <c r="X313" s="203" t="str">
        <f t="shared" si="43"/>
        <v>LONDRINA [ETAPA 03 - CONDOMINIO ARANGUA]ATIVO</v>
      </c>
      <c r="Y313" s="203" t="str">
        <f t="shared" si="44"/>
        <v>XXXIX12JOSE CARLOS OLIVEIRA</v>
      </c>
      <c r="Z313" s="203" t="str">
        <f t="shared" si="49"/>
        <v>XXXIX12JOSE CARLOS OLIVEIRA</v>
      </c>
      <c r="AA313" s="427" t="s">
        <v>527</v>
      </c>
      <c r="AB313" s="427">
        <v>12</v>
      </c>
      <c r="AC313" s="428" t="s">
        <v>271</v>
      </c>
      <c r="AD313" s="505">
        <v>85692.73</v>
      </c>
      <c r="AE313" s="506">
        <v>165074.23000000001</v>
      </c>
      <c r="AF313" s="60" t="str">
        <f t="shared" si="50"/>
        <v>JOSE CARLOS OLIVEIRA</v>
      </c>
      <c r="AG313" s="60" t="str">
        <f t="shared" si="51"/>
        <v>OK</v>
      </c>
    </row>
    <row r="314" spans="1:33">
      <c r="A314" s="61" t="str">
        <f t="shared" si="45"/>
        <v>LONDRINA [ETAPA 03 - CONDOMINIO ARANGUA]XXXIX13</v>
      </c>
      <c r="B314" s="263" t="s">
        <v>33</v>
      </c>
      <c r="C314" s="337" t="s">
        <v>527</v>
      </c>
      <c r="D314" s="166">
        <v>13</v>
      </c>
      <c r="E314" s="197">
        <v>250.5</v>
      </c>
      <c r="F314" s="166">
        <v>4813</v>
      </c>
      <c r="G314" s="338" t="s">
        <v>1347</v>
      </c>
      <c r="H314" s="40">
        <v>44105</v>
      </c>
      <c r="I314" s="35">
        <v>147580.4</v>
      </c>
      <c r="J314" s="35" t="str">
        <f>IFERROR(VLOOKUP(CONCATENATE(B314,C314,D314,),Inadimplencia!$A$6:$K$110,6,0),"ATIVO")</f>
        <v>ATRASO</v>
      </c>
      <c r="K314" s="35">
        <f t="shared" si="46"/>
        <v>115523.98</v>
      </c>
      <c r="L314" s="325">
        <f t="shared" si="47"/>
        <v>0.78278673861840731</v>
      </c>
      <c r="M314" s="423" t="str">
        <f t="shared" si="48"/>
        <v>ATRASO0</v>
      </c>
      <c r="X314" s="203" t="str">
        <f t="shared" si="43"/>
        <v>LONDRINA [ETAPA 03 - CONDOMINIO ARANGUA]ATRASO</v>
      </c>
      <c r="Y314" s="203" t="str">
        <f t="shared" si="44"/>
        <v>XXXIX13EDUARDO GUIMARAES REZENDE JUNIOR</v>
      </c>
      <c r="Z314" s="203" t="str">
        <f t="shared" si="49"/>
        <v>XXXIX13EDUARDO GUIMARAES REZENDE JUNIOR</v>
      </c>
      <c r="AA314" s="427" t="s">
        <v>527</v>
      </c>
      <c r="AB314" s="427">
        <v>13</v>
      </c>
      <c r="AC314" s="429" t="s">
        <v>1347</v>
      </c>
      <c r="AD314" s="505">
        <v>115523.98</v>
      </c>
      <c r="AE314" s="506">
        <v>158288.35</v>
      </c>
      <c r="AF314" s="60" t="str">
        <f t="shared" si="50"/>
        <v>EDUARDO GUIMARAES REZENDE JUNIOR</v>
      </c>
      <c r="AG314" s="60" t="str">
        <f t="shared" si="51"/>
        <v>OK</v>
      </c>
    </row>
    <row r="315" spans="1:33">
      <c r="A315" s="61" t="str">
        <f t="shared" si="45"/>
        <v>LONDRINA [ETAPA 03 - CONDOMINIO ARANGUA]XXXIX19</v>
      </c>
      <c r="B315" s="263" t="s">
        <v>33</v>
      </c>
      <c r="C315" s="337" t="s">
        <v>527</v>
      </c>
      <c r="D315" s="166">
        <v>19</v>
      </c>
      <c r="E315" s="197">
        <v>250.5</v>
      </c>
      <c r="F315" s="166">
        <v>6631</v>
      </c>
      <c r="G315" s="338" t="s">
        <v>809</v>
      </c>
      <c r="H315" s="40">
        <v>43357</v>
      </c>
      <c r="I315" s="35">
        <v>152082.60999999999</v>
      </c>
      <c r="J315" s="35" t="str">
        <f>IFERROR(VLOOKUP(CONCATENATE(B315,C315,D315,),Inadimplencia!$A$6:$K$110,6,0),"ATIVO")</f>
        <v>ATIVO</v>
      </c>
      <c r="K315" s="35">
        <f t="shared" si="46"/>
        <v>145400.79</v>
      </c>
      <c r="L315" s="325">
        <f t="shared" si="47"/>
        <v>0.9560645362411917</v>
      </c>
      <c r="M315" s="423" t="str">
        <f t="shared" si="48"/>
        <v>ATIVO0</v>
      </c>
      <c r="X315" s="203" t="str">
        <f t="shared" si="43"/>
        <v>LONDRINA [ETAPA 03 - CONDOMINIO ARANGUA]ATIVO</v>
      </c>
      <c r="Y315" s="203" t="str">
        <f t="shared" si="44"/>
        <v>XXXIX19CARLOS ROBERTO GOMES DOS SANTOS</v>
      </c>
      <c r="Z315" s="203" t="str">
        <f t="shared" si="49"/>
        <v>XXXIX19CARLOS ROBERTO GOMES DOS SANTOS</v>
      </c>
      <c r="AA315" s="427" t="s">
        <v>527</v>
      </c>
      <c r="AB315" s="427">
        <v>19</v>
      </c>
      <c r="AC315" s="428" t="s">
        <v>809</v>
      </c>
      <c r="AD315" s="505">
        <v>145400.79</v>
      </c>
      <c r="AE315" s="506">
        <v>210102.77000000002</v>
      </c>
      <c r="AF315" s="60" t="str">
        <f t="shared" si="50"/>
        <v>CARLOS ROBERTO GOMES DOS SANTOS</v>
      </c>
      <c r="AG315" s="60" t="str">
        <f t="shared" si="51"/>
        <v>OK</v>
      </c>
    </row>
    <row r="316" spans="1:33">
      <c r="A316" s="61" t="str">
        <f t="shared" si="45"/>
        <v>LONDRINA [ETAPA 03 - CONDOMINIO ARANGUA]XXXIX20</v>
      </c>
      <c r="B316" s="263" t="s">
        <v>33</v>
      </c>
      <c r="C316" s="337" t="s">
        <v>527</v>
      </c>
      <c r="D316" s="73">
        <v>20</v>
      </c>
      <c r="E316" s="315">
        <v>250.5</v>
      </c>
      <c r="F316" s="166">
        <v>4734</v>
      </c>
      <c r="G316" s="74" t="s">
        <v>1268</v>
      </c>
      <c r="H316" s="40">
        <v>44046</v>
      </c>
      <c r="I316" s="35">
        <v>143820</v>
      </c>
      <c r="J316" s="35" t="str">
        <f>IFERROR(VLOOKUP(CONCATENATE(B316,C316,D316,),Inadimplencia!$A$6:$K$110,6,0),"ATIVO")</f>
        <v>ATIVO</v>
      </c>
      <c r="K316" s="35">
        <f t="shared" si="46"/>
        <v>137142.63</v>
      </c>
      <c r="L316" s="325">
        <f t="shared" si="47"/>
        <v>0.95357133917396752</v>
      </c>
      <c r="M316" s="423" t="str">
        <f t="shared" si="48"/>
        <v>ATIVO0</v>
      </c>
      <c r="X316" s="203" t="str">
        <f t="shared" si="43"/>
        <v>LONDRINA [ETAPA 03 - CONDOMINIO ARANGUA]ATIVO</v>
      </c>
      <c r="Y316" s="203" t="str">
        <f t="shared" si="44"/>
        <v>XXXIX20MURILO COMAR ALENCAR</v>
      </c>
      <c r="Z316" s="203" t="str">
        <f t="shared" si="49"/>
        <v>XXXIX20MURILO COMAR ALENCAR</v>
      </c>
      <c r="AA316" s="427" t="s">
        <v>527</v>
      </c>
      <c r="AB316" s="427">
        <v>20</v>
      </c>
      <c r="AC316" s="428" t="s">
        <v>1268</v>
      </c>
      <c r="AD316" s="505">
        <v>137142.63</v>
      </c>
      <c r="AE316" s="506">
        <v>150494.12</v>
      </c>
      <c r="AF316" s="60" t="str">
        <f t="shared" si="50"/>
        <v>MURILO COMAR ALENCAR</v>
      </c>
      <c r="AG316" s="60" t="str">
        <f t="shared" si="51"/>
        <v>OK</v>
      </c>
    </row>
    <row r="317" spans="1:33">
      <c r="A317" s="61" t="str">
        <f t="shared" si="45"/>
        <v>LONDRINA [ETAPA 03 - CONDOMINIO ARANGUA]XXXIX23</v>
      </c>
      <c r="B317" s="263" t="s">
        <v>33</v>
      </c>
      <c r="C317" s="337" t="s">
        <v>527</v>
      </c>
      <c r="D317" s="166">
        <v>23</v>
      </c>
      <c r="E317" s="197">
        <v>351.9</v>
      </c>
      <c r="F317" s="166">
        <v>5115</v>
      </c>
      <c r="G317" s="338" t="s">
        <v>1500</v>
      </c>
      <c r="H317" s="40">
        <v>44271</v>
      </c>
      <c r="I317" s="35">
        <v>214320</v>
      </c>
      <c r="J317" s="35" t="str">
        <f>IFERROR(VLOOKUP(CONCATENATE(B317,C317,D317,),Inadimplencia!$A$6:$K$110,6,0),"ATIVO")</f>
        <v>ATIVO</v>
      </c>
      <c r="K317" s="35">
        <f t="shared" si="46"/>
        <v>153129.46</v>
      </c>
      <c r="L317" s="325">
        <f t="shared" si="47"/>
        <v>0.71448982829413954</v>
      </c>
      <c r="M317" s="423" t="str">
        <f t="shared" si="48"/>
        <v>ATIVO0</v>
      </c>
      <c r="X317" s="203" t="str">
        <f t="shared" si="43"/>
        <v>LONDRINA [ETAPA 03 - CONDOMINIO ARANGUA]ATIVO</v>
      </c>
      <c r="Y317" s="203" t="str">
        <f t="shared" si="44"/>
        <v>XXXIX23PAULO HENRIQUE GOMES PERUSSI</v>
      </c>
      <c r="Z317" s="203" t="str">
        <f t="shared" si="49"/>
        <v>XXXIX23PAULO HENRIQUE GOMES PERUSSI</v>
      </c>
      <c r="AA317" s="427" t="s">
        <v>527</v>
      </c>
      <c r="AB317" s="427">
        <v>23</v>
      </c>
      <c r="AC317" s="428" t="s">
        <v>1500</v>
      </c>
      <c r="AD317" s="505">
        <v>153129.46</v>
      </c>
      <c r="AE317" s="506">
        <v>214689.46</v>
      </c>
      <c r="AF317" s="60" t="str">
        <f t="shared" si="50"/>
        <v>PAULO HENRIQUE GOMES PERUSSI</v>
      </c>
      <c r="AG317" s="60" t="str">
        <f t="shared" si="51"/>
        <v>OK</v>
      </c>
    </row>
    <row r="318" spans="1:33">
      <c r="A318" s="61" t="str">
        <f t="shared" si="45"/>
        <v>LONDRINA [ETAPA 03 - CONDOMINIO ARANGUA]XXXIX24</v>
      </c>
      <c r="B318" s="263" t="s">
        <v>33</v>
      </c>
      <c r="C318" s="337" t="s">
        <v>527</v>
      </c>
      <c r="D318" s="73">
        <v>24</v>
      </c>
      <c r="E318" s="315">
        <v>256.75</v>
      </c>
      <c r="F318" s="166">
        <v>5962</v>
      </c>
      <c r="G318" s="74" t="s">
        <v>137</v>
      </c>
      <c r="H318" s="40">
        <v>43038</v>
      </c>
      <c r="I318" s="35">
        <v>140999.6</v>
      </c>
      <c r="J318" s="35" t="str">
        <f>IFERROR(VLOOKUP(CONCATENATE(B318,C318,D318,),Inadimplencia!$A$6:$K$110,6,0),"ATIVO")</f>
        <v>ATIVO</v>
      </c>
      <c r="K318" s="35">
        <f t="shared" si="46"/>
        <v>131199.92000000001</v>
      </c>
      <c r="L318" s="325">
        <f t="shared" si="47"/>
        <v>0.93049852623695395</v>
      </c>
      <c r="M318" s="423" t="str">
        <f t="shared" si="48"/>
        <v>ATIVO0</v>
      </c>
      <c r="X318" s="203" t="str">
        <f t="shared" si="43"/>
        <v>LONDRINA [ETAPA 03 - CONDOMINIO ARANGUA]ATIVO</v>
      </c>
      <c r="Y318" s="203" t="str">
        <f t="shared" si="44"/>
        <v>XXXIX24DEIVIN BUSUTTIL</v>
      </c>
      <c r="Z318" s="203" t="str">
        <f t="shared" si="49"/>
        <v>XXXIX24DEIVIN BUSUTTIL</v>
      </c>
      <c r="AA318" s="427" t="s">
        <v>527</v>
      </c>
      <c r="AB318" s="427">
        <v>24</v>
      </c>
      <c r="AC318" s="428" t="s">
        <v>137</v>
      </c>
      <c r="AD318" s="505">
        <v>131199.92000000001</v>
      </c>
      <c r="AE318" s="506">
        <v>212237.04</v>
      </c>
      <c r="AF318" s="60" t="str">
        <f t="shared" si="50"/>
        <v>DEIVIN BUSUTTIL</v>
      </c>
      <c r="AG318" s="60" t="str">
        <f t="shared" si="51"/>
        <v>OK</v>
      </c>
    </row>
    <row r="319" spans="1:33">
      <c r="A319" s="61" t="str">
        <f t="shared" si="45"/>
        <v>LONDRINA [ETAPA 03 - CONDOMINIO ARANGUA]XXXIX25</v>
      </c>
      <c r="B319" s="263" t="s">
        <v>33</v>
      </c>
      <c r="C319" s="337" t="s">
        <v>527</v>
      </c>
      <c r="D319" s="166">
        <v>25</v>
      </c>
      <c r="E319" s="197">
        <v>256.75</v>
      </c>
      <c r="F319" s="166">
        <v>5982</v>
      </c>
      <c r="G319" s="338" t="s">
        <v>300</v>
      </c>
      <c r="H319" s="40">
        <v>43046</v>
      </c>
      <c r="I319" s="35">
        <v>133479.79999999999</v>
      </c>
      <c r="J319" s="35" t="str">
        <f>IFERROR(VLOOKUP(CONCATENATE(B319,C319,D319,),Inadimplencia!$A$6:$K$110,6,0),"ATIVO")</f>
        <v>ATIVO</v>
      </c>
      <c r="K319" s="35">
        <f t="shared" si="46"/>
        <v>114456.51000000001</v>
      </c>
      <c r="L319" s="325">
        <f t="shared" si="47"/>
        <v>0.85748188115355295</v>
      </c>
      <c r="M319" s="423" t="str">
        <f t="shared" si="48"/>
        <v>ATIVO0</v>
      </c>
      <c r="X319" s="203" t="str">
        <f t="shared" si="43"/>
        <v>LONDRINA [ETAPA 03 - CONDOMINIO ARANGUA]ATIVO</v>
      </c>
      <c r="Y319" s="203" t="str">
        <f t="shared" si="44"/>
        <v>XXXIX25LEANDRO NOGUEIRA SILVA</v>
      </c>
      <c r="Z319" s="203" t="str">
        <f t="shared" si="49"/>
        <v>XXXIX25LEANDRO NOGUEIRA SILVA</v>
      </c>
      <c r="AA319" s="427" t="s">
        <v>527</v>
      </c>
      <c r="AB319" s="427">
        <v>25</v>
      </c>
      <c r="AC319" s="428" t="s">
        <v>300</v>
      </c>
      <c r="AD319" s="505">
        <v>114456.51000000001</v>
      </c>
      <c r="AE319" s="506">
        <v>195704.82</v>
      </c>
      <c r="AF319" s="60" t="str">
        <f t="shared" si="50"/>
        <v>LEANDRO NOGUEIRA SILVA</v>
      </c>
      <c r="AG319" s="60" t="str">
        <f t="shared" si="51"/>
        <v>OK</v>
      </c>
    </row>
    <row r="320" spans="1:33">
      <c r="A320" s="61" t="str">
        <f t="shared" si="45"/>
        <v>LONDRINA [ETAPA 03 - CONDOMINIO ARANGUA]XXXIX31</v>
      </c>
      <c r="B320" s="263" t="s">
        <v>33</v>
      </c>
      <c r="C320" s="337" t="s">
        <v>527</v>
      </c>
      <c r="D320" s="73">
        <v>31</v>
      </c>
      <c r="E320" s="315">
        <v>256.75</v>
      </c>
      <c r="F320" s="166">
        <v>5192</v>
      </c>
      <c r="G320" s="74" t="s">
        <v>277</v>
      </c>
      <c r="H320" s="40">
        <v>42475</v>
      </c>
      <c r="I320" s="35">
        <v>145800.20000000001</v>
      </c>
      <c r="J320" s="35" t="str">
        <f>IFERROR(VLOOKUP(CONCATENATE(B320,C320,D320,),Inadimplencia!$A$6:$K$110,6,0),"ATIVO")</f>
        <v>INADIMPLENTE</v>
      </c>
      <c r="K320" s="35">
        <f t="shared" si="46"/>
        <v>237795.29</v>
      </c>
      <c r="L320" s="325">
        <f t="shared" si="47"/>
        <v>1.6309668299494788</v>
      </c>
      <c r="M320" s="423" t="str">
        <f t="shared" si="48"/>
        <v>INADIMPLENTE1</v>
      </c>
      <c r="X320" s="203" t="str">
        <f t="shared" si="43"/>
        <v>LONDRINA [ETAPA 03 - CONDOMINIO ARANGUA]INADIMPLENTE</v>
      </c>
      <c r="Y320" s="203" t="str">
        <f t="shared" si="44"/>
        <v>XXXIX31JOSE ORLANDO TAVARES CELESTINO</v>
      </c>
      <c r="Z320" s="203" t="str">
        <f t="shared" si="49"/>
        <v>XXXIX31JOSE ORLANDO TAVARES CELESTINO</v>
      </c>
      <c r="AA320" s="427" t="s">
        <v>527</v>
      </c>
      <c r="AB320" s="427">
        <v>31</v>
      </c>
      <c r="AC320" s="429" t="s">
        <v>277</v>
      </c>
      <c r="AD320" s="505">
        <v>237795.29</v>
      </c>
      <c r="AE320" s="506">
        <v>270995.28999999998</v>
      </c>
      <c r="AF320" s="60" t="str">
        <f t="shared" si="50"/>
        <v>JOSE ORLANDO TAVARES CELESTINO</v>
      </c>
      <c r="AG320" s="60" t="str">
        <f t="shared" si="51"/>
        <v>OK</v>
      </c>
    </row>
    <row r="321" spans="1:33">
      <c r="A321" s="61" t="str">
        <f t="shared" si="45"/>
        <v>LONDRINA [ETAPA 03 - CONDOMINIO ARANGUA]XXXIX34</v>
      </c>
      <c r="B321" s="263" t="s">
        <v>33</v>
      </c>
      <c r="C321" s="337" t="s">
        <v>527</v>
      </c>
      <c r="D321" s="166">
        <v>34</v>
      </c>
      <c r="E321" s="197">
        <v>256.75</v>
      </c>
      <c r="F321" s="166">
        <v>5963</v>
      </c>
      <c r="G321" s="338" t="s">
        <v>365</v>
      </c>
      <c r="H321" s="40">
        <v>43038</v>
      </c>
      <c r="I321" s="35">
        <v>140999.6</v>
      </c>
      <c r="J321" s="35" t="str">
        <f>IFERROR(VLOOKUP(CONCATENATE(B321,C321,D321,),Inadimplencia!$A$6:$K$110,6,0),"ATIVO")</f>
        <v>ATIVO</v>
      </c>
      <c r="K321" s="35">
        <f t="shared" si="46"/>
        <v>131199.92000000001</v>
      </c>
      <c r="L321" s="325">
        <f t="shared" si="47"/>
        <v>0.93049852623695395</v>
      </c>
      <c r="M321" s="423" t="str">
        <f t="shared" si="48"/>
        <v>ATIVO0</v>
      </c>
      <c r="X321" s="203" t="str">
        <f t="shared" si="43"/>
        <v>LONDRINA [ETAPA 03 - CONDOMINIO ARANGUA]ATIVO</v>
      </c>
      <c r="Y321" s="203" t="str">
        <f t="shared" si="44"/>
        <v>XXXIX34MARVIN PARREIRA BUSUTTIL</v>
      </c>
      <c r="Z321" s="203" t="str">
        <f t="shared" si="49"/>
        <v>XXXIX34MARVIN PARREIRA BUSUTTIL</v>
      </c>
      <c r="AA321" s="427" t="s">
        <v>527</v>
      </c>
      <c r="AB321" s="427">
        <v>34</v>
      </c>
      <c r="AC321" s="428" t="s">
        <v>365</v>
      </c>
      <c r="AD321" s="505">
        <v>131199.92000000001</v>
      </c>
      <c r="AE321" s="506">
        <v>212582.21</v>
      </c>
      <c r="AF321" s="60" t="str">
        <f t="shared" si="50"/>
        <v>MARVIN PARREIRA BUSUTTIL</v>
      </c>
      <c r="AG321" s="60" t="str">
        <f t="shared" si="51"/>
        <v>OK</v>
      </c>
    </row>
    <row r="322" spans="1:33">
      <c r="A322" s="61" t="str">
        <f t="shared" si="45"/>
        <v>LONDRINA [ETAPA 03 - CONDOMINIO ARANGUA]XXXIX35</v>
      </c>
      <c r="B322" s="263" t="s">
        <v>33</v>
      </c>
      <c r="C322" s="337" t="s">
        <v>527</v>
      </c>
      <c r="D322" s="73">
        <v>35</v>
      </c>
      <c r="E322" s="315">
        <v>256.75</v>
      </c>
      <c r="F322" s="166">
        <v>6072</v>
      </c>
      <c r="G322" s="74" t="s">
        <v>428</v>
      </c>
      <c r="H322" s="40">
        <v>43102</v>
      </c>
      <c r="I322" s="35">
        <v>140999.6</v>
      </c>
      <c r="J322" s="35" t="str">
        <f>IFERROR(VLOOKUP(CONCATENATE(B322,C322,D322,),Inadimplencia!$A$6:$K$110,6,0),"ATIVO")</f>
        <v>ATIVO</v>
      </c>
      <c r="K322" s="35">
        <f t="shared" si="46"/>
        <v>69648.100000000006</v>
      </c>
      <c r="L322" s="325">
        <f t="shared" si="47"/>
        <v>0.49395955733207758</v>
      </c>
      <c r="M322" s="423" t="str">
        <f t="shared" si="48"/>
        <v>ATIVO0</v>
      </c>
      <c r="X322" s="203" t="str">
        <f t="shared" si="43"/>
        <v>LONDRINA [ETAPA 03 - CONDOMINIO ARANGUA]ATIVO</v>
      </c>
      <c r="Y322" s="203" t="str">
        <f t="shared" si="44"/>
        <v>XXXIX35SAMUEL ANTONIO VIANA</v>
      </c>
      <c r="Z322" s="203" t="str">
        <f t="shared" si="49"/>
        <v>XXXIX35SAMUEL ANTONIO VIANA</v>
      </c>
      <c r="AA322" s="427" t="s">
        <v>527</v>
      </c>
      <c r="AB322" s="427">
        <v>35</v>
      </c>
      <c r="AC322" s="428" t="s">
        <v>428</v>
      </c>
      <c r="AD322" s="505">
        <v>69648.100000000006</v>
      </c>
      <c r="AE322" s="506">
        <v>202402.12</v>
      </c>
      <c r="AF322" s="60" t="str">
        <f t="shared" si="50"/>
        <v>SAMUEL ANTONIO VIANA</v>
      </c>
      <c r="AG322" s="60" t="str">
        <f t="shared" si="51"/>
        <v>OK</v>
      </c>
    </row>
    <row r="323" spans="1:33">
      <c r="A323" s="61" t="str">
        <f t="shared" si="45"/>
        <v>LONDRINA [ETAPA 03 - CONDOMINIO ARANGUA]XXXIX36</v>
      </c>
      <c r="B323" s="263" t="s">
        <v>33</v>
      </c>
      <c r="C323" s="337" t="s">
        <v>527</v>
      </c>
      <c r="D323" s="166">
        <v>36</v>
      </c>
      <c r="E323" s="197">
        <v>256.75</v>
      </c>
      <c r="F323" s="166">
        <v>6200</v>
      </c>
      <c r="G323" s="338" t="s">
        <v>443</v>
      </c>
      <c r="H323" s="40">
        <v>43150</v>
      </c>
      <c r="I323" s="35">
        <v>152574.39000000001</v>
      </c>
      <c r="J323" s="35" t="str">
        <f>IFERROR(VLOOKUP(CONCATENATE(B323,C323,D323,),Inadimplencia!$A$6:$K$110,6,0),"ATIVO")</f>
        <v>INADIMPLENTE</v>
      </c>
      <c r="K323" s="35">
        <f t="shared" si="46"/>
        <v>165430.17000000001</v>
      </c>
      <c r="L323" s="325">
        <f t="shared" si="47"/>
        <v>1.0842590948585802</v>
      </c>
      <c r="M323" s="423" t="str">
        <f t="shared" si="48"/>
        <v>INADIMPLENTE1</v>
      </c>
      <c r="X323" s="203" t="str">
        <f t="shared" si="43"/>
        <v>LONDRINA [ETAPA 03 - CONDOMINIO ARANGUA]INADIMPLENTE</v>
      </c>
      <c r="Y323" s="203" t="str">
        <f t="shared" si="44"/>
        <v>XXXIX36SILVANA SOARES DE SOUZA</v>
      </c>
      <c r="Z323" s="203" t="str">
        <f t="shared" si="49"/>
        <v>XXXIX36SILVANA SOARES DE SOUZA</v>
      </c>
      <c r="AA323" s="427" t="s">
        <v>527</v>
      </c>
      <c r="AB323" s="427">
        <v>36</v>
      </c>
      <c r="AC323" s="429" t="s">
        <v>443</v>
      </c>
      <c r="AD323" s="505">
        <v>165430.17000000001</v>
      </c>
      <c r="AE323" s="506">
        <v>223845.45</v>
      </c>
      <c r="AF323" s="60" t="str">
        <f t="shared" si="50"/>
        <v>SILVANA SOARES DE SOUZA</v>
      </c>
      <c r="AG323" s="60" t="str">
        <f t="shared" si="51"/>
        <v>OK</v>
      </c>
    </row>
    <row r="324" spans="1:33">
      <c r="A324" s="61" t="str">
        <f t="shared" si="45"/>
        <v>LONDRINA [ETAPA 03 - CONDOMINIO ARANGUA]XXXIX37</v>
      </c>
      <c r="B324" s="263" t="s">
        <v>33</v>
      </c>
      <c r="C324" s="337" t="s">
        <v>527</v>
      </c>
      <c r="D324" s="73">
        <v>37</v>
      </c>
      <c r="E324" s="315">
        <v>256.75</v>
      </c>
      <c r="F324" s="166">
        <v>5815</v>
      </c>
      <c r="G324" s="74" t="s">
        <v>479</v>
      </c>
      <c r="H324" s="40">
        <v>42982</v>
      </c>
      <c r="I324" s="35">
        <v>124080</v>
      </c>
      <c r="J324" s="35" t="str">
        <f>IFERROR(VLOOKUP(CONCATENATE(B324,C324,D324,),Inadimplencia!$A$6:$K$110,6,0),"ATIVO")</f>
        <v>ATIVO</v>
      </c>
      <c r="K324" s="35">
        <f t="shared" si="46"/>
        <v>124865.78</v>
      </c>
      <c r="L324" s="325">
        <f t="shared" si="47"/>
        <v>1.0063328497743391</v>
      </c>
      <c r="M324" s="423" t="str">
        <f t="shared" si="48"/>
        <v>ATIVO1</v>
      </c>
      <c r="X324" s="203" t="str">
        <f t="shared" si="43"/>
        <v>LONDRINA [ETAPA 03 - CONDOMINIO ARANGUA]ATIVO</v>
      </c>
      <c r="Y324" s="203" t="str">
        <f t="shared" si="44"/>
        <v>XXXIX37WELINGTON MARQUES MOREIRA JUNIOR</v>
      </c>
      <c r="Z324" s="203" t="str">
        <f t="shared" si="49"/>
        <v>XXXIX37WELINGTON MARQUES MOREIRA JUNIOR</v>
      </c>
      <c r="AA324" s="427" t="s">
        <v>527</v>
      </c>
      <c r="AB324" s="427">
        <v>37</v>
      </c>
      <c r="AC324" s="428" t="s">
        <v>479</v>
      </c>
      <c r="AD324" s="505">
        <v>124865.78</v>
      </c>
      <c r="AE324" s="506">
        <v>191606.5</v>
      </c>
      <c r="AF324" s="60" t="str">
        <f t="shared" si="50"/>
        <v>WELINGTON MARQUES MOREIRA JUNIOR</v>
      </c>
      <c r="AG324" s="60" t="str">
        <f t="shared" si="51"/>
        <v>OK</v>
      </c>
    </row>
    <row r="325" spans="1:33">
      <c r="A325" s="61" t="str">
        <f t="shared" si="45"/>
        <v>LONDRINA [ETAPA 03 - CONDOMINIO ARANGUA]XXXIX38</v>
      </c>
      <c r="B325" s="263" t="s">
        <v>33</v>
      </c>
      <c r="C325" s="337" t="s">
        <v>527</v>
      </c>
      <c r="D325" s="166">
        <v>38</v>
      </c>
      <c r="E325" s="197">
        <v>256.75</v>
      </c>
      <c r="F325" s="166">
        <v>5005</v>
      </c>
      <c r="G325" s="338" t="s">
        <v>1410</v>
      </c>
      <c r="H325" s="40">
        <v>44222</v>
      </c>
      <c r="I325" s="35">
        <v>187698.4</v>
      </c>
      <c r="J325" s="35" t="str">
        <f>IFERROR(VLOOKUP(CONCATENATE(B325,C325,D325,),Inadimplencia!$A$6:$K$110,6,0),"ATIVO")</f>
        <v>ATIVO</v>
      </c>
      <c r="K325" s="35">
        <f t="shared" si="46"/>
        <v>187277.63</v>
      </c>
      <c r="L325" s="325">
        <f t="shared" si="47"/>
        <v>0.99775826538745138</v>
      </c>
      <c r="M325" s="423" t="str">
        <f t="shared" si="48"/>
        <v>ATIVO0</v>
      </c>
      <c r="X325" s="203" t="str">
        <f t="shared" ref="X325:X388" si="52">CONCATENATE(B325,J325)</f>
        <v>LONDRINA [ETAPA 03 - CONDOMINIO ARANGUA]ATIVO</v>
      </c>
      <c r="Y325" s="203" t="str">
        <f t="shared" ref="Y325:Y388" si="53">CONCATENATE(C325,D325,G325)</f>
        <v>XXXIX38THIARA RAMOS DA SILVA</v>
      </c>
      <c r="Z325" s="203" t="str">
        <f t="shared" si="49"/>
        <v>XXXIX38THIARA RAMOS DA SILVA</v>
      </c>
      <c r="AA325" s="427" t="s">
        <v>527</v>
      </c>
      <c r="AB325" s="427">
        <v>38</v>
      </c>
      <c r="AC325" s="428" t="s">
        <v>1410</v>
      </c>
      <c r="AD325" s="505">
        <v>187277.63</v>
      </c>
      <c r="AE325" s="506">
        <v>195264.83000000002</v>
      </c>
      <c r="AF325" s="60" t="str">
        <f t="shared" si="50"/>
        <v>THIARA RAMOS DA SILVA</v>
      </c>
      <c r="AG325" s="60" t="str">
        <f t="shared" si="51"/>
        <v>OK</v>
      </c>
    </row>
    <row r="326" spans="1:33">
      <c r="A326" s="61" t="str">
        <f t="shared" ref="A326:A389" si="54">CONCATENATE(B326,C326,D326)</f>
        <v>LONDRINA [ETAPA 03 - CONDOMINIO ARANGUA]XXXIX39</v>
      </c>
      <c r="B326" s="263" t="s">
        <v>33</v>
      </c>
      <c r="C326" s="337" t="s">
        <v>527</v>
      </c>
      <c r="D326" s="73">
        <v>39</v>
      </c>
      <c r="E326" s="315">
        <v>256.75</v>
      </c>
      <c r="F326" s="166">
        <v>4991</v>
      </c>
      <c r="G326" s="74" t="s">
        <v>1420</v>
      </c>
      <c r="H326" s="40">
        <v>44218</v>
      </c>
      <c r="I326" s="35">
        <v>177660</v>
      </c>
      <c r="J326" s="35" t="str">
        <f>IFERROR(VLOOKUP(CONCATENATE(B326,C326,D326,),Inadimplencia!$A$6:$K$110,6,0),"ATIVO")</f>
        <v>ATIVO</v>
      </c>
      <c r="K326" s="35">
        <f t="shared" ref="K326:K389" si="55">VLOOKUP(Y326,$Z$5:$AD$520,5,0)</f>
        <v>175386.64</v>
      </c>
      <c r="L326" s="325">
        <f t="shared" ref="L326:L389" si="56">K326/I326</f>
        <v>0.98720387256557474</v>
      </c>
      <c r="M326" s="423" t="str">
        <f t="shared" ref="M326:M389" si="57">CONCATENATE(J326,IF(L326&gt;100%,1,0))</f>
        <v>ATIVO0</v>
      </c>
      <c r="X326" s="203" t="str">
        <f t="shared" si="52"/>
        <v>LONDRINA [ETAPA 03 - CONDOMINIO ARANGUA]ATIVO</v>
      </c>
      <c r="Y326" s="203" t="str">
        <f t="shared" si="53"/>
        <v>XXXIX39MARCOS VINICIUS MAGALHAES BELIATO</v>
      </c>
      <c r="Z326" s="203" t="str">
        <f t="shared" ref="Z326:Z389" si="58">CONCATENATE(AA326,AB326,AC326)</f>
        <v>XXXIX39MARCOS VINICIUS MAGALHAES BELIATO</v>
      </c>
      <c r="AA326" s="427" t="s">
        <v>527</v>
      </c>
      <c r="AB326" s="427">
        <v>39</v>
      </c>
      <c r="AC326" s="429" t="s">
        <v>1420</v>
      </c>
      <c r="AD326" s="505">
        <v>175386.64</v>
      </c>
      <c r="AE326" s="506">
        <v>185015.75</v>
      </c>
      <c r="AF326" s="60" t="str">
        <f t="shared" ref="AF326:AF389" si="59">VLOOKUP(AC326,$G$5:$G$520,1,0)</f>
        <v>MARCOS VINICIUS MAGALHAES BELIATO</v>
      </c>
      <c r="AG326" s="60" t="str">
        <f t="shared" ref="AG326:AG389" si="60">IF(AC326=AF326,"OK","NÃO BATE")</f>
        <v>OK</v>
      </c>
    </row>
    <row r="327" spans="1:33">
      <c r="A327" s="61" t="str">
        <f t="shared" si="54"/>
        <v>LONDRINA [ETAPA 03 - CONDOMINIO ARANGUA]XXXIX40</v>
      </c>
      <c r="B327" s="263" t="s">
        <v>33</v>
      </c>
      <c r="C327" s="337" t="s">
        <v>527</v>
      </c>
      <c r="D327" s="166">
        <v>40</v>
      </c>
      <c r="E327" s="197">
        <v>256.75</v>
      </c>
      <c r="F327" s="166">
        <v>5152</v>
      </c>
      <c r="G327" s="338" t="s">
        <v>406</v>
      </c>
      <c r="H327" s="40">
        <v>42433</v>
      </c>
      <c r="I327" s="35">
        <v>131219.35</v>
      </c>
      <c r="J327" s="35" t="str">
        <f>IFERROR(VLOOKUP(CONCATENATE(B327,C327,D327,),Inadimplencia!$A$6:$K$110,6,0),"ATIVO")</f>
        <v>ATIVO</v>
      </c>
      <c r="K327" s="35">
        <f t="shared" si="55"/>
        <v>123211.07</v>
      </c>
      <c r="L327" s="325">
        <f t="shared" si="56"/>
        <v>0.93897028144096129</v>
      </c>
      <c r="M327" s="423" t="str">
        <f t="shared" si="57"/>
        <v>ATIVO0</v>
      </c>
      <c r="X327" s="203" t="str">
        <f t="shared" si="52"/>
        <v>LONDRINA [ETAPA 03 - CONDOMINIO ARANGUA]ATIVO</v>
      </c>
      <c r="Y327" s="203" t="str">
        <f t="shared" si="53"/>
        <v>XXXIX40RAMON GUSTAVO DA SILVA</v>
      </c>
      <c r="Z327" s="203" t="str">
        <f t="shared" si="58"/>
        <v>XXXIX40RAMON GUSTAVO DA SILVA</v>
      </c>
      <c r="AA327" s="427" t="s">
        <v>527</v>
      </c>
      <c r="AB327" s="427">
        <v>40</v>
      </c>
      <c r="AC327" s="428" t="s">
        <v>406</v>
      </c>
      <c r="AD327" s="505">
        <v>123211.07</v>
      </c>
      <c r="AE327" s="506">
        <v>232547.47</v>
      </c>
      <c r="AF327" s="60" t="str">
        <f t="shared" si="59"/>
        <v>RAMON GUSTAVO DA SILVA</v>
      </c>
      <c r="AG327" s="60" t="str">
        <f t="shared" si="60"/>
        <v>OK</v>
      </c>
    </row>
    <row r="328" spans="1:33">
      <c r="A328" s="61" t="str">
        <f t="shared" si="54"/>
        <v>LONDRINA [ETAPA 03 - CONDOMINIO ARANGUA]XXXIX41</v>
      </c>
      <c r="B328" s="263" t="s">
        <v>33</v>
      </c>
      <c r="C328" s="337" t="s">
        <v>527</v>
      </c>
      <c r="D328" s="73">
        <v>41</v>
      </c>
      <c r="E328" s="315">
        <v>256.75</v>
      </c>
      <c r="F328" s="166"/>
      <c r="G328" s="74" t="s">
        <v>1014</v>
      </c>
      <c r="H328" s="40">
        <v>43662</v>
      </c>
      <c r="I328" s="35">
        <v>144807</v>
      </c>
      <c r="J328" s="35" t="str">
        <f>IFERROR(VLOOKUP(CONCATENATE(B328,C328,D328,),Inadimplencia!$A$6:$K$110,6,0),"ATIVO")</f>
        <v>ATIVO</v>
      </c>
      <c r="K328" s="35">
        <f t="shared" si="55"/>
        <v>28790.400000000001</v>
      </c>
      <c r="L328" s="325">
        <f t="shared" si="56"/>
        <v>0.19881911786032444</v>
      </c>
      <c r="M328" s="423" t="str">
        <f t="shared" si="57"/>
        <v>ATIVO0</v>
      </c>
      <c r="X328" s="203" t="str">
        <f t="shared" si="52"/>
        <v>LONDRINA [ETAPA 03 - CONDOMINIO ARANGUA]ATIVO</v>
      </c>
      <c r="Y328" s="203" t="str">
        <f t="shared" si="53"/>
        <v>XXXIX41KELEY REGIANE APARECIDA DOS SANTOS</v>
      </c>
      <c r="Z328" s="203" t="str">
        <f t="shared" si="58"/>
        <v>XXXIX41KELEY REGIANE APARECIDA DOS SANTOS</v>
      </c>
      <c r="AA328" s="427" t="s">
        <v>527</v>
      </c>
      <c r="AB328" s="427">
        <v>41</v>
      </c>
      <c r="AC328" s="428" t="s">
        <v>1014</v>
      </c>
      <c r="AD328" s="505">
        <v>28790.400000000001</v>
      </c>
      <c r="AE328" s="506">
        <v>148121.59</v>
      </c>
      <c r="AF328" s="60" t="str">
        <f t="shared" si="59"/>
        <v>KELEY REGIANE APARECIDA DOS SANTOS</v>
      </c>
      <c r="AG328" s="60" t="str">
        <f t="shared" si="60"/>
        <v>OK</v>
      </c>
    </row>
    <row r="329" spans="1:33">
      <c r="A329" s="61" t="str">
        <f t="shared" si="54"/>
        <v>LONDRINA [ETAPA 03 - CONDOMINIO ARANGUA]XXXIX43</v>
      </c>
      <c r="B329" s="263" t="s">
        <v>33</v>
      </c>
      <c r="C329" s="337" t="s">
        <v>527</v>
      </c>
      <c r="D329" s="166">
        <v>43</v>
      </c>
      <c r="E329" s="197">
        <v>256.75</v>
      </c>
      <c r="F329" s="166">
        <v>5269</v>
      </c>
      <c r="G329" s="338" t="s">
        <v>427</v>
      </c>
      <c r="H329" s="40">
        <v>42608</v>
      </c>
      <c r="I329" s="35">
        <v>137499.6</v>
      </c>
      <c r="J329" s="35" t="str">
        <f>IFERROR(VLOOKUP(CONCATENATE(B329,C329,D329,),Inadimplencia!$A$6:$K$110,6,0),"ATIVO")</f>
        <v>ATIVO</v>
      </c>
      <c r="K329" s="35">
        <f t="shared" si="55"/>
        <v>120166.28</v>
      </c>
      <c r="L329" s="325">
        <f t="shared" si="56"/>
        <v>0.87393912418654307</v>
      </c>
      <c r="M329" s="423" t="str">
        <f t="shared" si="57"/>
        <v>ATIVO0</v>
      </c>
      <c r="X329" s="203" t="str">
        <f t="shared" si="52"/>
        <v>LONDRINA [ETAPA 03 - CONDOMINIO ARANGUA]ATIVO</v>
      </c>
      <c r="Y329" s="203" t="str">
        <f t="shared" si="53"/>
        <v>XXXIX43SABRINA APARECIDA DIZARRO SALES</v>
      </c>
      <c r="Z329" s="203" t="str">
        <f t="shared" si="58"/>
        <v>XXXIX43SABRINA APARECIDA DIZARRO SALES</v>
      </c>
      <c r="AA329" s="427" t="s">
        <v>527</v>
      </c>
      <c r="AB329" s="427">
        <v>43</v>
      </c>
      <c r="AC329" s="428" t="s">
        <v>427</v>
      </c>
      <c r="AD329" s="505">
        <v>120166.28</v>
      </c>
      <c r="AE329" s="506">
        <v>225485.79</v>
      </c>
      <c r="AF329" s="60" t="str">
        <f t="shared" si="59"/>
        <v>SABRINA APARECIDA DIZARRO SALES</v>
      </c>
      <c r="AG329" s="60" t="str">
        <f t="shared" si="60"/>
        <v>OK</v>
      </c>
    </row>
    <row r="330" spans="1:33">
      <c r="A330" s="61" t="str">
        <f t="shared" si="54"/>
        <v>LONDRINA [ETAPA 03 - CONDOMINIO ARANGUA]XXXV2</v>
      </c>
      <c r="B330" s="263" t="s">
        <v>33</v>
      </c>
      <c r="C330" s="337" t="s">
        <v>528</v>
      </c>
      <c r="D330" s="73">
        <v>2</v>
      </c>
      <c r="E330" s="315">
        <v>251.75</v>
      </c>
      <c r="F330" s="166">
        <v>5124</v>
      </c>
      <c r="G330" s="74" t="s">
        <v>439</v>
      </c>
      <c r="H330" s="40">
        <v>42403</v>
      </c>
      <c r="I330" s="35">
        <v>130023.6</v>
      </c>
      <c r="J330" s="35" t="str">
        <f>IFERROR(VLOOKUP(CONCATENATE(B330,C330,D330,),Inadimplencia!$A$6:$K$110,6,0),"ATIVO")</f>
        <v>INADIMPLENTE</v>
      </c>
      <c r="K330" s="35">
        <f t="shared" si="55"/>
        <v>257243.48</v>
      </c>
      <c r="L330" s="325">
        <f t="shared" si="56"/>
        <v>1.9784368376202475</v>
      </c>
      <c r="M330" s="423" t="str">
        <f t="shared" si="57"/>
        <v>INADIMPLENTE1</v>
      </c>
      <c r="X330" s="203" t="str">
        <f t="shared" si="52"/>
        <v>LONDRINA [ETAPA 03 - CONDOMINIO ARANGUA]INADIMPLENTE</v>
      </c>
      <c r="Y330" s="203" t="str">
        <f t="shared" si="53"/>
        <v>XXXV2SHEILA PINTO SILVA</v>
      </c>
      <c r="Z330" s="203" t="str">
        <f t="shared" si="58"/>
        <v>XXXV2SHEILA PINTO SILVA</v>
      </c>
      <c r="AA330" s="427" t="s">
        <v>528</v>
      </c>
      <c r="AB330" s="427">
        <v>2</v>
      </c>
      <c r="AC330" s="428" t="s">
        <v>439</v>
      </c>
      <c r="AD330" s="505">
        <v>257243.48</v>
      </c>
      <c r="AE330" s="506">
        <v>276021.52</v>
      </c>
      <c r="AF330" s="60" t="str">
        <f t="shared" si="59"/>
        <v>SHEILA PINTO SILVA</v>
      </c>
      <c r="AG330" s="60" t="str">
        <f t="shared" si="60"/>
        <v>OK</v>
      </c>
    </row>
    <row r="331" spans="1:33">
      <c r="A331" s="61" t="str">
        <f t="shared" si="54"/>
        <v>LONDRINA [ETAPA 03 - CONDOMINIO ARANGUA]XXXV3</v>
      </c>
      <c r="B331" s="263" t="s">
        <v>33</v>
      </c>
      <c r="C331" s="337" t="s">
        <v>528</v>
      </c>
      <c r="D331" s="166">
        <v>3</v>
      </c>
      <c r="E331" s="197">
        <v>251.75</v>
      </c>
      <c r="F331" s="166">
        <v>3955</v>
      </c>
      <c r="G331" s="338" t="s">
        <v>389</v>
      </c>
      <c r="H331" s="40">
        <v>41915</v>
      </c>
      <c r="I331" s="35">
        <v>113163.86</v>
      </c>
      <c r="J331" s="35" t="str">
        <f>IFERROR(VLOOKUP(CONCATENATE(B331,C331,D331,),Inadimplencia!$A$6:$K$110,6,0),"ATIVO")</f>
        <v>ATIVO</v>
      </c>
      <c r="K331" s="35">
        <f t="shared" si="55"/>
        <v>117408.86</v>
      </c>
      <c r="L331" s="325">
        <f t="shared" si="56"/>
        <v>1.037511975996577</v>
      </c>
      <c r="M331" s="423" t="str">
        <f t="shared" si="57"/>
        <v>ATIVO1</v>
      </c>
      <c r="X331" s="203" t="str">
        <f t="shared" si="52"/>
        <v>LONDRINA [ETAPA 03 - CONDOMINIO ARANGUA]ATIVO</v>
      </c>
      <c r="Y331" s="203" t="str">
        <f t="shared" si="53"/>
        <v>XXXV3PATRICIA FRANCISCO GONCALVES</v>
      </c>
      <c r="Z331" s="203" t="str">
        <f t="shared" si="58"/>
        <v>XXXV3PATRICIA FRANCISCO GONCALVES</v>
      </c>
      <c r="AA331" s="427" t="s">
        <v>528</v>
      </c>
      <c r="AB331" s="427">
        <v>3</v>
      </c>
      <c r="AC331" s="428" t="s">
        <v>389</v>
      </c>
      <c r="AD331" s="505">
        <v>117408.86</v>
      </c>
      <c r="AE331" s="506">
        <v>193273.48</v>
      </c>
      <c r="AF331" s="60" t="str">
        <f t="shared" si="59"/>
        <v>PATRICIA FRANCISCO GONCALVES</v>
      </c>
      <c r="AG331" s="60" t="str">
        <f t="shared" si="60"/>
        <v>OK</v>
      </c>
    </row>
    <row r="332" spans="1:33">
      <c r="A332" s="61" t="str">
        <f t="shared" si="54"/>
        <v>LONDRINA [ETAPA 03 - CONDOMINIO ARANGUA]XXXV8</v>
      </c>
      <c r="B332" s="263" t="s">
        <v>33</v>
      </c>
      <c r="C332" s="337" t="s">
        <v>528</v>
      </c>
      <c r="D332" s="73">
        <v>8</v>
      </c>
      <c r="E332" s="315">
        <v>251.75</v>
      </c>
      <c r="F332" s="166">
        <v>5324</v>
      </c>
      <c r="G332" s="74" t="s">
        <v>101</v>
      </c>
      <c r="H332" s="40">
        <v>42681</v>
      </c>
      <c r="I332" s="35">
        <v>140980</v>
      </c>
      <c r="J332" s="35" t="str">
        <f>IFERROR(VLOOKUP(CONCATENATE(B332,C332,D332,),Inadimplencia!$A$6:$K$110,6,0),"ATIVO")</f>
        <v>ATIVO</v>
      </c>
      <c r="K332" s="35">
        <f t="shared" si="55"/>
        <v>118473.27</v>
      </c>
      <c r="L332" s="325">
        <f t="shared" si="56"/>
        <v>0.84035515675982408</v>
      </c>
      <c r="M332" s="423" t="str">
        <f t="shared" si="57"/>
        <v>ATIVO0</v>
      </c>
      <c r="X332" s="203" t="str">
        <f t="shared" si="52"/>
        <v>LONDRINA [ETAPA 03 - CONDOMINIO ARANGUA]ATIVO</v>
      </c>
      <c r="Y332" s="203" t="str">
        <f t="shared" si="53"/>
        <v>XXXV8CAROLINA FONSECA DE ALMEIDA</v>
      </c>
      <c r="Z332" s="203" t="str">
        <f t="shared" si="58"/>
        <v>XXXV8CAROLINA FONSECA DE ALMEIDA</v>
      </c>
      <c r="AA332" s="427" t="s">
        <v>528</v>
      </c>
      <c r="AB332" s="427">
        <v>8</v>
      </c>
      <c r="AC332" s="428" t="s">
        <v>101</v>
      </c>
      <c r="AD332" s="505">
        <v>118473.27</v>
      </c>
      <c r="AE332" s="506">
        <v>221710.63</v>
      </c>
      <c r="AF332" s="60" t="str">
        <f t="shared" si="59"/>
        <v>CAROLINA FONSECA DE ALMEIDA</v>
      </c>
      <c r="AG332" s="60" t="str">
        <f t="shared" si="60"/>
        <v>OK</v>
      </c>
    </row>
    <row r="333" spans="1:33">
      <c r="A333" s="61" t="str">
        <f t="shared" si="54"/>
        <v>LONDRINA [ETAPA 03 - CONDOMINIO ARANGUA]XXXV9</v>
      </c>
      <c r="B333" s="263" t="s">
        <v>33</v>
      </c>
      <c r="C333" s="337" t="s">
        <v>528</v>
      </c>
      <c r="D333" s="166">
        <v>9</v>
      </c>
      <c r="E333" s="197">
        <v>251.75</v>
      </c>
      <c r="F333" s="166">
        <v>5325</v>
      </c>
      <c r="G333" s="338" t="s">
        <v>101</v>
      </c>
      <c r="H333" s="40">
        <v>42681</v>
      </c>
      <c r="I333" s="35">
        <v>140980</v>
      </c>
      <c r="J333" s="35" t="str">
        <f>IFERROR(VLOOKUP(CONCATENATE(B333,C333,D333,),Inadimplencia!$A$6:$K$110,6,0),"ATIVO")</f>
        <v>ATIVO</v>
      </c>
      <c r="K333" s="35">
        <f t="shared" si="55"/>
        <v>118473.27</v>
      </c>
      <c r="L333" s="325">
        <f t="shared" si="56"/>
        <v>0.84035515675982408</v>
      </c>
      <c r="M333" s="423" t="str">
        <f t="shared" si="57"/>
        <v>ATIVO0</v>
      </c>
      <c r="X333" s="203" t="str">
        <f t="shared" si="52"/>
        <v>LONDRINA [ETAPA 03 - CONDOMINIO ARANGUA]ATIVO</v>
      </c>
      <c r="Y333" s="203" t="str">
        <f t="shared" si="53"/>
        <v>XXXV9CAROLINA FONSECA DE ALMEIDA</v>
      </c>
      <c r="Z333" s="203" t="str">
        <f t="shared" si="58"/>
        <v>XXXV9CAROLINA FONSECA DE ALMEIDA</v>
      </c>
      <c r="AA333" s="427" t="s">
        <v>528</v>
      </c>
      <c r="AB333" s="427">
        <v>9</v>
      </c>
      <c r="AC333" s="428" t="s">
        <v>101</v>
      </c>
      <c r="AD333" s="505">
        <v>118473.27</v>
      </c>
      <c r="AE333" s="506">
        <v>221710.63</v>
      </c>
      <c r="AF333" s="60" t="str">
        <f t="shared" si="59"/>
        <v>CAROLINA FONSECA DE ALMEIDA</v>
      </c>
      <c r="AG333" s="60" t="str">
        <f t="shared" si="60"/>
        <v>OK</v>
      </c>
    </row>
    <row r="334" spans="1:33">
      <c r="A334" s="61" t="str">
        <f t="shared" si="54"/>
        <v>LONDRINA [ETAPA 03 - CONDOMINIO ARANGUA]XXXV10</v>
      </c>
      <c r="B334" s="263" t="s">
        <v>33</v>
      </c>
      <c r="C334" s="337" t="s">
        <v>528</v>
      </c>
      <c r="D334" s="73">
        <v>10</v>
      </c>
      <c r="E334" s="315">
        <v>251.75</v>
      </c>
      <c r="F334" s="166">
        <v>5326</v>
      </c>
      <c r="G334" s="74" t="s">
        <v>101</v>
      </c>
      <c r="H334" s="40">
        <v>42681</v>
      </c>
      <c r="I334" s="35">
        <v>140980</v>
      </c>
      <c r="J334" s="35" t="str">
        <f>IFERROR(VLOOKUP(CONCATENATE(B334,C334,D334,),Inadimplencia!$A$6:$K$110,6,0),"ATIVO")</f>
        <v>ATIVO</v>
      </c>
      <c r="K334" s="35">
        <f t="shared" si="55"/>
        <v>118473.27</v>
      </c>
      <c r="L334" s="325">
        <f t="shared" si="56"/>
        <v>0.84035515675982408</v>
      </c>
      <c r="M334" s="423" t="str">
        <f t="shared" si="57"/>
        <v>ATIVO0</v>
      </c>
      <c r="X334" s="203" t="str">
        <f t="shared" si="52"/>
        <v>LONDRINA [ETAPA 03 - CONDOMINIO ARANGUA]ATIVO</v>
      </c>
      <c r="Y334" s="203" t="str">
        <f t="shared" si="53"/>
        <v>XXXV10CAROLINA FONSECA DE ALMEIDA</v>
      </c>
      <c r="Z334" s="203" t="str">
        <f t="shared" si="58"/>
        <v>XXXV10CAROLINA FONSECA DE ALMEIDA</v>
      </c>
      <c r="AA334" s="427" t="s">
        <v>528</v>
      </c>
      <c r="AB334" s="427">
        <v>10</v>
      </c>
      <c r="AC334" s="428" t="s">
        <v>101</v>
      </c>
      <c r="AD334" s="505">
        <v>118473.27</v>
      </c>
      <c r="AE334" s="506">
        <v>221509.13</v>
      </c>
      <c r="AF334" s="60" t="str">
        <f t="shared" si="59"/>
        <v>CAROLINA FONSECA DE ALMEIDA</v>
      </c>
      <c r="AG334" s="60" t="str">
        <f t="shared" si="60"/>
        <v>OK</v>
      </c>
    </row>
    <row r="335" spans="1:33">
      <c r="A335" s="61" t="str">
        <f t="shared" si="54"/>
        <v>LONDRINA [ETAPA 03 - CONDOMINIO ARANGUA]XXXV14</v>
      </c>
      <c r="B335" s="263" t="s">
        <v>33</v>
      </c>
      <c r="C335" s="337" t="s">
        <v>528</v>
      </c>
      <c r="D335" s="166">
        <v>14</v>
      </c>
      <c r="E335" s="197">
        <v>251.75</v>
      </c>
      <c r="F335" s="166">
        <v>5972</v>
      </c>
      <c r="G335" s="338" t="s">
        <v>39</v>
      </c>
      <c r="H335" s="40">
        <v>43017</v>
      </c>
      <c r="I335" s="35">
        <v>124080</v>
      </c>
      <c r="J335" s="35" t="str">
        <f>IFERROR(VLOOKUP(CONCATENATE(B335,C335,D335,),Inadimplencia!$A$6:$K$110,6,0),"ATIVO")</f>
        <v>ATIVO</v>
      </c>
      <c r="K335" s="35">
        <f t="shared" si="55"/>
        <v>115804.31</v>
      </c>
      <c r="L335" s="325">
        <f t="shared" si="56"/>
        <v>0.93330359445519018</v>
      </c>
      <c r="M335" s="423" t="str">
        <f t="shared" si="57"/>
        <v>ATIVO0</v>
      </c>
      <c r="X335" s="203" t="str">
        <f t="shared" si="52"/>
        <v>LONDRINA [ETAPA 03 - CONDOMINIO ARANGUA]ATIVO</v>
      </c>
      <c r="Y335" s="203" t="str">
        <f t="shared" si="53"/>
        <v>XXXV14ADEL JUNIOR CONTINI LOPES</v>
      </c>
      <c r="Z335" s="203" t="str">
        <f t="shared" si="58"/>
        <v>XXXV14ADEL JUNIOR CONTINI LOPES</v>
      </c>
      <c r="AA335" s="427" t="s">
        <v>528</v>
      </c>
      <c r="AB335" s="427">
        <v>14</v>
      </c>
      <c r="AC335" s="428" t="s">
        <v>39</v>
      </c>
      <c r="AD335" s="505">
        <v>115804.31</v>
      </c>
      <c r="AE335" s="506">
        <v>190650.42</v>
      </c>
      <c r="AF335" s="60" t="str">
        <f t="shared" si="59"/>
        <v>ADEL JUNIOR CONTINI LOPES</v>
      </c>
      <c r="AG335" s="60" t="str">
        <f t="shared" si="60"/>
        <v>OK</v>
      </c>
    </row>
    <row r="336" spans="1:33">
      <c r="A336" s="61" t="str">
        <f t="shared" si="54"/>
        <v>LONDRINA [ETAPA 03 - CONDOMINIO ARANGUA]XXXV16</v>
      </c>
      <c r="B336" s="263" t="s">
        <v>33</v>
      </c>
      <c r="C336" s="337" t="s">
        <v>528</v>
      </c>
      <c r="D336" s="73">
        <v>16</v>
      </c>
      <c r="E336" s="315">
        <v>251.75</v>
      </c>
      <c r="F336" s="166">
        <v>4884</v>
      </c>
      <c r="G336" s="74" t="s">
        <v>1367</v>
      </c>
      <c r="H336" s="40">
        <v>44158</v>
      </c>
      <c r="I336" s="35">
        <v>158860</v>
      </c>
      <c r="J336" s="35" t="str">
        <f>IFERROR(VLOOKUP(CONCATENATE(B336,C336,D336,),Inadimplencia!$A$6:$K$110,6,0),"ATIVO")</f>
        <v>ATIVO</v>
      </c>
      <c r="K336" s="35">
        <f t="shared" si="55"/>
        <v>161640.57</v>
      </c>
      <c r="L336" s="325">
        <f t="shared" si="56"/>
        <v>1.0175032733224223</v>
      </c>
      <c r="M336" s="423" t="str">
        <f t="shared" si="57"/>
        <v>ATIVO1</v>
      </c>
      <c r="X336" s="203" t="str">
        <f t="shared" si="52"/>
        <v>LONDRINA [ETAPA 03 - CONDOMINIO ARANGUA]ATIVO</v>
      </c>
      <c r="Y336" s="203" t="str">
        <f t="shared" si="53"/>
        <v>XXXV16MARIA MAYUMI HOSHINO DE BARROS</v>
      </c>
      <c r="Z336" s="203" t="str">
        <f t="shared" si="58"/>
        <v>XXXV16MARIA MAYUMI HOSHINO DE BARROS</v>
      </c>
      <c r="AA336" s="427" t="s">
        <v>528</v>
      </c>
      <c r="AB336" s="427">
        <v>16</v>
      </c>
      <c r="AC336" s="428" t="s">
        <v>1367</v>
      </c>
      <c r="AD336" s="505">
        <v>161640.57</v>
      </c>
      <c r="AE336" s="506">
        <v>170971.73</v>
      </c>
      <c r="AF336" s="60" t="str">
        <f t="shared" si="59"/>
        <v>MARIA MAYUMI HOSHINO DE BARROS</v>
      </c>
      <c r="AG336" s="60" t="str">
        <f t="shared" si="60"/>
        <v>OK</v>
      </c>
    </row>
    <row r="337" spans="1:33">
      <c r="A337" s="61" t="str">
        <f t="shared" si="54"/>
        <v>LONDRINA [ETAPA 03 - CONDOMINIO ARANGUA]XXXV17</v>
      </c>
      <c r="B337" s="263" t="s">
        <v>33</v>
      </c>
      <c r="C337" s="337" t="s">
        <v>528</v>
      </c>
      <c r="D337" s="166">
        <v>17</v>
      </c>
      <c r="E337" s="197">
        <v>251.75</v>
      </c>
      <c r="F337" s="166">
        <v>5363</v>
      </c>
      <c r="G337" s="338" t="s">
        <v>54</v>
      </c>
      <c r="H337" s="40">
        <v>42706</v>
      </c>
      <c r="I337" s="35">
        <v>149921.14000000001</v>
      </c>
      <c r="J337" s="35" t="str">
        <f>IFERROR(VLOOKUP(CONCATENATE(B337,C337,D337,),Inadimplencia!$A$6:$K$110,6,0),"ATIVO")</f>
        <v>ATIVO</v>
      </c>
      <c r="K337" s="35">
        <f t="shared" si="55"/>
        <v>140657.61000000002</v>
      </c>
      <c r="L337" s="325">
        <f t="shared" si="56"/>
        <v>0.93821064861166348</v>
      </c>
      <c r="M337" s="423" t="str">
        <f t="shared" si="57"/>
        <v>ATIVO0</v>
      </c>
      <c r="X337" s="203" t="str">
        <f t="shared" si="52"/>
        <v>LONDRINA [ETAPA 03 - CONDOMINIO ARANGUA]ATIVO</v>
      </c>
      <c r="Y337" s="203" t="str">
        <f t="shared" si="53"/>
        <v>XXXV17ALESSANDRO DALBELLO MENDES</v>
      </c>
      <c r="Z337" s="203" t="str">
        <f t="shared" si="58"/>
        <v>XXXV17ALESSANDRO DALBELLO MENDES</v>
      </c>
      <c r="AA337" s="427" t="s">
        <v>528</v>
      </c>
      <c r="AB337" s="427">
        <v>17</v>
      </c>
      <c r="AC337" s="428" t="s">
        <v>54</v>
      </c>
      <c r="AD337" s="505">
        <v>140657.61000000002</v>
      </c>
      <c r="AE337" s="506">
        <v>243500.81</v>
      </c>
      <c r="AF337" s="60" t="str">
        <f t="shared" si="59"/>
        <v>ALESSANDRO DALBELLO MENDES</v>
      </c>
      <c r="AG337" s="60" t="str">
        <f t="shared" si="60"/>
        <v>OK</v>
      </c>
    </row>
    <row r="338" spans="1:33">
      <c r="A338" s="61" t="str">
        <f t="shared" si="54"/>
        <v>LONDRINA [ETAPA 03 - CONDOMINIO ARANGUA]XXXV18</v>
      </c>
      <c r="B338" s="263" t="s">
        <v>33</v>
      </c>
      <c r="C338" s="337" t="s">
        <v>528</v>
      </c>
      <c r="D338" s="73">
        <v>18</v>
      </c>
      <c r="E338" s="315">
        <v>267.82</v>
      </c>
      <c r="F338" s="166">
        <v>5529</v>
      </c>
      <c r="G338" s="74" t="s">
        <v>186</v>
      </c>
      <c r="H338" s="40">
        <v>42783</v>
      </c>
      <c r="I338" s="35">
        <v>140926.67000000001</v>
      </c>
      <c r="J338" s="35" t="str">
        <f>IFERROR(VLOOKUP(CONCATENATE(B338,C338,D338,),Inadimplencia!$A$6:$K$110,6,0),"ATIVO")</f>
        <v>ATIVO</v>
      </c>
      <c r="K338" s="35">
        <f t="shared" si="55"/>
        <v>140108.97</v>
      </c>
      <c r="L338" s="325">
        <f t="shared" si="56"/>
        <v>0.99419769160798299</v>
      </c>
      <c r="M338" s="423" t="str">
        <f t="shared" si="57"/>
        <v>ATIVO0</v>
      </c>
      <c r="X338" s="203" t="str">
        <f t="shared" si="52"/>
        <v>LONDRINA [ETAPA 03 - CONDOMINIO ARANGUA]ATIVO</v>
      </c>
      <c r="Y338" s="203" t="str">
        <f t="shared" si="53"/>
        <v>XXXV18EMERSON JORGE BIM</v>
      </c>
      <c r="Z338" s="203" t="str">
        <f t="shared" si="58"/>
        <v>XXXV18EMERSON JORGE BIM</v>
      </c>
      <c r="AA338" s="427" t="s">
        <v>528</v>
      </c>
      <c r="AB338" s="427">
        <v>18</v>
      </c>
      <c r="AC338" s="428" t="s">
        <v>186</v>
      </c>
      <c r="AD338" s="505">
        <v>140108.97</v>
      </c>
      <c r="AE338" s="506">
        <v>231380.34</v>
      </c>
      <c r="AF338" s="60" t="str">
        <f t="shared" si="59"/>
        <v>EMERSON JORGE BIM</v>
      </c>
      <c r="AG338" s="60" t="str">
        <f t="shared" si="60"/>
        <v>OK</v>
      </c>
    </row>
    <row r="339" spans="1:33">
      <c r="A339" s="61" t="str">
        <f t="shared" si="54"/>
        <v>LONDRINA [ETAPA 03 - CONDOMINIO ARANGUA]XXXV20</v>
      </c>
      <c r="B339" s="263" t="s">
        <v>33</v>
      </c>
      <c r="C339" s="337" t="s">
        <v>528</v>
      </c>
      <c r="D339" s="166">
        <v>20</v>
      </c>
      <c r="E339" s="197">
        <v>267.82</v>
      </c>
      <c r="F339" s="166">
        <v>5595</v>
      </c>
      <c r="G339" s="338" t="s">
        <v>229</v>
      </c>
      <c r="H339" s="40">
        <v>42870</v>
      </c>
      <c r="I339" s="35">
        <v>132671.67000000001</v>
      </c>
      <c r="J339" s="35" t="str">
        <f>IFERROR(VLOOKUP(CONCATENATE(B339,C339,D339,),Inadimplencia!$A$6:$K$110,6,0),"ATIVO")</f>
        <v>INADIMPLENTE</v>
      </c>
      <c r="K339" s="35">
        <f t="shared" si="55"/>
        <v>171152.68</v>
      </c>
      <c r="L339" s="325">
        <f t="shared" si="56"/>
        <v>1.290046925617202</v>
      </c>
      <c r="M339" s="423" t="str">
        <f t="shared" si="57"/>
        <v>INADIMPLENTE1</v>
      </c>
      <c r="X339" s="203" t="str">
        <f t="shared" si="52"/>
        <v>LONDRINA [ETAPA 03 - CONDOMINIO ARANGUA]INADIMPLENTE</v>
      </c>
      <c r="Y339" s="203" t="str">
        <f t="shared" si="53"/>
        <v>XXXV20GUILHERME ANDRADE SALVADOR</v>
      </c>
      <c r="Z339" s="203" t="str">
        <f t="shared" si="58"/>
        <v>XXXV20GUILHERME ANDRADE SALVADOR</v>
      </c>
      <c r="AA339" s="427" t="s">
        <v>528</v>
      </c>
      <c r="AB339" s="427">
        <v>20</v>
      </c>
      <c r="AC339" s="428" t="s">
        <v>229</v>
      </c>
      <c r="AD339" s="505">
        <v>171152.68</v>
      </c>
      <c r="AE339" s="506">
        <v>216767.92</v>
      </c>
      <c r="AF339" s="60" t="str">
        <f t="shared" si="59"/>
        <v>GUILHERME ANDRADE SALVADOR</v>
      </c>
      <c r="AG339" s="60" t="str">
        <f t="shared" si="60"/>
        <v>OK</v>
      </c>
    </row>
    <row r="340" spans="1:33">
      <c r="A340" s="61" t="str">
        <f t="shared" si="54"/>
        <v>LONDRINA [ETAPA 03 - CONDOMINIO ARANGUA]XXXV23</v>
      </c>
      <c r="B340" s="263" t="s">
        <v>33</v>
      </c>
      <c r="C340" s="337" t="s">
        <v>528</v>
      </c>
      <c r="D340" s="73">
        <v>23</v>
      </c>
      <c r="E340" s="315">
        <v>267.82</v>
      </c>
      <c r="F340" s="166">
        <v>6189</v>
      </c>
      <c r="G340" s="74" t="s">
        <v>225</v>
      </c>
      <c r="H340" s="40">
        <v>43138</v>
      </c>
      <c r="I340" s="35">
        <v>131599.6</v>
      </c>
      <c r="J340" s="35" t="str">
        <f>IFERROR(VLOOKUP(CONCATENATE(B340,C340,D340,),Inadimplencia!$A$6:$K$110,6,0),"ATIVO")</f>
        <v>ATIVO</v>
      </c>
      <c r="K340" s="35">
        <f t="shared" si="55"/>
        <v>54955.67</v>
      </c>
      <c r="L340" s="325">
        <f t="shared" si="56"/>
        <v>0.41759754588919717</v>
      </c>
      <c r="M340" s="423" t="str">
        <f t="shared" si="57"/>
        <v>ATIVO0</v>
      </c>
      <c r="X340" s="203" t="str">
        <f t="shared" si="52"/>
        <v>LONDRINA [ETAPA 03 - CONDOMINIO ARANGUA]ATIVO</v>
      </c>
      <c r="Y340" s="203" t="str">
        <f t="shared" si="53"/>
        <v>XXXV23GILMAR AMARAL GOMES</v>
      </c>
      <c r="Z340" s="203" t="str">
        <f t="shared" si="58"/>
        <v>XXXV23GILMAR AMARAL GOMES</v>
      </c>
      <c r="AA340" s="427" t="s">
        <v>528</v>
      </c>
      <c r="AB340" s="427">
        <v>23</v>
      </c>
      <c r="AC340" s="428" t="s">
        <v>225</v>
      </c>
      <c r="AD340" s="505">
        <v>54955.67</v>
      </c>
      <c r="AE340" s="506">
        <v>180835.64</v>
      </c>
      <c r="AF340" s="60" t="str">
        <f t="shared" si="59"/>
        <v>GILMAR AMARAL GOMES</v>
      </c>
      <c r="AG340" s="60" t="str">
        <f t="shared" si="60"/>
        <v>OK</v>
      </c>
    </row>
    <row r="341" spans="1:33">
      <c r="A341" s="61" t="str">
        <f t="shared" si="54"/>
        <v>LONDRINA [ETAPA 03 - CONDOMINIO ARANGUA]XXXV24</v>
      </c>
      <c r="B341" s="263" t="s">
        <v>33</v>
      </c>
      <c r="C341" s="337" t="s">
        <v>528</v>
      </c>
      <c r="D341" s="166">
        <v>24</v>
      </c>
      <c r="E341" s="197">
        <v>267.82</v>
      </c>
      <c r="F341" s="166"/>
      <c r="G341" s="338" t="s">
        <v>1037</v>
      </c>
      <c r="H341" s="40">
        <v>43664</v>
      </c>
      <c r="I341" s="35">
        <v>131600.42000000001</v>
      </c>
      <c r="J341" s="35" t="str">
        <f>IFERROR(VLOOKUP(CONCATENATE(B341,C341,D341,),Inadimplencia!$A$6:$K$110,6,0),"ATIVO")</f>
        <v>INADIMPLENTE</v>
      </c>
      <c r="K341" s="35">
        <f t="shared" si="55"/>
        <v>164598.1</v>
      </c>
      <c r="L341" s="325">
        <f t="shared" si="56"/>
        <v>1.2507414490014546</v>
      </c>
      <c r="M341" s="423" t="str">
        <f t="shared" si="57"/>
        <v>INADIMPLENTE1</v>
      </c>
      <c r="X341" s="203" t="str">
        <f t="shared" si="52"/>
        <v>LONDRINA [ETAPA 03 - CONDOMINIO ARANGUA]INADIMPLENTE</v>
      </c>
      <c r="Y341" s="203" t="str">
        <f t="shared" si="53"/>
        <v>XXXV24LIVIA BEATRIZ LIMA LUIZETTO</v>
      </c>
      <c r="Z341" s="203" t="str">
        <f t="shared" si="58"/>
        <v>XXXV24LIVIA BEATRIZ LIMA LUIZETTO</v>
      </c>
      <c r="AA341" s="427" t="s">
        <v>528</v>
      </c>
      <c r="AB341" s="427">
        <v>24</v>
      </c>
      <c r="AC341" s="428" t="s">
        <v>1037</v>
      </c>
      <c r="AD341" s="505">
        <v>164598.1</v>
      </c>
      <c r="AE341" s="506">
        <v>171657.88</v>
      </c>
      <c r="AF341" s="60" t="str">
        <f t="shared" si="59"/>
        <v>LIVIA BEATRIZ LIMA LUIZETTO</v>
      </c>
      <c r="AG341" s="60" t="str">
        <f t="shared" si="60"/>
        <v>OK</v>
      </c>
    </row>
    <row r="342" spans="1:33">
      <c r="A342" s="61" t="str">
        <f t="shared" si="54"/>
        <v>LONDRINA [ETAPA 03 - CONDOMINIO ARANGUA]XXXV25</v>
      </c>
      <c r="B342" s="263" t="s">
        <v>33</v>
      </c>
      <c r="C342" s="337" t="s">
        <v>528</v>
      </c>
      <c r="D342" s="73">
        <v>25</v>
      </c>
      <c r="E342" s="315">
        <v>267.82</v>
      </c>
      <c r="F342" s="166">
        <v>7015</v>
      </c>
      <c r="G342" s="74" t="s">
        <v>937</v>
      </c>
      <c r="H342" s="40">
        <v>43525</v>
      </c>
      <c r="I342" s="35">
        <v>155371.26999999999</v>
      </c>
      <c r="J342" s="35" t="str">
        <f>IFERROR(VLOOKUP(CONCATENATE(B342,C342,D342,),Inadimplencia!$A$6:$K$110,6,0),"ATIVO")</f>
        <v>ATRASO</v>
      </c>
      <c r="K342" s="35">
        <f t="shared" si="55"/>
        <v>135846.79</v>
      </c>
      <c r="L342" s="325">
        <f t="shared" si="56"/>
        <v>0.87433661319753653</v>
      </c>
      <c r="M342" s="423" t="str">
        <f t="shared" si="57"/>
        <v>ATRASO0</v>
      </c>
      <c r="X342" s="203" t="str">
        <f t="shared" si="52"/>
        <v>LONDRINA [ETAPA 03 - CONDOMINIO ARANGUA]ATRASO</v>
      </c>
      <c r="Y342" s="203" t="str">
        <f t="shared" si="53"/>
        <v>XXXV25LEANDRO MARIA CLARO</v>
      </c>
      <c r="Z342" s="203" t="str">
        <f t="shared" si="58"/>
        <v>XXXV25LEANDRO MARIA CLARO</v>
      </c>
      <c r="AA342" s="427" t="s">
        <v>528</v>
      </c>
      <c r="AB342" s="427">
        <v>25</v>
      </c>
      <c r="AC342" s="428" t="s">
        <v>937</v>
      </c>
      <c r="AD342" s="505">
        <v>135846.79</v>
      </c>
      <c r="AE342" s="506">
        <v>203806.32</v>
      </c>
      <c r="AF342" s="60" t="str">
        <f t="shared" si="59"/>
        <v>LEANDRO MARIA CLARO</v>
      </c>
      <c r="AG342" s="60" t="str">
        <f t="shared" si="60"/>
        <v>OK</v>
      </c>
    </row>
    <row r="343" spans="1:33">
      <c r="A343" s="61" t="str">
        <f t="shared" si="54"/>
        <v>LONDRINA [ETAPA 03 - CONDOMINIO ARANGUA]XXXV26</v>
      </c>
      <c r="B343" s="263" t="s">
        <v>33</v>
      </c>
      <c r="C343" s="337" t="s">
        <v>528</v>
      </c>
      <c r="D343" s="166">
        <v>26</v>
      </c>
      <c r="E343" s="197">
        <v>267.82</v>
      </c>
      <c r="F343" s="166">
        <v>5956</v>
      </c>
      <c r="G343" s="338" t="s">
        <v>61</v>
      </c>
      <c r="H343" s="40">
        <v>43038</v>
      </c>
      <c r="I343" s="35">
        <v>126900</v>
      </c>
      <c r="J343" s="35" t="str">
        <f>IFERROR(VLOOKUP(CONCATENATE(B343,C343,D343,),Inadimplencia!$A$6:$K$110,6,0),"ATIVO")</f>
        <v>ATIVO</v>
      </c>
      <c r="K343" s="35">
        <f t="shared" si="55"/>
        <v>122623.54000000001</v>
      </c>
      <c r="L343" s="325">
        <f t="shared" si="56"/>
        <v>0.96630055161544526</v>
      </c>
      <c r="M343" s="423" t="str">
        <f t="shared" si="57"/>
        <v>ATIVO0</v>
      </c>
      <c r="X343" s="203" t="str">
        <f t="shared" si="52"/>
        <v>LONDRINA [ETAPA 03 - CONDOMINIO ARANGUA]ATIVO</v>
      </c>
      <c r="Y343" s="203" t="str">
        <f t="shared" si="53"/>
        <v>XXXV26ALINE CANDIDO DE OLIVEIRA</v>
      </c>
      <c r="Z343" s="203" t="str">
        <f t="shared" si="58"/>
        <v>XXXV26ALINE CANDIDO DE OLIVEIRA</v>
      </c>
      <c r="AA343" s="427" t="s">
        <v>528</v>
      </c>
      <c r="AB343" s="427">
        <v>26</v>
      </c>
      <c r="AC343" s="428" t="s">
        <v>61</v>
      </c>
      <c r="AD343" s="505">
        <v>122623.54000000001</v>
      </c>
      <c r="AE343" s="506">
        <v>194197.38</v>
      </c>
      <c r="AF343" s="60" t="str">
        <f t="shared" si="59"/>
        <v>ALINE CANDIDO DE OLIVEIRA</v>
      </c>
      <c r="AG343" s="60" t="str">
        <f t="shared" si="60"/>
        <v>OK</v>
      </c>
    </row>
    <row r="344" spans="1:33">
      <c r="A344" s="61" t="str">
        <f t="shared" si="54"/>
        <v>LONDRINA [ETAPA 03 - CONDOMINIO ARANGUA]XXXV27</v>
      </c>
      <c r="B344" s="263" t="s">
        <v>33</v>
      </c>
      <c r="C344" s="337" t="s">
        <v>528</v>
      </c>
      <c r="D344" s="73">
        <v>27</v>
      </c>
      <c r="E344" s="315">
        <v>267.82</v>
      </c>
      <c r="F344" s="166">
        <v>6000</v>
      </c>
      <c r="G344" s="74" t="s">
        <v>100</v>
      </c>
      <c r="H344" s="40">
        <v>43062</v>
      </c>
      <c r="I344" s="35">
        <v>127839.63</v>
      </c>
      <c r="J344" s="35" t="str">
        <f>IFERROR(VLOOKUP(CONCATENATE(B344,C344,D344,),Inadimplencia!$A$6:$K$110,6,0),"ATIVO")</f>
        <v>ATIVO</v>
      </c>
      <c r="K344" s="35">
        <f t="shared" si="55"/>
        <v>111467.72</v>
      </c>
      <c r="L344" s="325">
        <f t="shared" si="56"/>
        <v>0.87193400043476343</v>
      </c>
      <c r="M344" s="423" t="str">
        <f t="shared" si="57"/>
        <v>ATIVO0</v>
      </c>
      <c r="X344" s="203" t="str">
        <f t="shared" si="52"/>
        <v>LONDRINA [ETAPA 03 - CONDOMINIO ARANGUA]ATIVO</v>
      </c>
      <c r="Y344" s="203" t="str">
        <f t="shared" si="53"/>
        <v>XXXV27CARLOS ROBERTO DA SILVA JUNIOR</v>
      </c>
      <c r="Z344" s="203" t="str">
        <f t="shared" si="58"/>
        <v>XXXV27CARLOS ROBERTO DA SILVA JUNIOR</v>
      </c>
      <c r="AA344" s="427" t="s">
        <v>528</v>
      </c>
      <c r="AB344" s="427">
        <v>27</v>
      </c>
      <c r="AC344" s="428" t="s">
        <v>100</v>
      </c>
      <c r="AD344" s="505">
        <v>111467.72</v>
      </c>
      <c r="AE344" s="506">
        <v>190166.5</v>
      </c>
      <c r="AF344" s="60" t="str">
        <f t="shared" si="59"/>
        <v>CARLOS ROBERTO DA SILVA JUNIOR</v>
      </c>
      <c r="AG344" s="60" t="str">
        <f t="shared" si="60"/>
        <v>OK</v>
      </c>
    </row>
    <row r="345" spans="1:33">
      <c r="A345" s="61" t="str">
        <f t="shared" si="54"/>
        <v>LONDRINA [ETAPA 03 - CONDOMINIO ARANGUA]XXXVI1</v>
      </c>
      <c r="B345" s="263" t="s">
        <v>33</v>
      </c>
      <c r="C345" s="337" t="s">
        <v>529</v>
      </c>
      <c r="D345" s="166">
        <v>1</v>
      </c>
      <c r="E345" s="197">
        <v>353.3</v>
      </c>
      <c r="F345" s="166">
        <v>4980</v>
      </c>
      <c r="G345" s="338" t="s">
        <v>1421</v>
      </c>
      <c r="H345" s="40">
        <v>44202</v>
      </c>
      <c r="I345" s="35">
        <v>225600</v>
      </c>
      <c r="J345" s="35" t="str">
        <f>IFERROR(VLOOKUP(CONCATENATE(B345,C345,D345,),Inadimplencia!$A$6:$K$110,6,0),"ATIVO")</f>
        <v>ATIVO</v>
      </c>
      <c r="K345" s="35">
        <f t="shared" si="55"/>
        <v>183837.92</v>
      </c>
      <c r="L345" s="325">
        <f t="shared" si="56"/>
        <v>0.81488439716312067</v>
      </c>
      <c r="M345" s="423" t="str">
        <f t="shared" si="57"/>
        <v>ATIVO0</v>
      </c>
      <c r="X345" s="203" t="str">
        <f t="shared" si="52"/>
        <v>LONDRINA [ETAPA 03 - CONDOMINIO ARANGUA]ATIVO</v>
      </c>
      <c r="Y345" s="203" t="str">
        <f t="shared" si="53"/>
        <v>XXXVI1CRISTIANO BETIOL</v>
      </c>
      <c r="Z345" s="203" t="str">
        <f t="shared" si="58"/>
        <v>XXXVI1CRISTIANO BETIOL</v>
      </c>
      <c r="AA345" s="427" t="s">
        <v>529</v>
      </c>
      <c r="AB345" s="427">
        <v>1</v>
      </c>
      <c r="AC345" s="428" t="s">
        <v>1421</v>
      </c>
      <c r="AD345" s="505">
        <v>183837.92</v>
      </c>
      <c r="AE345" s="506">
        <v>229029.5</v>
      </c>
      <c r="AF345" s="60" t="str">
        <f t="shared" si="59"/>
        <v>CRISTIANO BETIOL</v>
      </c>
      <c r="AG345" s="60" t="str">
        <f t="shared" si="60"/>
        <v>OK</v>
      </c>
    </row>
    <row r="346" spans="1:33">
      <c r="A346" s="61" t="str">
        <f t="shared" si="54"/>
        <v>LONDRINA [ETAPA 03 - CONDOMINIO ARANGUA]XXXVI5</v>
      </c>
      <c r="B346" s="263" t="s">
        <v>33</v>
      </c>
      <c r="C346" s="337" t="s">
        <v>529</v>
      </c>
      <c r="D346" s="73">
        <v>5</v>
      </c>
      <c r="E346" s="315">
        <v>257</v>
      </c>
      <c r="F346" s="166">
        <v>5806</v>
      </c>
      <c r="G346" s="74" t="s">
        <v>59</v>
      </c>
      <c r="H346" s="40">
        <v>42971</v>
      </c>
      <c r="I346" s="35">
        <v>124079.4</v>
      </c>
      <c r="J346" s="35" t="str">
        <f>IFERROR(VLOOKUP(CONCATENATE(B346,C346,D346,),Inadimplencia!$A$6:$K$110,6,0),"ATIVO")</f>
        <v>ATIVO</v>
      </c>
      <c r="K346" s="35">
        <f t="shared" si="55"/>
        <v>117458.67</v>
      </c>
      <c r="L346" s="325">
        <f t="shared" si="56"/>
        <v>0.94664118298444389</v>
      </c>
      <c r="M346" s="423" t="str">
        <f t="shared" si="57"/>
        <v>ATIVO0</v>
      </c>
      <c r="X346" s="203" t="str">
        <f t="shared" si="52"/>
        <v>LONDRINA [ETAPA 03 - CONDOMINIO ARANGUA]ATIVO</v>
      </c>
      <c r="Y346" s="203" t="str">
        <f t="shared" si="53"/>
        <v>XXXVI5ALEXANDRE FRANCO FERREIRA</v>
      </c>
      <c r="Z346" s="203" t="str">
        <f t="shared" si="58"/>
        <v>XXXVI5ALEXANDRE FRANCO FERREIRA</v>
      </c>
      <c r="AA346" s="427" t="s">
        <v>529</v>
      </c>
      <c r="AB346" s="427">
        <v>5</v>
      </c>
      <c r="AC346" s="428" t="s">
        <v>59</v>
      </c>
      <c r="AD346" s="505">
        <v>117458.67</v>
      </c>
      <c r="AE346" s="506">
        <v>190549.03</v>
      </c>
      <c r="AF346" s="60" t="str">
        <f t="shared" si="59"/>
        <v>ALEXANDRE FRANCO FERREIRA</v>
      </c>
      <c r="AG346" s="60" t="str">
        <f t="shared" si="60"/>
        <v>OK</v>
      </c>
    </row>
    <row r="347" spans="1:33">
      <c r="A347" s="61" t="str">
        <f t="shared" si="54"/>
        <v>LONDRINA [ETAPA 03 - CONDOMINIO ARANGUA]XXXVI6</v>
      </c>
      <c r="B347" s="263" t="s">
        <v>33</v>
      </c>
      <c r="C347" s="337" t="s">
        <v>529</v>
      </c>
      <c r="D347" s="166">
        <v>6</v>
      </c>
      <c r="E347" s="197">
        <v>257</v>
      </c>
      <c r="F347" s="166">
        <v>5795</v>
      </c>
      <c r="G347" s="338" t="s">
        <v>47</v>
      </c>
      <c r="H347" s="40">
        <v>42952</v>
      </c>
      <c r="I347" s="35">
        <v>124080.6</v>
      </c>
      <c r="J347" s="35" t="str">
        <f>IFERROR(VLOOKUP(CONCATENATE(B347,C347,D347,),Inadimplencia!$A$6:$K$110,6,0),"ATIVO")</f>
        <v>ATIVO</v>
      </c>
      <c r="K347" s="35">
        <f t="shared" si="55"/>
        <v>110901.68000000001</v>
      </c>
      <c r="L347" s="325">
        <f t="shared" si="56"/>
        <v>0.89378742527034849</v>
      </c>
      <c r="M347" s="423" t="str">
        <f t="shared" si="57"/>
        <v>ATIVO0</v>
      </c>
      <c r="X347" s="203" t="str">
        <f t="shared" si="52"/>
        <v>LONDRINA [ETAPA 03 - CONDOMINIO ARANGUA]ATIVO</v>
      </c>
      <c r="Y347" s="203" t="str">
        <f t="shared" si="53"/>
        <v>XXXVI6ADRIANO TORRES UNZER DOS SANTOS</v>
      </c>
      <c r="Z347" s="203" t="str">
        <f t="shared" si="58"/>
        <v>XXXVI6ADRIANO TORRES UNZER DOS SANTOS</v>
      </c>
      <c r="AA347" s="427" t="s">
        <v>529</v>
      </c>
      <c r="AB347" s="427">
        <v>6</v>
      </c>
      <c r="AC347" s="428" t="s">
        <v>47</v>
      </c>
      <c r="AD347" s="505">
        <v>110901.68000000001</v>
      </c>
      <c r="AE347" s="506">
        <v>187507.05000000002</v>
      </c>
      <c r="AF347" s="60" t="str">
        <f t="shared" si="59"/>
        <v>ADRIANO TORRES UNZER DOS SANTOS</v>
      </c>
      <c r="AG347" s="60" t="str">
        <f t="shared" si="60"/>
        <v>OK</v>
      </c>
    </row>
    <row r="348" spans="1:33">
      <c r="A348" s="61" t="str">
        <f t="shared" si="54"/>
        <v>LONDRINA [ETAPA 03 - CONDOMINIO ARANGUA]XXXVI8</v>
      </c>
      <c r="B348" s="263" t="s">
        <v>33</v>
      </c>
      <c r="C348" s="337" t="s">
        <v>529</v>
      </c>
      <c r="D348" s="73">
        <v>8</v>
      </c>
      <c r="E348" s="315">
        <v>257</v>
      </c>
      <c r="F348" s="166">
        <v>5791</v>
      </c>
      <c r="G348" s="74" t="s">
        <v>165</v>
      </c>
      <c r="H348" s="40">
        <v>42967</v>
      </c>
      <c r="I348" s="35">
        <v>124079.46</v>
      </c>
      <c r="J348" s="35" t="str">
        <f>IFERROR(VLOOKUP(CONCATENATE(B348,C348,D348,),Inadimplencia!$A$6:$K$110,6,0),"ATIVO")</f>
        <v>ATIVO</v>
      </c>
      <c r="K348" s="35">
        <f t="shared" si="55"/>
        <v>103809.78</v>
      </c>
      <c r="L348" s="325">
        <f t="shared" si="56"/>
        <v>0.83663952115845763</v>
      </c>
      <c r="M348" s="423" t="str">
        <f t="shared" si="57"/>
        <v>ATIVO0</v>
      </c>
      <c r="X348" s="203" t="str">
        <f t="shared" si="52"/>
        <v>LONDRINA [ETAPA 03 - CONDOMINIO ARANGUA]ATIVO</v>
      </c>
      <c r="Y348" s="203" t="str">
        <f t="shared" si="53"/>
        <v>XXXVI8EDSON FIALHO DA COSTA</v>
      </c>
      <c r="Z348" s="203" t="str">
        <f t="shared" si="58"/>
        <v>XXXVI8EDSON FIALHO DA COSTA</v>
      </c>
      <c r="AA348" s="427" t="s">
        <v>529</v>
      </c>
      <c r="AB348" s="427">
        <v>8</v>
      </c>
      <c r="AC348" s="428" t="s">
        <v>165</v>
      </c>
      <c r="AD348" s="505">
        <v>103809.78</v>
      </c>
      <c r="AE348" s="506">
        <v>186144.82</v>
      </c>
      <c r="AF348" s="60" t="str">
        <f t="shared" si="59"/>
        <v>EDSON FIALHO DA COSTA</v>
      </c>
      <c r="AG348" s="60" t="str">
        <f t="shared" si="60"/>
        <v>OK</v>
      </c>
    </row>
    <row r="349" spans="1:33">
      <c r="A349" s="61" t="str">
        <f t="shared" si="54"/>
        <v>LONDRINA [ETAPA 03 - CONDOMINIO ARANGUA]XXXVI10</v>
      </c>
      <c r="B349" s="263" t="s">
        <v>33</v>
      </c>
      <c r="C349" s="337" t="s">
        <v>529</v>
      </c>
      <c r="D349" s="73">
        <v>10</v>
      </c>
      <c r="E349" s="315">
        <v>257</v>
      </c>
      <c r="F349" s="166">
        <v>6318</v>
      </c>
      <c r="G349" s="74" t="s">
        <v>587</v>
      </c>
      <c r="H349" s="40">
        <v>43201</v>
      </c>
      <c r="I349" s="35">
        <v>152573.47</v>
      </c>
      <c r="J349" s="35" t="str">
        <f>IFERROR(VLOOKUP(CONCATENATE(B349,C349,D349,),Inadimplencia!$A$6:$K$110,6,0),"ATIVO")</f>
        <v>INADIMPLENTE</v>
      </c>
      <c r="K349" s="35">
        <f t="shared" si="55"/>
        <v>158723.16</v>
      </c>
      <c r="L349" s="325">
        <f t="shared" si="56"/>
        <v>1.0403064176229329</v>
      </c>
      <c r="M349" s="423" t="str">
        <f t="shared" si="57"/>
        <v>INADIMPLENTE1</v>
      </c>
      <c r="X349" s="203" t="str">
        <f t="shared" si="52"/>
        <v>LONDRINA [ETAPA 03 - CONDOMINIO ARANGUA]INADIMPLENTE</v>
      </c>
      <c r="Y349" s="203" t="str">
        <f t="shared" si="53"/>
        <v>XXXVI10LUCIANO CROCE</v>
      </c>
      <c r="Z349" s="203" t="str">
        <f t="shared" si="58"/>
        <v>XXXVI10LUCIANO CROCE</v>
      </c>
      <c r="AA349" s="427" t="s">
        <v>529</v>
      </c>
      <c r="AB349" s="427">
        <v>10</v>
      </c>
      <c r="AC349" s="428" t="s">
        <v>587</v>
      </c>
      <c r="AD349" s="505">
        <v>158723.16</v>
      </c>
      <c r="AE349" s="506">
        <v>218482.62</v>
      </c>
      <c r="AF349" s="60" t="str">
        <f t="shared" si="59"/>
        <v>LUCIANO CROCE</v>
      </c>
      <c r="AG349" s="60" t="str">
        <f t="shared" si="60"/>
        <v>OK</v>
      </c>
    </row>
    <row r="350" spans="1:33">
      <c r="A350" s="61" t="str">
        <f t="shared" si="54"/>
        <v>LONDRINA [ETAPA 03 - CONDOMINIO ARANGUA]XXXVI11</v>
      </c>
      <c r="B350" s="263" t="s">
        <v>33</v>
      </c>
      <c r="C350" s="337" t="s">
        <v>529</v>
      </c>
      <c r="D350" s="166">
        <v>11</v>
      </c>
      <c r="E350" s="197">
        <v>257</v>
      </c>
      <c r="F350" s="166">
        <v>4883</v>
      </c>
      <c r="G350" s="338" t="s">
        <v>1366</v>
      </c>
      <c r="H350" s="40">
        <v>44158</v>
      </c>
      <c r="I350" s="35">
        <v>161748.62</v>
      </c>
      <c r="J350" s="35" t="str">
        <f>IFERROR(VLOOKUP(CONCATENATE(B350,C350,D350,),Inadimplencia!$A$6:$K$110,6,0),"ATIVO")</f>
        <v>ATIVO</v>
      </c>
      <c r="K350" s="35">
        <f t="shared" si="55"/>
        <v>164418.41</v>
      </c>
      <c r="L350" s="325">
        <f t="shared" si="56"/>
        <v>1.0165057977001597</v>
      </c>
      <c r="M350" s="423" t="str">
        <f t="shared" si="57"/>
        <v>ATIVO1</v>
      </c>
      <c r="X350" s="203" t="str">
        <f t="shared" si="52"/>
        <v>LONDRINA [ETAPA 03 - CONDOMINIO ARANGUA]ATIVO</v>
      </c>
      <c r="Y350" s="203" t="str">
        <f t="shared" si="53"/>
        <v>XXXVI11FELIPE AKIO HOSHINO DE BARROS</v>
      </c>
      <c r="Z350" s="203" t="str">
        <f t="shared" si="58"/>
        <v>XXXVI11FELIPE AKIO HOSHINO DE BARROS</v>
      </c>
      <c r="AA350" s="427" t="s">
        <v>529</v>
      </c>
      <c r="AB350" s="427">
        <v>11</v>
      </c>
      <c r="AC350" s="428" t="s">
        <v>1366</v>
      </c>
      <c r="AD350" s="505">
        <v>164418.41</v>
      </c>
      <c r="AE350" s="506">
        <v>174068.23</v>
      </c>
      <c r="AF350" s="60" t="str">
        <f t="shared" si="59"/>
        <v>FELIPE AKIO HOSHINO DE BARROS</v>
      </c>
      <c r="AG350" s="60" t="str">
        <f t="shared" si="60"/>
        <v>OK</v>
      </c>
    </row>
    <row r="351" spans="1:33">
      <c r="A351" s="61" t="str">
        <f t="shared" si="54"/>
        <v>LONDRINA [ETAPA 03 - CONDOMINIO ARANGUA]XXXVI12</v>
      </c>
      <c r="B351" s="263" t="s">
        <v>33</v>
      </c>
      <c r="C351" s="337" t="s">
        <v>529</v>
      </c>
      <c r="D351" s="73">
        <v>12</v>
      </c>
      <c r="E351" s="315">
        <v>257</v>
      </c>
      <c r="F351" s="166">
        <v>4836</v>
      </c>
      <c r="G351" s="74" t="s">
        <v>1348</v>
      </c>
      <c r="H351" s="40">
        <v>44117</v>
      </c>
      <c r="I351" s="35">
        <v>147579.96</v>
      </c>
      <c r="J351" s="35" t="str">
        <f>IFERROR(VLOOKUP(CONCATENATE(B351,C351,D351,),Inadimplencia!$A$6:$K$110,6,0),"ATIVO")</f>
        <v>ATIVO</v>
      </c>
      <c r="K351" s="35">
        <f t="shared" si="55"/>
        <v>120438.35</v>
      </c>
      <c r="L351" s="325">
        <f t="shared" si="56"/>
        <v>0.81608878332803458</v>
      </c>
      <c r="M351" s="423" t="str">
        <f t="shared" si="57"/>
        <v>ATIVO0</v>
      </c>
      <c r="X351" s="203" t="str">
        <f t="shared" si="52"/>
        <v>LONDRINA [ETAPA 03 - CONDOMINIO ARANGUA]ATIVO</v>
      </c>
      <c r="Y351" s="203" t="str">
        <f t="shared" si="53"/>
        <v>XXXVI12DIRLEY SOARES DOS SANTOS</v>
      </c>
      <c r="Z351" s="203" t="str">
        <f t="shared" si="58"/>
        <v>XXXVI12DIRLEY SOARES DOS SANTOS</v>
      </c>
      <c r="AA351" s="427" t="s">
        <v>529</v>
      </c>
      <c r="AB351" s="427">
        <v>12</v>
      </c>
      <c r="AC351" s="428" t="s">
        <v>1348</v>
      </c>
      <c r="AD351" s="505">
        <v>120438.35</v>
      </c>
      <c r="AE351" s="506">
        <v>153138.57</v>
      </c>
      <c r="AF351" s="60" t="str">
        <f t="shared" si="59"/>
        <v>DIRLEY SOARES DOS SANTOS</v>
      </c>
      <c r="AG351" s="60" t="str">
        <f t="shared" si="60"/>
        <v>OK</v>
      </c>
    </row>
    <row r="352" spans="1:33">
      <c r="A352" s="61" t="str">
        <f t="shared" si="54"/>
        <v>LONDRINA [ETAPA 03 - CONDOMINIO ARANGUA]XXXVI14</v>
      </c>
      <c r="B352" s="263" t="s">
        <v>33</v>
      </c>
      <c r="C352" s="337" t="s">
        <v>529</v>
      </c>
      <c r="D352" s="166">
        <v>14</v>
      </c>
      <c r="E352" s="197">
        <v>257</v>
      </c>
      <c r="F352" s="166">
        <v>6031</v>
      </c>
      <c r="G352" s="338" t="s">
        <v>1505</v>
      </c>
      <c r="H352" s="40">
        <v>43074</v>
      </c>
      <c r="I352" s="35">
        <v>126900.6</v>
      </c>
      <c r="J352" s="35" t="str">
        <f>IFERROR(VLOOKUP(CONCATENATE(B352,C352,D352,),Inadimplencia!$A$6:$K$110,6,0),"ATIVO")</f>
        <v>ATIVO</v>
      </c>
      <c r="K352" s="35">
        <f t="shared" si="55"/>
        <v>64613.060000000005</v>
      </c>
      <c r="L352" s="325">
        <f t="shared" si="56"/>
        <v>0.50916276203579813</v>
      </c>
      <c r="M352" s="423" t="str">
        <f t="shared" si="57"/>
        <v>ATIVO0</v>
      </c>
      <c r="X352" s="203" t="str">
        <f t="shared" si="52"/>
        <v>LONDRINA [ETAPA 03 - CONDOMINIO ARANGUA]ATIVO</v>
      </c>
      <c r="Y352" s="203" t="str">
        <f t="shared" si="53"/>
        <v>XXXVI14LOURIVAL RODRIGUES INACIO</v>
      </c>
      <c r="Z352" s="203" t="str">
        <f t="shared" si="58"/>
        <v>XXXVI14LOURIVAL RODRIGUES INACIO</v>
      </c>
      <c r="AA352" s="427" t="s">
        <v>529</v>
      </c>
      <c r="AB352" s="427">
        <v>14</v>
      </c>
      <c r="AC352" s="428" t="s">
        <v>1505</v>
      </c>
      <c r="AD352" s="505">
        <v>64613.060000000005</v>
      </c>
      <c r="AE352" s="506">
        <v>192559.5</v>
      </c>
      <c r="AF352" s="60" t="str">
        <f t="shared" si="59"/>
        <v>LOURIVAL RODRIGUES INACIO</v>
      </c>
      <c r="AG352" s="60" t="str">
        <f t="shared" si="60"/>
        <v>OK</v>
      </c>
    </row>
    <row r="353" spans="1:33">
      <c r="A353" s="61" t="str">
        <f t="shared" si="54"/>
        <v>LONDRINA [ETAPA 03 - CONDOMINIO ARANGUA]XXXVI16</v>
      </c>
      <c r="B353" s="263" t="s">
        <v>33</v>
      </c>
      <c r="C353" s="337" t="s">
        <v>529</v>
      </c>
      <c r="D353" s="73">
        <v>16</v>
      </c>
      <c r="E353" s="315">
        <v>257</v>
      </c>
      <c r="F353" s="166">
        <v>6033</v>
      </c>
      <c r="G353" s="74" t="s">
        <v>459</v>
      </c>
      <c r="H353" s="40">
        <v>43081</v>
      </c>
      <c r="I353" s="35">
        <v>128779.28</v>
      </c>
      <c r="J353" s="35" t="str">
        <f>IFERROR(VLOOKUP(CONCATENATE(B353,C353,D353,),Inadimplencia!$A$6:$K$110,6,0),"ATIVO")</f>
        <v>ATIVO</v>
      </c>
      <c r="K353" s="35">
        <f t="shared" si="55"/>
        <v>99439.07</v>
      </c>
      <c r="L353" s="325">
        <f t="shared" si="56"/>
        <v>0.7721666870633227</v>
      </c>
      <c r="M353" s="423" t="str">
        <f t="shared" si="57"/>
        <v>ATIVO0</v>
      </c>
      <c r="X353" s="203" t="str">
        <f t="shared" si="52"/>
        <v>LONDRINA [ETAPA 03 - CONDOMINIO ARANGUA]ATIVO</v>
      </c>
      <c r="Y353" s="203" t="str">
        <f t="shared" si="53"/>
        <v>XXXVI16VALDEMIRO APARECIDO GIROLDO</v>
      </c>
      <c r="Z353" s="203" t="str">
        <f t="shared" si="58"/>
        <v>XXXVI16VALDEMIRO APARECIDO GIROLDO</v>
      </c>
      <c r="AA353" s="427" t="s">
        <v>529</v>
      </c>
      <c r="AB353" s="427">
        <v>16</v>
      </c>
      <c r="AC353" s="428" t="s">
        <v>459</v>
      </c>
      <c r="AD353" s="505">
        <v>99439.07</v>
      </c>
      <c r="AE353" s="506">
        <v>188046.77</v>
      </c>
      <c r="AF353" s="60" t="str">
        <f t="shared" si="59"/>
        <v>VALDEMIRO APARECIDO GIROLDO</v>
      </c>
      <c r="AG353" s="60" t="str">
        <f t="shared" si="60"/>
        <v>OK</v>
      </c>
    </row>
    <row r="354" spans="1:33">
      <c r="A354" s="61" t="str">
        <f t="shared" si="54"/>
        <v>LONDRINA [ETAPA 03 - CONDOMINIO ARANGUA]XXXVI18</v>
      </c>
      <c r="B354" s="263" t="s">
        <v>33</v>
      </c>
      <c r="C354" s="337" t="s">
        <v>529</v>
      </c>
      <c r="D354" s="166">
        <v>18</v>
      </c>
      <c r="E354" s="197">
        <v>257</v>
      </c>
      <c r="F354" s="166">
        <v>4964</v>
      </c>
      <c r="G354" s="338" t="s">
        <v>338</v>
      </c>
      <c r="H354" s="40">
        <v>42257</v>
      </c>
      <c r="I354" s="35">
        <v>150900.29</v>
      </c>
      <c r="J354" s="35" t="str">
        <f>IFERROR(VLOOKUP(CONCATENATE(B354,C354,D354,),Inadimplencia!$A$6:$K$110,6,0),"ATIVO")</f>
        <v>ATIVO</v>
      </c>
      <c r="K354" s="35">
        <f t="shared" si="55"/>
        <v>134401.65</v>
      </c>
      <c r="L354" s="325">
        <f t="shared" si="56"/>
        <v>0.89066528632913822</v>
      </c>
      <c r="M354" s="423" t="str">
        <f t="shared" si="57"/>
        <v>ATIVO0</v>
      </c>
      <c r="X354" s="203" t="str">
        <f t="shared" si="52"/>
        <v>LONDRINA [ETAPA 03 - CONDOMINIO ARANGUA]ATIVO</v>
      </c>
      <c r="Y354" s="203" t="str">
        <f t="shared" si="53"/>
        <v>XXXVI18MARCO ANTONIO GERALDA</v>
      </c>
      <c r="Z354" s="203" t="str">
        <f t="shared" si="58"/>
        <v>XXXVI18MARCO ANTONIO GERALDA</v>
      </c>
      <c r="AA354" s="427" t="s">
        <v>529</v>
      </c>
      <c r="AB354" s="427">
        <v>18</v>
      </c>
      <c r="AC354" s="428" t="s">
        <v>338</v>
      </c>
      <c r="AD354" s="505">
        <v>134401.65</v>
      </c>
      <c r="AE354" s="506">
        <v>226174.29</v>
      </c>
      <c r="AF354" s="60" t="str">
        <f t="shared" si="59"/>
        <v>MARCO ANTONIO GERALDA</v>
      </c>
      <c r="AG354" s="60" t="str">
        <f t="shared" si="60"/>
        <v>OK</v>
      </c>
    </row>
    <row r="355" spans="1:33">
      <c r="A355" s="61" t="str">
        <f t="shared" si="54"/>
        <v>LONDRINA [ETAPA 03 - CONDOMINIO ARANGUA]XXXVI21</v>
      </c>
      <c r="B355" s="263" t="s">
        <v>33</v>
      </c>
      <c r="C355" s="337" t="s">
        <v>529</v>
      </c>
      <c r="D355" s="73">
        <v>21</v>
      </c>
      <c r="E355" s="315">
        <v>338.85</v>
      </c>
      <c r="F355" s="166">
        <v>4909</v>
      </c>
      <c r="G355" s="74" t="s">
        <v>1385</v>
      </c>
      <c r="H355" s="40">
        <v>44166</v>
      </c>
      <c r="I355" s="35">
        <v>222483.99</v>
      </c>
      <c r="J355" s="35" t="str">
        <f>IFERROR(VLOOKUP(CONCATENATE(B355,C355,D355,),Inadimplencia!$A$6:$K$110,6,0),"ATIVO")</f>
        <v>ATIVO</v>
      </c>
      <c r="K355" s="35">
        <f t="shared" si="55"/>
        <v>218560.9</v>
      </c>
      <c r="L355" s="325">
        <f t="shared" si="56"/>
        <v>0.9823668660383158</v>
      </c>
      <c r="M355" s="423" t="str">
        <f t="shared" si="57"/>
        <v>ATIVO0</v>
      </c>
      <c r="X355" s="203" t="str">
        <f t="shared" si="52"/>
        <v>LONDRINA [ETAPA 03 - CONDOMINIO ARANGUA]ATIVO</v>
      </c>
      <c r="Y355" s="203" t="str">
        <f t="shared" si="53"/>
        <v>XXXVI21GIVANIA MARIA BERTIN MAZIERI</v>
      </c>
      <c r="Z355" s="203" t="str">
        <f t="shared" si="58"/>
        <v>XXXVI21GIVANIA MARIA BERTIN MAZIERI</v>
      </c>
      <c r="AA355" s="427" t="s">
        <v>529</v>
      </c>
      <c r="AB355" s="427">
        <v>21</v>
      </c>
      <c r="AC355" s="428" t="s">
        <v>1385</v>
      </c>
      <c r="AD355" s="505">
        <v>218560.9</v>
      </c>
      <c r="AE355" s="506">
        <v>235775.14</v>
      </c>
      <c r="AF355" s="60" t="str">
        <f t="shared" si="59"/>
        <v>GIVANIA MARIA BERTIN MAZIERI</v>
      </c>
      <c r="AG355" s="60" t="str">
        <f t="shared" si="60"/>
        <v>OK</v>
      </c>
    </row>
    <row r="356" spans="1:33">
      <c r="A356" s="61" t="str">
        <f t="shared" si="54"/>
        <v>LONDRINA [ETAPA 03 - CONDOMINIO ARANGUA]XXXVII2</v>
      </c>
      <c r="B356" s="263" t="s">
        <v>33</v>
      </c>
      <c r="C356" s="337" t="s">
        <v>530</v>
      </c>
      <c r="D356" s="166">
        <v>2</v>
      </c>
      <c r="E356" s="197">
        <v>255.5</v>
      </c>
      <c r="F356" s="166">
        <v>3944</v>
      </c>
      <c r="G356" s="338" t="s">
        <v>308</v>
      </c>
      <c r="H356" s="40">
        <v>41914</v>
      </c>
      <c r="I356" s="35">
        <v>112653.35</v>
      </c>
      <c r="J356" s="35" t="str">
        <f>IFERROR(VLOOKUP(CONCATENATE(B356,C356,D356,),Inadimplencia!$A$6:$K$110,6,0),"ATIVO")</f>
        <v>ATIVO</v>
      </c>
      <c r="K356" s="35">
        <f t="shared" si="55"/>
        <v>117864.53</v>
      </c>
      <c r="L356" s="325">
        <f t="shared" si="56"/>
        <v>1.0462585444640571</v>
      </c>
      <c r="M356" s="423" t="str">
        <f t="shared" si="57"/>
        <v>ATIVO1</v>
      </c>
      <c r="X356" s="203" t="str">
        <f t="shared" si="52"/>
        <v>LONDRINA [ETAPA 03 - CONDOMINIO ARANGUA]ATIVO</v>
      </c>
      <c r="Y356" s="203" t="str">
        <f t="shared" si="53"/>
        <v>XXXVII2LUCAS FABRICIO SALAMON</v>
      </c>
      <c r="Z356" s="203" t="str">
        <f t="shared" si="58"/>
        <v>XXXVII2LUCAS FABRICIO SALAMON</v>
      </c>
      <c r="AA356" s="427" t="s">
        <v>530</v>
      </c>
      <c r="AB356" s="427">
        <v>2</v>
      </c>
      <c r="AC356" s="428" t="s">
        <v>308</v>
      </c>
      <c r="AD356" s="505">
        <v>117864.53</v>
      </c>
      <c r="AE356" s="506">
        <v>196744.72</v>
      </c>
      <c r="AF356" s="60" t="str">
        <f t="shared" si="59"/>
        <v>LUCAS FABRICIO SALAMON</v>
      </c>
      <c r="AG356" s="60" t="str">
        <f t="shared" si="60"/>
        <v>OK</v>
      </c>
    </row>
    <row r="357" spans="1:33">
      <c r="A357" s="61" t="str">
        <f t="shared" si="54"/>
        <v>LONDRINA [ETAPA 03 - CONDOMINIO ARANGUA]XXXVII7</v>
      </c>
      <c r="B357" s="263" t="s">
        <v>33</v>
      </c>
      <c r="C357" s="337" t="s">
        <v>530</v>
      </c>
      <c r="D357" s="73">
        <v>7</v>
      </c>
      <c r="E357" s="315">
        <v>255.5</v>
      </c>
      <c r="F357" s="166">
        <v>4735</v>
      </c>
      <c r="G357" s="74" t="s">
        <v>1255</v>
      </c>
      <c r="H357" s="40">
        <v>44046</v>
      </c>
      <c r="I357" s="35">
        <v>146640</v>
      </c>
      <c r="J357" s="35" t="str">
        <f>IFERROR(VLOOKUP(CONCATENATE(B357,C357,D357,),Inadimplencia!$A$6:$K$110,6,0),"ATIVO")</f>
        <v>ATIVO</v>
      </c>
      <c r="K357" s="35">
        <f t="shared" si="55"/>
        <v>133400</v>
      </c>
      <c r="L357" s="325">
        <f t="shared" si="56"/>
        <v>0.90971085651936712</v>
      </c>
      <c r="M357" s="423" t="str">
        <f t="shared" si="57"/>
        <v>ATIVO0</v>
      </c>
      <c r="W357" s="171"/>
      <c r="X357" s="203" t="str">
        <f t="shared" si="52"/>
        <v>LONDRINA [ETAPA 03 - CONDOMINIO ARANGUA]ATIVO</v>
      </c>
      <c r="Y357" s="203" t="str">
        <f t="shared" si="53"/>
        <v>XXXVII7ELCIO LUIZ DOS SANTOS</v>
      </c>
      <c r="Z357" s="203" t="str">
        <f t="shared" si="58"/>
        <v>XXXVII7ELCIO LUIZ DOS SANTOS</v>
      </c>
      <c r="AA357" s="427" t="s">
        <v>530</v>
      </c>
      <c r="AB357" s="427">
        <v>7</v>
      </c>
      <c r="AC357" s="428" t="s">
        <v>1255</v>
      </c>
      <c r="AD357" s="505">
        <v>133400</v>
      </c>
      <c r="AE357" s="506">
        <v>146640</v>
      </c>
      <c r="AF357" s="60" t="str">
        <f t="shared" si="59"/>
        <v>ELCIO LUIZ DOS SANTOS</v>
      </c>
      <c r="AG357" s="60" t="str">
        <f t="shared" si="60"/>
        <v>OK</v>
      </c>
    </row>
    <row r="358" spans="1:33">
      <c r="A358" s="61" t="str">
        <f t="shared" si="54"/>
        <v>LONDRINA [ETAPA 03 - CONDOMINIO ARANGUA]XXXVII11</v>
      </c>
      <c r="B358" s="263" t="s">
        <v>33</v>
      </c>
      <c r="C358" s="337" t="s">
        <v>530</v>
      </c>
      <c r="D358" s="166">
        <v>11</v>
      </c>
      <c r="E358" s="197">
        <v>255.5</v>
      </c>
      <c r="F358" s="166">
        <v>3679</v>
      </c>
      <c r="G358" s="338" t="s">
        <v>407</v>
      </c>
      <c r="H358" s="40">
        <v>41730</v>
      </c>
      <c r="I358" s="35">
        <v>104037.94</v>
      </c>
      <c r="J358" s="35" t="str">
        <f>IFERROR(VLOOKUP(CONCATENATE(B358,C358,D358,),Inadimplencia!$A$6:$K$110,6,0),"ATIVO")</f>
        <v>INADIMPLENTE</v>
      </c>
      <c r="K358" s="35">
        <f t="shared" si="55"/>
        <v>188981.89</v>
      </c>
      <c r="L358" s="325">
        <f t="shared" si="56"/>
        <v>1.8164708951369088</v>
      </c>
      <c r="M358" s="423" t="str">
        <f t="shared" si="57"/>
        <v>INADIMPLENTE1</v>
      </c>
      <c r="X358" s="203" t="str">
        <f t="shared" si="52"/>
        <v>LONDRINA [ETAPA 03 - CONDOMINIO ARANGUA]INADIMPLENTE</v>
      </c>
      <c r="Y358" s="203" t="str">
        <f t="shared" si="53"/>
        <v>XXXVII11RAQUEL EUCANAS GOULART VIEIRA</v>
      </c>
      <c r="Z358" s="203" t="str">
        <f t="shared" si="58"/>
        <v>XXXVII11RAQUEL EUCANAS GOULART VIEIRA</v>
      </c>
      <c r="AA358" s="427" t="s">
        <v>530</v>
      </c>
      <c r="AB358" s="427">
        <v>11</v>
      </c>
      <c r="AC358" s="428" t="s">
        <v>407</v>
      </c>
      <c r="AD358" s="505">
        <v>188981.89</v>
      </c>
      <c r="AE358" s="506">
        <v>258386.02000000002</v>
      </c>
      <c r="AF358" s="60" t="str">
        <f t="shared" si="59"/>
        <v>RAQUEL EUCANAS GOULART VIEIRA</v>
      </c>
      <c r="AG358" s="60" t="str">
        <f t="shared" si="60"/>
        <v>OK</v>
      </c>
    </row>
    <row r="359" spans="1:33">
      <c r="A359" s="61" t="str">
        <f t="shared" si="54"/>
        <v>LONDRINA [ETAPA 03 - CONDOMINIO ARANGUA]XXXVII12</v>
      </c>
      <c r="B359" s="263" t="s">
        <v>33</v>
      </c>
      <c r="C359" s="337" t="s">
        <v>530</v>
      </c>
      <c r="D359" s="73">
        <v>12</v>
      </c>
      <c r="E359" s="315">
        <v>255.5</v>
      </c>
      <c r="F359" s="166">
        <v>4828</v>
      </c>
      <c r="G359" s="74" t="s">
        <v>1349</v>
      </c>
      <c r="H359" s="40">
        <v>44106</v>
      </c>
      <c r="I359" s="35">
        <v>152279.9</v>
      </c>
      <c r="J359" s="35" t="str">
        <f>IFERROR(VLOOKUP(CONCATENATE(B359,C359,D359,),Inadimplencia!$A$6:$K$110,6,0),"ATIVO")</f>
        <v>ATIVO</v>
      </c>
      <c r="K359" s="35">
        <f t="shared" si="55"/>
        <v>53020.5</v>
      </c>
      <c r="L359" s="325">
        <f t="shared" si="56"/>
        <v>0.3481779276188125</v>
      </c>
      <c r="M359" s="423" t="str">
        <f t="shared" si="57"/>
        <v>ATIVO0</v>
      </c>
      <c r="X359" s="203" t="str">
        <f t="shared" si="52"/>
        <v>LONDRINA [ETAPA 03 - CONDOMINIO ARANGUA]ATIVO</v>
      </c>
      <c r="Y359" s="203" t="str">
        <f t="shared" si="53"/>
        <v>XXXVII12ELCIO LUIS BASSI</v>
      </c>
      <c r="Z359" s="203" t="str">
        <f t="shared" si="58"/>
        <v>XXXVII12ELCIO LUIS BASSI</v>
      </c>
      <c r="AA359" s="427" t="s">
        <v>530</v>
      </c>
      <c r="AB359" s="427">
        <v>12</v>
      </c>
      <c r="AC359" s="428" t="s">
        <v>1349</v>
      </c>
      <c r="AD359" s="505">
        <v>53020.5</v>
      </c>
      <c r="AE359" s="506">
        <v>154557.18</v>
      </c>
      <c r="AF359" s="60" t="str">
        <f t="shared" si="59"/>
        <v>ELCIO LUIS BASSI</v>
      </c>
      <c r="AG359" s="60" t="str">
        <f t="shared" si="60"/>
        <v>OK</v>
      </c>
    </row>
    <row r="360" spans="1:33">
      <c r="A360" s="61" t="str">
        <f t="shared" si="54"/>
        <v>LONDRINA [ETAPA 03 - CONDOMINIO ARANGUA]XXXVII15</v>
      </c>
      <c r="B360" s="263" t="s">
        <v>33</v>
      </c>
      <c r="C360" s="337" t="s">
        <v>530</v>
      </c>
      <c r="D360" s="166">
        <v>15</v>
      </c>
      <c r="E360" s="197">
        <v>255.5</v>
      </c>
      <c r="F360" s="166">
        <v>3909</v>
      </c>
      <c r="G360" s="338" t="s">
        <v>401</v>
      </c>
      <c r="H360" s="40">
        <v>41887</v>
      </c>
      <c r="I360" s="35">
        <v>106295.01</v>
      </c>
      <c r="J360" s="35" t="str">
        <f>IFERROR(VLOOKUP(CONCATENATE(B360,C360,D360,),Inadimplencia!$A$6:$K$110,6,0),"ATIVO")</f>
        <v>INADIMPLENTE</v>
      </c>
      <c r="K360" s="35">
        <f t="shared" si="55"/>
        <v>201630.11000000002</v>
      </c>
      <c r="L360" s="325">
        <f t="shared" si="56"/>
        <v>1.8968915850330135</v>
      </c>
      <c r="M360" s="423" t="str">
        <f t="shared" si="57"/>
        <v>INADIMPLENTE1</v>
      </c>
      <c r="X360" s="203" t="str">
        <f t="shared" si="52"/>
        <v>LONDRINA [ETAPA 03 - CONDOMINIO ARANGUA]INADIMPLENTE</v>
      </c>
      <c r="Y360" s="203" t="str">
        <f t="shared" si="53"/>
        <v>XXXVII15RAFAEL FRANCISCO FRARE DE SIQUEIRA</v>
      </c>
      <c r="Z360" s="203" t="str">
        <f t="shared" si="58"/>
        <v>XXXVII15RAFAEL FRANCISCO FRARE DE SIQUEIRA</v>
      </c>
      <c r="AA360" s="427" t="s">
        <v>530</v>
      </c>
      <c r="AB360" s="427">
        <v>15</v>
      </c>
      <c r="AC360" s="428" t="s">
        <v>401</v>
      </c>
      <c r="AD360" s="505">
        <v>201630.11000000002</v>
      </c>
      <c r="AE360" s="506">
        <v>220762.97</v>
      </c>
      <c r="AF360" s="60" t="str">
        <f t="shared" si="59"/>
        <v>RAFAEL FRANCISCO FRARE DE SIQUEIRA</v>
      </c>
      <c r="AG360" s="60" t="str">
        <f t="shared" si="60"/>
        <v>OK</v>
      </c>
    </row>
    <row r="361" spans="1:33">
      <c r="A361" s="61" t="str">
        <f t="shared" si="54"/>
        <v>LONDRINA [ETAPA 03 - CONDOMINIO ARANGUA]XXXVII16</v>
      </c>
      <c r="B361" s="263" t="s">
        <v>33</v>
      </c>
      <c r="C361" s="337" t="s">
        <v>530</v>
      </c>
      <c r="D361" s="73">
        <v>16</v>
      </c>
      <c r="E361" s="315">
        <v>255.5</v>
      </c>
      <c r="F361" s="166">
        <v>3942</v>
      </c>
      <c r="G361" s="74" t="s">
        <v>401</v>
      </c>
      <c r="H361" s="40">
        <v>41913</v>
      </c>
      <c r="I361" s="35">
        <v>106293.2</v>
      </c>
      <c r="J361" s="35" t="str">
        <f>IFERROR(VLOOKUP(CONCATENATE(B361,C361,D361,),Inadimplencia!$A$6:$K$110,6,0),"ATIVO")</f>
        <v>INADIMPLENTE</v>
      </c>
      <c r="K361" s="35">
        <f t="shared" si="55"/>
        <v>201765.38</v>
      </c>
      <c r="L361" s="325">
        <f t="shared" si="56"/>
        <v>1.8981964979885826</v>
      </c>
      <c r="M361" s="423" t="str">
        <f t="shared" si="57"/>
        <v>INADIMPLENTE1</v>
      </c>
      <c r="X361" s="203" t="str">
        <f t="shared" si="52"/>
        <v>LONDRINA [ETAPA 03 - CONDOMINIO ARANGUA]INADIMPLENTE</v>
      </c>
      <c r="Y361" s="203" t="str">
        <f t="shared" si="53"/>
        <v>XXXVII16RAFAEL FRANCISCO FRARE DE SIQUEIRA</v>
      </c>
      <c r="Z361" s="203" t="str">
        <f t="shared" si="58"/>
        <v>XXXVII16RAFAEL FRANCISCO FRARE DE SIQUEIRA</v>
      </c>
      <c r="AA361" s="427" t="s">
        <v>530</v>
      </c>
      <c r="AB361" s="427">
        <v>16</v>
      </c>
      <c r="AC361" s="428" t="s">
        <v>401</v>
      </c>
      <c r="AD361" s="505">
        <v>201765.38</v>
      </c>
      <c r="AE361" s="506">
        <v>219582.03</v>
      </c>
      <c r="AF361" s="60" t="str">
        <f t="shared" si="59"/>
        <v>RAFAEL FRANCISCO FRARE DE SIQUEIRA</v>
      </c>
      <c r="AG361" s="60" t="str">
        <f t="shared" si="60"/>
        <v>OK</v>
      </c>
    </row>
    <row r="362" spans="1:33">
      <c r="A362" s="61" t="str">
        <f t="shared" si="54"/>
        <v>LONDRINA [ETAPA 03 - CONDOMINIO ARANGUA]XXXVII20</v>
      </c>
      <c r="B362" s="263" t="s">
        <v>33</v>
      </c>
      <c r="C362" s="337" t="s">
        <v>530</v>
      </c>
      <c r="D362" s="73">
        <v>20</v>
      </c>
      <c r="E362" s="315">
        <v>255.5</v>
      </c>
      <c r="F362" s="166">
        <v>4124</v>
      </c>
      <c r="G362" s="74" t="s">
        <v>223</v>
      </c>
      <c r="H362" s="40">
        <v>41944</v>
      </c>
      <c r="I362" s="35">
        <v>127412.46</v>
      </c>
      <c r="J362" s="35" t="str">
        <f>IFERROR(VLOOKUP(CONCATENATE(B362,C362,D362,),Inadimplencia!$A$6:$K$110,6,0),"ATIVO")</f>
        <v>INADIMPLENTE</v>
      </c>
      <c r="K362" s="35">
        <f t="shared" si="55"/>
        <v>138569.06</v>
      </c>
      <c r="L362" s="325">
        <f t="shared" si="56"/>
        <v>1.087562864730812</v>
      </c>
      <c r="M362" s="423" t="str">
        <f t="shared" si="57"/>
        <v>INADIMPLENTE1</v>
      </c>
      <c r="X362" s="203" t="str">
        <f t="shared" si="52"/>
        <v>LONDRINA [ETAPA 03 - CONDOMINIO ARANGUA]INADIMPLENTE</v>
      </c>
      <c r="Y362" s="203" t="str">
        <f t="shared" si="53"/>
        <v>XXXVII20GILBERTO ZEQUIM MALDONADO</v>
      </c>
      <c r="Z362" s="203" t="str">
        <f t="shared" si="58"/>
        <v>XXXVII20GILBERTO ZEQUIM MALDONADO</v>
      </c>
      <c r="AA362" s="427" t="s">
        <v>530</v>
      </c>
      <c r="AB362" s="427">
        <v>20</v>
      </c>
      <c r="AC362" s="428" t="s">
        <v>223</v>
      </c>
      <c r="AD362" s="505">
        <v>138569.06</v>
      </c>
      <c r="AE362" s="506">
        <v>187360.1</v>
      </c>
      <c r="AF362" s="60" t="str">
        <f t="shared" si="59"/>
        <v>GILBERTO ZEQUIM MALDONADO</v>
      </c>
      <c r="AG362" s="60" t="str">
        <f t="shared" si="60"/>
        <v>OK</v>
      </c>
    </row>
    <row r="363" spans="1:33">
      <c r="A363" s="61" t="str">
        <f t="shared" si="54"/>
        <v>LONDRINA [ETAPA 03 - CONDOMINIO ARANGUA]XXXVII22</v>
      </c>
      <c r="B363" s="263" t="s">
        <v>33</v>
      </c>
      <c r="C363" s="337" t="s">
        <v>530</v>
      </c>
      <c r="D363" s="166">
        <v>22</v>
      </c>
      <c r="E363" s="197">
        <v>334.57</v>
      </c>
      <c r="F363" s="166">
        <v>5155</v>
      </c>
      <c r="G363" s="338" t="s">
        <v>305</v>
      </c>
      <c r="H363" s="40">
        <v>42443</v>
      </c>
      <c r="I363" s="35">
        <v>189899.7</v>
      </c>
      <c r="J363" s="35" t="str">
        <f>IFERROR(VLOOKUP(CONCATENATE(B363,C363,D363,),Inadimplencia!$A$6:$K$110,6,0),"ATIVO")</f>
        <v>ATIVO</v>
      </c>
      <c r="K363" s="35">
        <f t="shared" si="55"/>
        <v>6508.68</v>
      </c>
      <c r="L363" s="325">
        <f t="shared" si="56"/>
        <v>3.4274303750874806E-2</v>
      </c>
      <c r="M363" s="423" t="str">
        <f t="shared" si="57"/>
        <v>ATIVO0</v>
      </c>
      <c r="X363" s="203" t="str">
        <f t="shared" si="52"/>
        <v>LONDRINA [ETAPA 03 - CONDOMINIO ARANGUA]ATIVO</v>
      </c>
      <c r="Y363" s="203" t="str">
        <f t="shared" si="53"/>
        <v>XXXVII22LINDAMARA HUNKA</v>
      </c>
      <c r="Z363" s="203" t="str">
        <f t="shared" si="58"/>
        <v>XXXVII22LINDAMARA HUNKA</v>
      </c>
      <c r="AA363" s="427" t="s">
        <v>530</v>
      </c>
      <c r="AB363" s="427">
        <v>22</v>
      </c>
      <c r="AC363" s="428" t="s">
        <v>305</v>
      </c>
      <c r="AD363" s="505">
        <v>6508.68</v>
      </c>
      <c r="AE363" s="506">
        <v>292243.13</v>
      </c>
      <c r="AF363" s="60" t="str">
        <f t="shared" si="59"/>
        <v>LINDAMARA HUNKA</v>
      </c>
      <c r="AG363" s="60" t="str">
        <f t="shared" si="60"/>
        <v>OK</v>
      </c>
    </row>
    <row r="364" spans="1:33">
      <c r="A364" s="61" t="str">
        <f t="shared" si="54"/>
        <v>LONDRINA [ETAPA 03 - CONDOMINIO ARANGUA]XXXVII25</v>
      </c>
      <c r="B364" s="263" t="s">
        <v>33</v>
      </c>
      <c r="C364" s="337" t="s">
        <v>530</v>
      </c>
      <c r="D364" s="73">
        <v>25</v>
      </c>
      <c r="E364" s="315">
        <v>254.5</v>
      </c>
      <c r="F364" s="166">
        <v>3875</v>
      </c>
      <c r="G364" s="74" t="s">
        <v>453</v>
      </c>
      <c r="H364" s="40">
        <v>41863</v>
      </c>
      <c r="I364" s="35">
        <v>103131.2</v>
      </c>
      <c r="J364" s="35" t="str">
        <f>IFERROR(VLOOKUP(CONCATENATE(B364,C364,D364,),Inadimplencia!$A$6:$K$110,6,0),"ATIVO")</f>
        <v>ATIVO</v>
      </c>
      <c r="K364" s="35">
        <f t="shared" si="55"/>
        <v>85713.56</v>
      </c>
      <c r="L364" s="325">
        <f t="shared" si="56"/>
        <v>0.83111182648897719</v>
      </c>
      <c r="M364" s="423" t="str">
        <f t="shared" si="57"/>
        <v>ATIVO0</v>
      </c>
      <c r="X364" s="203" t="str">
        <f t="shared" si="52"/>
        <v>LONDRINA [ETAPA 03 - CONDOMINIO ARANGUA]ATIVO</v>
      </c>
      <c r="Y364" s="203" t="str">
        <f t="shared" si="53"/>
        <v>XXXVII25TEREZINHA ROSA DE SOUZA</v>
      </c>
      <c r="Z364" s="203" t="str">
        <f t="shared" si="58"/>
        <v>XXXVII25TEREZINHA ROSA DE SOUZA</v>
      </c>
      <c r="AA364" s="427" t="s">
        <v>530</v>
      </c>
      <c r="AB364" s="427">
        <v>25</v>
      </c>
      <c r="AC364" s="428" t="s">
        <v>453</v>
      </c>
      <c r="AD364" s="505">
        <v>85713.56</v>
      </c>
      <c r="AE364" s="506">
        <v>156787.14000000001</v>
      </c>
      <c r="AF364" s="60" t="str">
        <f t="shared" si="59"/>
        <v>TEREZINHA ROSA DE SOUZA</v>
      </c>
      <c r="AG364" s="60" t="str">
        <f t="shared" si="60"/>
        <v>OK</v>
      </c>
    </row>
    <row r="365" spans="1:33">
      <c r="A365" s="61" t="str">
        <f t="shared" si="54"/>
        <v>LONDRINA [ETAPA 03 - CONDOMINIO ARANGUA]XXXVII36</v>
      </c>
      <c r="B365" s="263" t="s">
        <v>33</v>
      </c>
      <c r="C365" s="337" t="s">
        <v>530</v>
      </c>
      <c r="D365" s="166">
        <v>36</v>
      </c>
      <c r="E365" s="197">
        <v>254.5</v>
      </c>
      <c r="F365" s="166">
        <v>3757</v>
      </c>
      <c r="G365" s="338" t="s">
        <v>239</v>
      </c>
      <c r="H365" s="40">
        <v>41791</v>
      </c>
      <c r="I365" s="35">
        <v>105373.52</v>
      </c>
      <c r="J365" s="35" t="str">
        <f>IFERROR(VLOOKUP(CONCATENATE(B365,C365,D365,),Inadimplencia!$A$6:$K$110,6,0),"ATIVO")</f>
        <v>ATIVO</v>
      </c>
      <c r="K365" s="35">
        <f t="shared" si="55"/>
        <v>89661.8</v>
      </c>
      <c r="L365" s="325">
        <f t="shared" si="56"/>
        <v>0.85089498765913862</v>
      </c>
      <c r="M365" s="423" t="str">
        <f t="shared" si="57"/>
        <v>ATIVO0</v>
      </c>
      <c r="X365" s="203" t="str">
        <f t="shared" si="52"/>
        <v>LONDRINA [ETAPA 03 - CONDOMINIO ARANGUA]ATIVO</v>
      </c>
      <c r="Y365" s="203" t="str">
        <f t="shared" si="53"/>
        <v>XXXVII36HERMES RINALDIN</v>
      </c>
      <c r="Z365" s="203" t="str">
        <f t="shared" si="58"/>
        <v>XXXVII36HERMES RINALDIN</v>
      </c>
      <c r="AA365" s="427" t="s">
        <v>530</v>
      </c>
      <c r="AB365" s="427">
        <v>36</v>
      </c>
      <c r="AC365" s="428" t="s">
        <v>239</v>
      </c>
      <c r="AD365" s="505">
        <v>89661.8</v>
      </c>
      <c r="AE365" s="506">
        <v>176852.79</v>
      </c>
      <c r="AF365" s="60" t="str">
        <f t="shared" si="59"/>
        <v>HERMES RINALDIN</v>
      </c>
      <c r="AG365" s="60" t="str">
        <f t="shared" si="60"/>
        <v>OK</v>
      </c>
    </row>
    <row r="366" spans="1:33">
      <c r="A366" s="61" t="str">
        <f t="shared" si="54"/>
        <v>LONDRINA [ETAPA 03 - CONDOMINIO ARANGUA]XXXVII38</v>
      </c>
      <c r="B366" s="263" t="s">
        <v>33</v>
      </c>
      <c r="C366" s="337" t="s">
        <v>530</v>
      </c>
      <c r="D366" s="73">
        <v>38</v>
      </c>
      <c r="E366" s="315">
        <v>254.5</v>
      </c>
      <c r="F366" s="166">
        <v>4290</v>
      </c>
      <c r="G366" s="74" t="s">
        <v>1173</v>
      </c>
      <c r="H366" s="40">
        <v>44001</v>
      </c>
      <c r="I366" s="35">
        <v>161679.6</v>
      </c>
      <c r="J366" s="35" t="str">
        <f>IFERROR(VLOOKUP(CONCATENATE(B366,C366,D366,),Inadimplencia!$A$6:$K$110,6,0),"ATIVO")</f>
        <v>ATIVO</v>
      </c>
      <c r="K366" s="35">
        <f t="shared" si="55"/>
        <v>151964.47</v>
      </c>
      <c r="L366" s="325">
        <f t="shared" si="56"/>
        <v>0.93991121947357614</v>
      </c>
      <c r="M366" s="423" t="str">
        <f t="shared" si="57"/>
        <v>ATIVO0</v>
      </c>
      <c r="X366" s="203" t="str">
        <f t="shared" si="52"/>
        <v>LONDRINA [ETAPA 03 - CONDOMINIO ARANGUA]ATIVO</v>
      </c>
      <c r="Y366" s="203" t="str">
        <f t="shared" si="53"/>
        <v>XXXVII38LUIS GUSTAVO DOS SANTOS SAMPAIO</v>
      </c>
      <c r="Z366" s="203" t="str">
        <f t="shared" si="58"/>
        <v>XXXVII38LUIS GUSTAVO DOS SANTOS SAMPAIO</v>
      </c>
      <c r="AA366" s="430" t="s">
        <v>530</v>
      </c>
      <c r="AB366" s="427">
        <v>38</v>
      </c>
      <c r="AC366" s="428" t="s">
        <v>1173</v>
      </c>
      <c r="AD366" s="505">
        <v>151964.47</v>
      </c>
      <c r="AE366" s="506">
        <v>182613.07</v>
      </c>
      <c r="AF366" s="60" t="str">
        <f t="shared" si="59"/>
        <v>LUIS GUSTAVO DOS SANTOS SAMPAIO</v>
      </c>
      <c r="AG366" s="60" t="str">
        <f t="shared" si="60"/>
        <v>OK</v>
      </c>
    </row>
    <row r="367" spans="1:33">
      <c r="A367" s="61" t="str">
        <f t="shared" si="54"/>
        <v>LONDRINA [ETAPA 03 - CONDOMINIO ARANGUA]XXXVII39</v>
      </c>
      <c r="B367" s="263" t="s">
        <v>33</v>
      </c>
      <c r="C367" s="337" t="s">
        <v>530</v>
      </c>
      <c r="D367" s="166">
        <v>39</v>
      </c>
      <c r="E367" s="197">
        <v>254.5</v>
      </c>
      <c r="F367" s="166">
        <v>3748</v>
      </c>
      <c r="G367" s="338" t="s">
        <v>50</v>
      </c>
      <c r="H367" s="40">
        <v>41767</v>
      </c>
      <c r="I367" s="35">
        <v>103642.57</v>
      </c>
      <c r="J367" s="35" t="str">
        <f>IFERROR(VLOOKUP(CONCATENATE(B367,C367,D367,),Inadimplencia!$A$6:$K$110,6,0),"ATIVO")</f>
        <v>ATIVO</v>
      </c>
      <c r="K367" s="35">
        <f t="shared" si="55"/>
        <v>104094.37</v>
      </c>
      <c r="L367" s="325">
        <f t="shared" si="56"/>
        <v>1.0043592126285559</v>
      </c>
      <c r="M367" s="423" t="str">
        <f t="shared" si="57"/>
        <v>ATIVO1</v>
      </c>
      <c r="X367" s="203" t="str">
        <f t="shared" si="52"/>
        <v>LONDRINA [ETAPA 03 - CONDOMINIO ARANGUA]ATIVO</v>
      </c>
      <c r="Y367" s="203" t="str">
        <f t="shared" si="53"/>
        <v>XXXVII39AGUSTINHO FERREIRA CHAVES</v>
      </c>
      <c r="Z367" s="203" t="str">
        <f t="shared" si="58"/>
        <v>XXXVII39AGUSTINHO FERREIRA CHAVES</v>
      </c>
      <c r="AA367" s="430" t="s">
        <v>530</v>
      </c>
      <c r="AB367" s="427">
        <v>39</v>
      </c>
      <c r="AC367" s="428" t="s">
        <v>50</v>
      </c>
      <c r="AD367" s="505">
        <v>104094.37</v>
      </c>
      <c r="AE367" s="506">
        <v>185915.59</v>
      </c>
      <c r="AF367" s="60" t="str">
        <f t="shared" si="59"/>
        <v>AGUSTINHO FERREIRA CHAVES</v>
      </c>
      <c r="AG367" s="60" t="str">
        <f t="shared" si="60"/>
        <v>OK</v>
      </c>
    </row>
    <row r="368" spans="1:33">
      <c r="A368" s="61" t="str">
        <f t="shared" si="54"/>
        <v>LONDRINA [ETAPA 03 - CONDOMINIO ARANGUA]XXXVII41</v>
      </c>
      <c r="B368" s="263" t="s">
        <v>33</v>
      </c>
      <c r="C368" s="337" t="s">
        <v>530</v>
      </c>
      <c r="D368" s="73">
        <v>41</v>
      </c>
      <c r="E368" s="315">
        <v>254.5</v>
      </c>
      <c r="F368" s="166">
        <v>3750</v>
      </c>
      <c r="G368" s="74" t="s">
        <v>235</v>
      </c>
      <c r="H368" s="40">
        <v>41781</v>
      </c>
      <c r="I368" s="35">
        <v>103642.57</v>
      </c>
      <c r="J368" s="35" t="str">
        <f>IFERROR(VLOOKUP(CONCATENATE(B368,C368,D368,),Inadimplencia!$A$6:$K$110,6,0),"ATIVO")</f>
        <v>INADIMPLENTE</v>
      </c>
      <c r="K368" s="35">
        <f t="shared" si="55"/>
        <v>46701.950000000004</v>
      </c>
      <c r="L368" s="325">
        <f t="shared" si="56"/>
        <v>0.45060586591011781</v>
      </c>
      <c r="M368" s="423" t="str">
        <f t="shared" si="57"/>
        <v>INADIMPLENTE0</v>
      </c>
      <c r="X368" s="203" t="str">
        <f t="shared" si="52"/>
        <v>LONDRINA [ETAPA 03 - CONDOMINIO ARANGUA]INADIMPLENTE</v>
      </c>
      <c r="Y368" s="203" t="str">
        <f t="shared" si="53"/>
        <v>XXXVII41HELEN BERNARDO DA SILVA BENTO</v>
      </c>
      <c r="Z368" s="203" t="str">
        <f t="shared" si="58"/>
        <v>XXXVII41HELEN BERNARDO DA SILVA BENTO</v>
      </c>
      <c r="AA368" s="430" t="s">
        <v>530</v>
      </c>
      <c r="AB368" s="427">
        <v>41</v>
      </c>
      <c r="AC368" s="428" t="s">
        <v>235</v>
      </c>
      <c r="AD368" s="505">
        <v>46701.950000000004</v>
      </c>
      <c r="AE368" s="506">
        <v>152453.88</v>
      </c>
      <c r="AF368" s="60" t="str">
        <f t="shared" si="59"/>
        <v>HELEN BERNARDO DA SILVA BENTO</v>
      </c>
      <c r="AG368" s="60" t="str">
        <f t="shared" si="60"/>
        <v>OK</v>
      </c>
    </row>
    <row r="369" spans="1:33">
      <c r="A369" s="61" t="str">
        <f t="shared" si="54"/>
        <v>LONDRINA [ETAPA 03 - CONDOMINIO ARANGUA]XXXVII42</v>
      </c>
      <c r="B369" s="263" t="s">
        <v>33</v>
      </c>
      <c r="C369" s="337" t="s">
        <v>530</v>
      </c>
      <c r="D369" s="166">
        <v>42</v>
      </c>
      <c r="E369" s="197">
        <v>353.3</v>
      </c>
      <c r="F369" s="166"/>
      <c r="G369" s="338" t="s">
        <v>928</v>
      </c>
      <c r="H369" s="40">
        <v>43507</v>
      </c>
      <c r="I369" s="35">
        <v>117660</v>
      </c>
      <c r="J369" s="35" t="str">
        <f>IFERROR(VLOOKUP(CONCATENATE(B369,C369,D369,),Inadimplencia!$A$6:$K$110,6,0),"ATIVO")</f>
        <v>ATIVO</v>
      </c>
      <c r="K369" s="35">
        <f t="shared" si="55"/>
        <v>35527.200000000004</v>
      </c>
      <c r="L369" s="325">
        <f t="shared" si="56"/>
        <v>0.30194798572157067</v>
      </c>
      <c r="M369" s="423" t="str">
        <f t="shared" si="57"/>
        <v>ATIVO0</v>
      </c>
      <c r="X369" s="203" t="str">
        <f t="shared" si="52"/>
        <v>LONDRINA [ETAPA 03 - CONDOMINIO ARANGUA]ATIVO</v>
      </c>
      <c r="Y369" s="203" t="str">
        <f t="shared" si="53"/>
        <v>XXXVII42EWERTON MITSUSTOCHI SUZUKI</v>
      </c>
      <c r="Z369" s="203" t="str">
        <f t="shared" si="58"/>
        <v>XXXVII42EWERTON MITSUSTOCHI SUZUKI</v>
      </c>
      <c r="AA369" s="430" t="s">
        <v>530</v>
      </c>
      <c r="AB369" s="427">
        <v>42</v>
      </c>
      <c r="AC369" s="428" t="s">
        <v>928</v>
      </c>
      <c r="AD369" s="505">
        <v>35527.200000000004</v>
      </c>
      <c r="AE369" s="506">
        <v>176605.80000000002</v>
      </c>
      <c r="AF369" s="60" t="str">
        <f t="shared" si="59"/>
        <v>EWERTON MITSUSTOCHI SUZUKI</v>
      </c>
      <c r="AG369" s="60" t="str">
        <f t="shared" si="60"/>
        <v>OK</v>
      </c>
    </row>
    <row r="370" spans="1:33">
      <c r="A370" s="61" t="str">
        <f t="shared" si="54"/>
        <v>LONDRINA [ETAPA 03 - CONDOMINIO ARANGUA]XXXVIII1</v>
      </c>
      <c r="B370" s="263" t="s">
        <v>33</v>
      </c>
      <c r="C370" s="337" t="s">
        <v>531</v>
      </c>
      <c r="D370" s="73">
        <v>1</v>
      </c>
      <c r="E370" s="315">
        <v>343.2</v>
      </c>
      <c r="F370" s="166">
        <v>5545</v>
      </c>
      <c r="G370" s="74" t="s">
        <v>395</v>
      </c>
      <c r="H370" s="40">
        <v>42799</v>
      </c>
      <c r="I370" s="35">
        <v>184805.89</v>
      </c>
      <c r="J370" s="35" t="str">
        <f>IFERROR(VLOOKUP(CONCATENATE(B370,C370,D370,),Inadimplencia!$A$6:$K$110,6,0),"ATIVO")</f>
        <v>ATRASO</v>
      </c>
      <c r="K370" s="35">
        <f t="shared" si="55"/>
        <v>200963.36000000002</v>
      </c>
      <c r="L370" s="325">
        <f t="shared" si="56"/>
        <v>1.087429410393792</v>
      </c>
      <c r="M370" s="423" t="str">
        <f t="shared" si="57"/>
        <v>ATRASO1</v>
      </c>
      <c r="X370" s="203" t="str">
        <f t="shared" si="52"/>
        <v>LONDRINA [ETAPA 03 - CONDOMINIO ARANGUA]ATRASO</v>
      </c>
      <c r="Y370" s="203" t="str">
        <f t="shared" si="53"/>
        <v>XXXVIII1PAULO FERNANDO DOS SANTOS</v>
      </c>
      <c r="Z370" s="203" t="str">
        <f t="shared" si="58"/>
        <v>XXXVIII1PAULO FERNANDO DOS SANTOS</v>
      </c>
      <c r="AA370" s="427" t="s">
        <v>531</v>
      </c>
      <c r="AB370" s="427">
        <v>1</v>
      </c>
      <c r="AC370" s="428" t="s">
        <v>395</v>
      </c>
      <c r="AD370" s="505">
        <v>200963.36000000002</v>
      </c>
      <c r="AE370" s="506">
        <v>311391.76</v>
      </c>
      <c r="AF370" s="60" t="str">
        <f t="shared" si="59"/>
        <v>PAULO FERNANDO DOS SANTOS</v>
      </c>
      <c r="AG370" s="60" t="str">
        <f t="shared" si="60"/>
        <v>OK</v>
      </c>
    </row>
    <row r="371" spans="1:33">
      <c r="A371" s="61" t="str">
        <f t="shared" si="54"/>
        <v>LONDRINA [ETAPA 03 - CONDOMINIO ARANGUA]XXXVIII3</v>
      </c>
      <c r="B371" s="263" t="s">
        <v>33</v>
      </c>
      <c r="C371" s="337" t="s">
        <v>531</v>
      </c>
      <c r="D371" s="166">
        <v>3</v>
      </c>
      <c r="E371" s="197">
        <v>253.75</v>
      </c>
      <c r="F371" s="166">
        <v>5131</v>
      </c>
      <c r="G371" s="338" t="s">
        <v>135</v>
      </c>
      <c r="H371" s="40">
        <v>42430</v>
      </c>
      <c r="I371" s="35">
        <v>130050</v>
      </c>
      <c r="J371" s="35" t="str">
        <f>IFERROR(VLOOKUP(CONCATENATE(B371,C371,D371,),Inadimplencia!$A$6:$K$110,6,0),"ATIVO")</f>
        <v>ATRASO</v>
      </c>
      <c r="K371" s="35">
        <f t="shared" si="55"/>
        <v>90623.63</v>
      </c>
      <c r="L371" s="325">
        <f t="shared" si="56"/>
        <v>0.69683683198769708</v>
      </c>
      <c r="M371" s="423" t="str">
        <f t="shared" si="57"/>
        <v>ATRASO0</v>
      </c>
      <c r="X371" s="203" t="str">
        <f t="shared" si="52"/>
        <v>LONDRINA [ETAPA 03 - CONDOMINIO ARANGUA]ATRASO</v>
      </c>
      <c r="Y371" s="203" t="str">
        <f t="shared" si="53"/>
        <v>XXXVIII3DEBORA SALES RODRIGUES MACHADO</v>
      </c>
      <c r="Z371" s="203" t="str">
        <f t="shared" si="58"/>
        <v>XXXVIII3DEBORA SALES RODRIGUES MACHADO</v>
      </c>
      <c r="AA371" s="427" t="s">
        <v>531</v>
      </c>
      <c r="AB371" s="427">
        <v>3</v>
      </c>
      <c r="AC371" s="428" t="s">
        <v>135</v>
      </c>
      <c r="AD371" s="505">
        <v>90623.63</v>
      </c>
      <c r="AE371" s="506">
        <v>214561.38</v>
      </c>
      <c r="AF371" s="60" t="str">
        <f t="shared" si="59"/>
        <v>DEBORA SALES RODRIGUES MACHADO</v>
      </c>
      <c r="AG371" s="60" t="str">
        <f t="shared" si="60"/>
        <v>OK</v>
      </c>
    </row>
    <row r="372" spans="1:33">
      <c r="A372" s="61" t="str">
        <f t="shared" si="54"/>
        <v>LONDRINA [ETAPA 03 - CONDOMINIO ARANGUA]XXXVIII6</v>
      </c>
      <c r="B372" s="263" t="s">
        <v>33</v>
      </c>
      <c r="C372" s="337" t="s">
        <v>531</v>
      </c>
      <c r="D372" s="73">
        <v>6</v>
      </c>
      <c r="E372" s="315">
        <v>253.75</v>
      </c>
      <c r="F372" s="166">
        <v>4827</v>
      </c>
      <c r="G372" s="74" t="s">
        <v>1350</v>
      </c>
      <c r="H372" s="40">
        <v>44117</v>
      </c>
      <c r="I372" s="35">
        <v>152280</v>
      </c>
      <c r="J372" s="35" t="str">
        <f>IFERROR(VLOOKUP(CONCATENATE(B372,C372,D372,),Inadimplencia!$A$6:$K$110,6,0),"ATIVO")</f>
        <v>ATIVO</v>
      </c>
      <c r="K372" s="35">
        <f t="shared" si="55"/>
        <v>121825.53</v>
      </c>
      <c r="L372" s="325">
        <f t="shared" si="56"/>
        <v>0.80001004728132386</v>
      </c>
      <c r="M372" s="423" t="str">
        <f t="shared" si="57"/>
        <v>ATIVO0</v>
      </c>
      <c r="X372" s="203" t="str">
        <f t="shared" si="52"/>
        <v>LONDRINA [ETAPA 03 - CONDOMINIO ARANGUA]ATIVO</v>
      </c>
      <c r="Y372" s="203" t="str">
        <f t="shared" si="53"/>
        <v>XXXVIII6RAFAEL COMAR ALENCAR</v>
      </c>
      <c r="Z372" s="203" t="str">
        <f t="shared" si="58"/>
        <v>XXXVIII6RAFAEL COMAR ALENCAR</v>
      </c>
      <c r="AA372" s="427" t="s">
        <v>531</v>
      </c>
      <c r="AB372" s="427">
        <v>6</v>
      </c>
      <c r="AC372" s="428" t="s">
        <v>1350</v>
      </c>
      <c r="AD372" s="505">
        <v>121825.53</v>
      </c>
      <c r="AE372" s="506">
        <v>157429.33000000002</v>
      </c>
      <c r="AF372" s="60" t="str">
        <f t="shared" si="59"/>
        <v>RAFAEL COMAR ALENCAR</v>
      </c>
      <c r="AG372" s="60" t="str">
        <f t="shared" si="60"/>
        <v>OK</v>
      </c>
    </row>
    <row r="373" spans="1:33">
      <c r="A373" s="61" t="str">
        <f t="shared" si="54"/>
        <v>LONDRINA [ETAPA 03 - CONDOMINIO ARANGUA]XXXVIII12</v>
      </c>
      <c r="B373" s="263" t="s">
        <v>33</v>
      </c>
      <c r="C373" s="337" t="s">
        <v>531</v>
      </c>
      <c r="D373" s="166">
        <v>12</v>
      </c>
      <c r="E373" s="197">
        <v>253.75</v>
      </c>
      <c r="F373" s="166">
        <v>4291</v>
      </c>
      <c r="G373" s="338" t="s">
        <v>1174</v>
      </c>
      <c r="H373" s="40">
        <v>44000</v>
      </c>
      <c r="I373" s="35">
        <v>150400.4</v>
      </c>
      <c r="J373" s="35" t="str">
        <f>IFERROR(VLOOKUP(CONCATENATE(B373,C373,D373,),Inadimplencia!$A$6:$K$110,6,0),"ATIVO")</f>
        <v>ATIVO</v>
      </c>
      <c r="K373" s="35">
        <f t="shared" si="55"/>
        <v>152070.9</v>
      </c>
      <c r="L373" s="325">
        <f t="shared" si="56"/>
        <v>1.011107018332398</v>
      </c>
      <c r="M373" s="423" t="str">
        <f t="shared" si="57"/>
        <v>ATIVO1</v>
      </c>
      <c r="X373" s="203" t="str">
        <f t="shared" si="52"/>
        <v>LONDRINA [ETAPA 03 - CONDOMINIO ARANGUA]ATIVO</v>
      </c>
      <c r="Y373" s="203" t="str">
        <f t="shared" si="53"/>
        <v>XXXVIII12ROBERTSON RODRIGUES</v>
      </c>
      <c r="Z373" s="203" t="str">
        <f t="shared" si="58"/>
        <v>XXXVIII12ROBERTSON RODRIGUES</v>
      </c>
      <c r="AA373" s="427" t="s">
        <v>531</v>
      </c>
      <c r="AB373" s="427">
        <v>12</v>
      </c>
      <c r="AC373" s="428" t="s">
        <v>1174</v>
      </c>
      <c r="AD373" s="505">
        <v>152070.9</v>
      </c>
      <c r="AE373" s="506">
        <v>171236.12</v>
      </c>
      <c r="AF373" s="60" t="str">
        <f t="shared" si="59"/>
        <v>ROBERTSON RODRIGUES</v>
      </c>
      <c r="AG373" s="60" t="str">
        <f t="shared" si="60"/>
        <v>OK</v>
      </c>
    </row>
    <row r="374" spans="1:33">
      <c r="A374" s="61" t="str">
        <f t="shared" si="54"/>
        <v>LONDRINA [ETAPA 03 - CONDOMINIO ARANGUA]XXXVIII14</v>
      </c>
      <c r="B374" s="263" t="s">
        <v>33</v>
      </c>
      <c r="C374" s="337" t="s">
        <v>531</v>
      </c>
      <c r="D374" s="73">
        <v>14</v>
      </c>
      <c r="E374" s="315">
        <v>253.75</v>
      </c>
      <c r="F374" s="166">
        <v>4910</v>
      </c>
      <c r="G374" s="74" t="s">
        <v>98</v>
      </c>
      <c r="H374" s="40">
        <v>42220</v>
      </c>
      <c r="I374" s="35">
        <v>142800.75</v>
      </c>
      <c r="J374" s="35" t="str">
        <f>IFERROR(VLOOKUP(CONCATENATE(B374,C374,D374,),Inadimplencia!$A$6:$K$110,6,0),"ATIVO")</f>
        <v>INADIMPLENTE</v>
      </c>
      <c r="K374" s="35">
        <f t="shared" si="55"/>
        <v>172350.05000000002</v>
      </c>
      <c r="L374" s="325">
        <f t="shared" si="56"/>
        <v>1.2069267843481215</v>
      </c>
      <c r="M374" s="423" t="str">
        <f t="shared" si="57"/>
        <v>INADIMPLENTE1</v>
      </c>
      <c r="X374" s="203" t="str">
        <f t="shared" si="52"/>
        <v>LONDRINA [ETAPA 03 - CONDOMINIO ARANGUA]INADIMPLENTE</v>
      </c>
      <c r="Y374" s="203" t="str">
        <f t="shared" si="53"/>
        <v>XXXVIII14CARLOS JUNIO RIBEIRO SILVA</v>
      </c>
      <c r="Z374" s="203" t="str">
        <f t="shared" si="58"/>
        <v>XXXVIII14CARLOS JUNIO RIBEIRO SILVA</v>
      </c>
      <c r="AA374" s="427" t="s">
        <v>531</v>
      </c>
      <c r="AB374" s="427">
        <v>14</v>
      </c>
      <c r="AC374" s="428" t="s">
        <v>98</v>
      </c>
      <c r="AD374" s="505">
        <v>172350.05000000002</v>
      </c>
      <c r="AE374" s="506">
        <v>213893.64</v>
      </c>
      <c r="AF374" s="60" t="str">
        <f t="shared" si="59"/>
        <v>CARLOS JUNIO RIBEIRO SILVA</v>
      </c>
      <c r="AG374" s="60" t="str">
        <f t="shared" si="60"/>
        <v>OK</v>
      </c>
    </row>
    <row r="375" spans="1:33">
      <c r="A375" s="61" t="str">
        <f t="shared" si="54"/>
        <v>LONDRINA [ETAPA 03 - CONDOMINIO ARANGUA]XXXVIII16</v>
      </c>
      <c r="B375" s="263" t="s">
        <v>33</v>
      </c>
      <c r="C375" s="337" t="s">
        <v>531</v>
      </c>
      <c r="D375" s="166">
        <v>16</v>
      </c>
      <c r="E375" s="197">
        <v>253.75</v>
      </c>
      <c r="F375" s="166">
        <v>4477</v>
      </c>
      <c r="G375" s="338" t="s">
        <v>1131</v>
      </c>
      <c r="H375" s="40">
        <v>42064</v>
      </c>
      <c r="I375" s="35">
        <v>132999.9</v>
      </c>
      <c r="J375" s="35" t="str">
        <f>IFERROR(VLOOKUP(CONCATENATE(B375,C375,D375,),Inadimplencia!$A$6:$K$110,6,0),"ATIVO")</f>
        <v>ATIVO</v>
      </c>
      <c r="K375" s="35">
        <f t="shared" si="55"/>
        <v>121693.41</v>
      </c>
      <c r="L375" s="325">
        <f t="shared" si="56"/>
        <v>0.91498873307423545</v>
      </c>
      <c r="M375" s="423" t="str">
        <f t="shared" si="57"/>
        <v>ATIVO0</v>
      </c>
      <c r="X375" s="203" t="str">
        <f t="shared" si="52"/>
        <v>LONDRINA [ETAPA 03 - CONDOMINIO ARANGUA]ATIVO</v>
      </c>
      <c r="Y375" s="203" t="str">
        <f t="shared" si="53"/>
        <v>XXXVIII16FELIPE PEREIRA SIMOES</v>
      </c>
      <c r="Z375" s="203" t="str">
        <f t="shared" si="58"/>
        <v>XXXVIII16FELIPE PEREIRA SIMOES</v>
      </c>
      <c r="AA375" s="427" t="s">
        <v>531</v>
      </c>
      <c r="AB375" s="427">
        <v>16</v>
      </c>
      <c r="AC375" s="428" t="s">
        <v>1131</v>
      </c>
      <c r="AD375" s="505">
        <v>121693.41</v>
      </c>
      <c r="AE375" s="506">
        <v>210170.76</v>
      </c>
      <c r="AF375" s="60" t="str">
        <f t="shared" si="59"/>
        <v>FELIPE PEREIRA SIMOES</v>
      </c>
      <c r="AG375" s="60" t="str">
        <f t="shared" si="60"/>
        <v>OK</v>
      </c>
    </row>
    <row r="376" spans="1:33">
      <c r="A376" s="61" t="str">
        <f t="shared" si="54"/>
        <v>LONDRINA [ETAPA 03 - CONDOMINIO ARANGUA]XXXVIII19</v>
      </c>
      <c r="B376" s="263" t="s">
        <v>33</v>
      </c>
      <c r="C376" s="337" t="s">
        <v>531</v>
      </c>
      <c r="D376" s="73">
        <v>19</v>
      </c>
      <c r="E376" s="315">
        <v>253.75</v>
      </c>
      <c r="F376" s="166">
        <v>4792</v>
      </c>
      <c r="G376" s="74" t="s">
        <v>1321</v>
      </c>
      <c r="H376" s="40">
        <v>44095</v>
      </c>
      <c r="I376" s="35">
        <v>155041.67000000001</v>
      </c>
      <c r="J376" s="35" t="str">
        <f>IFERROR(VLOOKUP(CONCATENATE(B376,C376,D376,),Inadimplencia!$A$6:$K$110,6,0),"ATIVO")</f>
        <v>ATIVO</v>
      </c>
      <c r="K376" s="35">
        <f t="shared" si="55"/>
        <v>156243.96</v>
      </c>
      <c r="L376" s="325">
        <f t="shared" si="56"/>
        <v>1.0077546249340579</v>
      </c>
      <c r="M376" s="423" t="str">
        <f t="shared" si="57"/>
        <v>ATIVO1</v>
      </c>
      <c r="X376" s="203" t="str">
        <f t="shared" si="52"/>
        <v>LONDRINA [ETAPA 03 - CONDOMINIO ARANGUA]ATIVO</v>
      </c>
      <c r="Y376" s="203" t="str">
        <f t="shared" si="53"/>
        <v>XXXVIII19ANA PAULA GRACINDO</v>
      </c>
      <c r="Z376" s="203" t="str">
        <f t="shared" si="58"/>
        <v>XXXVIII19ANA PAULA GRACINDO</v>
      </c>
      <c r="AA376" s="427" t="s">
        <v>531</v>
      </c>
      <c r="AB376" s="427">
        <v>19</v>
      </c>
      <c r="AC376" s="428" t="s">
        <v>1321</v>
      </c>
      <c r="AD376" s="505">
        <v>156243.96</v>
      </c>
      <c r="AE376" s="506">
        <v>172011.2</v>
      </c>
      <c r="AF376" s="60" t="str">
        <f t="shared" si="59"/>
        <v>ANA PAULA GRACINDO</v>
      </c>
      <c r="AG376" s="60" t="str">
        <f t="shared" si="60"/>
        <v>OK</v>
      </c>
    </row>
    <row r="377" spans="1:33">
      <c r="A377" s="61" t="str">
        <f t="shared" si="54"/>
        <v>LONDRINA [ETAPA 03 - CONDOMINIO ARANGUA]XXXVIII21</v>
      </c>
      <c r="B377" s="263" t="s">
        <v>33</v>
      </c>
      <c r="C377" s="337" t="s">
        <v>531</v>
      </c>
      <c r="D377" s="166">
        <v>21</v>
      </c>
      <c r="E377" s="197">
        <v>366.62</v>
      </c>
      <c r="F377" s="166">
        <v>5314</v>
      </c>
      <c r="G377" s="338" t="s">
        <v>488</v>
      </c>
      <c r="H377" s="40">
        <v>42658</v>
      </c>
      <c r="I377" s="35">
        <v>208973.4</v>
      </c>
      <c r="J377" s="35" t="str">
        <f>IFERROR(VLOOKUP(CONCATENATE(B377,C377,D377,),Inadimplencia!$A$6:$K$110,6,0),"ATIVO")</f>
        <v>ATRASO</v>
      </c>
      <c r="K377" s="35">
        <f t="shared" si="55"/>
        <v>94872</v>
      </c>
      <c r="L377" s="325">
        <f t="shared" si="56"/>
        <v>0.45399079500070344</v>
      </c>
      <c r="M377" s="423" t="str">
        <f t="shared" si="57"/>
        <v>ATRASO0</v>
      </c>
      <c r="X377" s="203" t="str">
        <f t="shared" si="52"/>
        <v>LONDRINA [ETAPA 03 - CONDOMINIO ARANGUA]ATRASO</v>
      </c>
      <c r="Y377" s="203" t="str">
        <f t="shared" si="53"/>
        <v>XXXVIII21ZENILDO BEZERRA DA SILVA</v>
      </c>
      <c r="Z377" s="203" t="str">
        <f t="shared" si="58"/>
        <v>XXXVIII21ZENILDO BEZERRA DA SILVA</v>
      </c>
      <c r="AA377" s="427" t="s">
        <v>531</v>
      </c>
      <c r="AB377" s="427">
        <v>21</v>
      </c>
      <c r="AC377" s="428" t="s">
        <v>488</v>
      </c>
      <c r="AD377" s="505">
        <v>94872</v>
      </c>
      <c r="AE377" s="506">
        <v>315745.15000000002</v>
      </c>
      <c r="AF377" s="60" t="str">
        <f t="shared" si="59"/>
        <v>ZENILDO BEZERRA DA SILVA</v>
      </c>
      <c r="AG377" s="60" t="str">
        <f t="shared" si="60"/>
        <v>OK</v>
      </c>
    </row>
    <row r="378" spans="1:33">
      <c r="A378" s="61" t="str">
        <f t="shared" si="54"/>
        <v>LONDRINA [ETAPA 03 - CONDOMINIO ARANGUA]XXXVIII22</v>
      </c>
      <c r="B378" s="263" t="s">
        <v>33</v>
      </c>
      <c r="C378" s="337" t="s">
        <v>531</v>
      </c>
      <c r="D378" s="73">
        <v>22</v>
      </c>
      <c r="E378" s="315">
        <v>365.62</v>
      </c>
      <c r="F378" s="166">
        <v>4737</v>
      </c>
      <c r="G378" s="74" t="s">
        <v>1269</v>
      </c>
      <c r="H378" s="40">
        <v>44064</v>
      </c>
      <c r="I378" s="35">
        <v>223393.96</v>
      </c>
      <c r="J378" s="35" t="str">
        <f>IFERROR(VLOOKUP(CONCATENATE(B378,C378,D378,),Inadimplencia!$A$6:$K$110,6,0),"ATIVO")</f>
        <v>ATIVO</v>
      </c>
      <c r="K378" s="35">
        <f t="shared" si="55"/>
        <v>229646.13</v>
      </c>
      <c r="L378" s="325">
        <f t="shared" si="56"/>
        <v>1.0279871935660212</v>
      </c>
      <c r="M378" s="423" t="str">
        <f t="shared" si="57"/>
        <v>ATIVO1</v>
      </c>
      <c r="X378" s="203" t="str">
        <f t="shared" si="52"/>
        <v>LONDRINA [ETAPA 03 - CONDOMINIO ARANGUA]ATIVO</v>
      </c>
      <c r="Y378" s="203" t="str">
        <f t="shared" si="53"/>
        <v>XXXVIII22HERCULES MARCIO IDALINO</v>
      </c>
      <c r="Z378" s="203" t="str">
        <f t="shared" si="58"/>
        <v>XXXVIII22HERCULES MARCIO IDALINO</v>
      </c>
      <c r="AA378" s="427" t="s">
        <v>531</v>
      </c>
      <c r="AB378" s="427">
        <v>22</v>
      </c>
      <c r="AC378" s="428" t="s">
        <v>1269</v>
      </c>
      <c r="AD378" s="505">
        <v>229646.13</v>
      </c>
      <c r="AE378" s="506">
        <v>250231.91</v>
      </c>
      <c r="AF378" s="60" t="str">
        <f t="shared" si="59"/>
        <v>HERCULES MARCIO IDALINO</v>
      </c>
      <c r="AG378" s="60" t="str">
        <f t="shared" si="60"/>
        <v>OK</v>
      </c>
    </row>
    <row r="379" spans="1:33">
      <c r="A379" s="61" t="str">
        <f t="shared" si="54"/>
        <v>LONDRINA [ETAPA 03 - CONDOMINIO ARANGUA]XXXVIII26</v>
      </c>
      <c r="B379" s="263" t="s">
        <v>33</v>
      </c>
      <c r="C379" s="337" t="s">
        <v>531</v>
      </c>
      <c r="D379" s="166">
        <v>26</v>
      </c>
      <c r="E379" s="197">
        <v>255.25</v>
      </c>
      <c r="F379" s="166">
        <v>5084</v>
      </c>
      <c r="G379" s="338" t="s">
        <v>125</v>
      </c>
      <c r="H379" s="40">
        <v>42401</v>
      </c>
      <c r="I379" s="35">
        <v>137000</v>
      </c>
      <c r="J379" s="35" t="str">
        <f>IFERROR(VLOOKUP(CONCATENATE(B379,C379,D379,),Inadimplencia!$A$6:$K$110,6,0),"ATIVO")</f>
        <v>ATIVO</v>
      </c>
      <c r="K379" s="35">
        <f t="shared" si="55"/>
        <v>86934.88</v>
      </c>
      <c r="L379" s="325">
        <f t="shared" si="56"/>
        <v>0.63456116788321171</v>
      </c>
      <c r="M379" s="423" t="str">
        <f t="shared" si="57"/>
        <v>ATIVO0</v>
      </c>
      <c r="X379" s="203" t="str">
        <f t="shared" si="52"/>
        <v>LONDRINA [ETAPA 03 - CONDOMINIO ARANGUA]ATIVO</v>
      </c>
      <c r="Y379" s="203" t="str">
        <f t="shared" si="53"/>
        <v>XXXVIII26DANIEL FORCATO SANDOLI</v>
      </c>
      <c r="Z379" s="203" t="str">
        <f t="shared" si="58"/>
        <v>XXXVIII26DANIEL FORCATO SANDOLI</v>
      </c>
      <c r="AA379" s="427" t="s">
        <v>531</v>
      </c>
      <c r="AB379" s="427">
        <v>26</v>
      </c>
      <c r="AC379" s="428" t="s">
        <v>125</v>
      </c>
      <c r="AD379" s="505">
        <v>86934.88</v>
      </c>
      <c r="AE379" s="506">
        <v>228869.22</v>
      </c>
      <c r="AF379" s="60" t="str">
        <f t="shared" si="59"/>
        <v>DANIEL FORCATO SANDOLI</v>
      </c>
      <c r="AG379" s="60" t="str">
        <f t="shared" si="60"/>
        <v>OK</v>
      </c>
    </row>
    <row r="380" spans="1:33">
      <c r="A380" s="61" t="str">
        <f t="shared" si="54"/>
        <v>LONDRINA [ETAPA 03 - CONDOMINIO ARANGUA]XXXVIII27</v>
      </c>
      <c r="B380" s="263" t="s">
        <v>33</v>
      </c>
      <c r="C380" s="337" t="s">
        <v>531</v>
      </c>
      <c r="D380" s="73">
        <v>27</v>
      </c>
      <c r="E380" s="315">
        <v>255.25</v>
      </c>
      <c r="F380" s="166">
        <v>4099</v>
      </c>
      <c r="G380" s="74" t="s">
        <v>103</v>
      </c>
      <c r="H380" s="40">
        <v>41944</v>
      </c>
      <c r="I380" s="35">
        <v>127291.14</v>
      </c>
      <c r="J380" s="35" t="str">
        <f>IFERROR(VLOOKUP(CONCATENATE(B380,C380,D380,),Inadimplencia!$A$6:$K$110,6,0),"ATIVO")</f>
        <v>ATRASO</v>
      </c>
      <c r="K380" s="35">
        <f t="shared" si="55"/>
        <v>113112.74</v>
      </c>
      <c r="L380" s="325">
        <f t="shared" si="56"/>
        <v>0.88861440002815595</v>
      </c>
      <c r="M380" s="423" t="str">
        <f t="shared" si="57"/>
        <v>ATRASO0</v>
      </c>
      <c r="X380" s="203" t="str">
        <f t="shared" si="52"/>
        <v>LONDRINA [ETAPA 03 - CONDOMINIO ARANGUA]ATRASO</v>
      </c>
      <c r="Y380" s="203" t="str">
        <f t="shared" si="53"/>
        <v>XXXVIII27CELIA GUERRA BICUDO</v>
      </c>
      <c r="Z380" s="203" t="str">
        <f t="shared" si="58"/>
        <v>XXXVIII27CELIA GUERRA BICUDO</v>
      </c>
      <c r="AA380" s="427" t="s">
        <v>531</v>
      </c>
      <c r="AB380" s="427">
        <v>27</v>
      </c>
      <c r="AC380" s="428" t="s">
        <v>103</v>
      </c>
      <c r="AD380" s="505">
        <v>113112.74</v>
      </c>
      <c r="AE380" s="506">
        <v>198491.99</v>
      </c>
      <c r="AF380" s="60" t="str">
        <f t="shared" si="59"/>
        <v>CELIA GUERRA BICUDO</v>
      </c>
      <c r="AG380" s="60" t="str">
        <f t="shared" si="60"/>
        <v>OK</v>
      </c>
    </row>
    <row r="381" spans="1:33">
      <c r="A381" s="61" t="str">
        <f t="shared" si="54"/>
        <v>LONDRINA [ETAPA 03 - CONDOMINIO ARANGUA]XXXVIII30</v>
      </c>
      <c r="B381" s="263" t="s">
        <v>33</v>
      </c>
      <c r="C381" s="337" t="s">
        <v>531</v>
      </c>
      <c r="D381" s="166">
        <v>30</v>
      </c>
      <c r="E381" s="197">
        <v>255.25</v>
      </c>
      <c r="F381" s="166">
        <v>3765</v>
      </c>
      <c r="G381" s="338" t="s">
        <v>1110</v>
      </c>
      <c r="H381" s="40">
        <v>43864</v>
      </c>
      <c r="I381" s="35">
        <v>144172.48000000001</v>
      </c>
      <c r="J381" s="35" t="str">
        <f>IFERROR(VLOOKUP(CONCATENATE(B381,C381,D381,),Inadimplencia!$A$6:$K$110,6,0),"ATIVO")</f>
        <v>ATIVO</v>
      </c>
      <c r="K381" s="35">
        <f t="shared" si="55"/>
        <v>43068.14</v>
      </c>
      <c r="L381" s="325">
        <f t="shared" si="56"/>
        <v>0.29872649759510272</v>
      </c>
      <c r="M381" s="423" t="str">
        <f t="shared" si="57"/>
        <v>ATIVO0</v>
      </c>
      <c r="X381" s="203" t="str">
        <f t="shared" si="52"/>
        <v>LONDRINA [ETAPA 03 - CONDOMINIO ARANGUA]ATIVO</v>
      </c>
      <c r="Y381" s="203" t="str">
        <f t="shared" si="53"/>
        <v>XXXVIII30THIAGO PASQUETTO BURANELLO</v>
      </c>
      <c r="Z381" s="203" t="str">
        <f t="shared" si="58"/>
        <v>XXXVIII30THIAGO PASQUETTO BURANELLO</v>
      </c>
      <c r="AA381" s="427" t="s">
        <v>531</v>
      </c>
      <c r="AB381" s="427">
        <v>30</v>
      </c>
      <c r="AC381" s="428" t="s">
        <v>1110</v>
      </c>
      <c r="AD381" s="505">
        <v>43068.14</v>
      </c>
      <c r="AE381" s="506">
        <v>147138.5</v>
      </c>
      <c r="AF381" s="60" t="str">
        <f t="shared" si="59"/>
        <v>THIAGO PASQUETTO BURANELLO</v>
      </c>
      <c r="AG381" s="60" t="str">
        <f t="shared" si="60"/>
        <v>OK</v>
      </c>
    </row>
    <row r="382" spans="1:33">
      <c r="A382" s="61" t="str">
        <f t="shared" si="54"/>
        <v>LONDRINA [ETAPA 03 - CONDOMINIO ARANGUA]XXXVIII39</v>
      </c>
      <c r="B382" s="263" t="s">
        <v>33</v>
      </c>
      <c r="C382" s="337" t="s">
        <v>531</v>
      </c>
      <c r="D382" s="73">
        <v>39</v>
      </c>
      <c r="E382" s="315">
        <v>255.25</v>
      </c>
      <c r="F382" s="166">
        <v>3307</v>
      </c>
      <c r="G382" s="74" t="s">
        <v>1107</v>
      </c>
      <c r="H382" s="40">
        <v>43788</v>
      </c>
      <c r="I382" s="35">
        <v>144172.5</v>
      </c>
      <c r="J382" s="35" t="str">
        <f>IFERROR(VLOOKUP(CONCATENATE(B382,C382,D382,),Inadimplencia!$A$6:$K$110,6,0),"ATIVO")</f>
        <v>ATIVO</v>
      </c>
      <c r="K382" s="35">
        <f t="shared" si="55"/>
        <v>37783.06</v>
      </c>
      <c r="L382" s="325">
        <f t="shared" si="56"/>
        <v>0.26206842497702404</v>
      </c>
      <c r="M382" s="423" t="str">
        <f t="shared" si="57"/>
        <v>ATIVO0</v>
      </c>
      <c r="X382" s="203" t="str">
        <f t="shared" si="52"/>
        <v>LONDRINA [ETAPA 03 - CONDOMINIO ARANGUA]ATIVO</v>
      </c>
      <c r="Y382" s="203" t="str">
        <f t="shared" si="53"/>
        <v>XXXVIII39WELLINGTON CORONADO FABRI</v>
      </c>
      <c r="Z382" s="203" t="str">
        <f t="shared" si="58"/>
        <v>XXXVIII39WELLINGTON CORONADO FABRI</v>
      </c>
      <c r="AA382" s="427" t="s">
        <v>531</v>
      </c>
      <c r="AB382" s="427">
        <v>39</v>
      </c>
      <c r="AC382" s="428" t="s">
        <v>1107</v>
      </c>
      <c r="AD382" s="505">
        <v>37783.06</v>
      </c>
      <c r="AE382" s="506">
        <v>147719.80000000002</v>
      </c>
      <c r="AF382" s="60" t="str">
        <f t="shared" si="59"/>
        <v>WELLINGTON CORONADO FABRI</v>
      </c>
      <c r="AG382" s="60" t="str">
        <f t="shared" si="60"/>
        <v>OK</v>
      </c>
    </row>
    <row r="383" spans="1:33">
      <c r="A383" s="61" t="str">
        <f t="shared" si="54"/>
        <v>LONDRINA [ETAPA 03 - CONDOMINIO ARANGUA]XXXVIII40</v>
      </c>
      <c r="B383" s="263" t="s">
        <v>33</v>
      </c>
      <c r="C383" s="337" t="s">
        <v>531</v>
      </c>
      <c r="D383" s="166">
        <v>40</v>
      </c>
      <c r="E383" s="197">
        <v>255.25</v>
      </c>
      <c r="F383" s="166">
        <v>5042</v>
      </c>
      <c r="G383" s="338" t="s">
        <v>313</v>
      </c>
      <c r="H383" s="40">
        <v>42339</v>
      </c>
      <c r="I383" s="35">
        <v>136999.70000000001</v>
      </c>
      <c r="J383" s="35" t="str">
        <f>IFERROR(VLOOKUP(CONCATENATE(B383,C383,D383,),Inadimplencia!$A$6:$K$110,6,0),"ATIVO")</f>
        <v>ATIVO</v>
      </c>
      <c r="K383" s="35">
        <f t="shared" si="55"/>
        <v>133387.95000000001</v>
      </c>
      <c r="L383" s="325">
        <f t="shared" si="56"/>
        <v>0.97363680358424143</v>
      </c>
      <c r="M383" s="423" t="str">
        <f t="shared" si="57"/>
        <v>ATIVO0</v>
      </c>
      <c r="X383" s="203" t="str">
        <f t="shared" si="52"/>
        <v>LONDRINA [ETAPA 03 - CONDOMINIO ARANGUA]ATIVO</v>
      </c>
      <c r="Y383" s="203" t="str">
        <f t="shared" si="53"/>
        <v>XXXVIII40LUCILENE MARIA RODRIGUES</v>
      </c>
      <c r="Z383" s="203" t="str">
        <f t="shared" si="58"/>
        <v>XXXVIII40LUCILENE MARIA RODRIGUES</v>
      </c>
      <c r="AA383" s="427" t="s">
        <v>531</v>
      </c>
      <c r="AB383" s="427">
        <v>40</v>
      </c>
      <c r="AC383" s="428" t="s">
        <v>313</v>
      </c>
      <c r="AD383" s="505">
        <v>133387.95000000001</v>
      </c>
      <c r="AE383" s="506">
        <v>247760.44</v>
      </c>
      <c r="AF383" s="60" t="str">
        <f t="shared" si="59"/>
        <v>LUCILENE MARIA RODRIGUES</v>
      </c>
      <c r="AG383" s="60" t="str">
        <f t="shared" si="60"/>
        <v>OK</v>
      </c>
    </row>
    <row r="384" spans="1:33">
      <c r="A384" s="61" t="str">
        <f t="shared" si="54"/>
        <v>LONDRINA [ETAPA 03 - CONDOMINIO ARANGUA]XXXVIII41</v>
      </c>
      <c r="B384" s="263" t="s">
        <v>33</v>
      </c>
      <c r="C384" s="337" t="s">
        <v>531</v>
      </c>
      <c r="D384" s="73">
        <v>41</v>
      </c>
      <c r="E384" s="315">
        <v>255.25</v>
      </c>
      <c r="F384" s="166">
        <v>4925</v>
      </c>
      <c r="G384" s="74" t="s">
        <v>1386</v>
      </c>
      <c r="H384" s="40">
        <v>44175</v>
      </c>
      <c r="I384" s="35">
        <v>172959.2</v>
      </c>
      <c r="J384" s="35" t="str">
        <f>IFERROR(VLOOKUP(CONCATENATE(B384,C384,D384,),Inadimplencia!$A$6:$K$110,6,0),"ATIVO")</f>
        <v>ATIVO</v>
      </c>
      <c r="K384" s="35">
        <f t="shared" si="55"/>
        <v>137487.41</v>
      </c>
      <c r="L384" s="325">
        <f t="shared" si="56"/>
        <v>0.79491238396107289</v>
      </c>
      <c r="M384" s="423" t="str">
        <f t="shared" si="57"/>
        <v>ATIVO0</v>
      </c>
      <c r="X384" s="203" t="str">
        <f t="shared" si="52"/>
        <v>LONDRINA [ETAPA 03 - CONDOMINIO ARANGUA]ATIVO</v>
      </c>
      <c r="Y384" s="203" t="str">
        <f t="shared" si="53"/>
        <v>XXXVIII41EDER VASSOLER</v>
      </c>
      <c r="Z384" s="203" t="str">
        <f t="shared" si="58"/>
        <v>XXXVIII41EDER VASSOLER</v>
      </c>
      <c r="AA384" s="427" t="s">
        <v>531</v>
      </c>
      <c r="AB384" s="427">
        <v>41</v>
      </c>
      <c r="AC384" s="428" t="s">
        <v>1386</v>
      </c>
      <c r="AD384" s="505">
        <v>137487.41</v>
      </c>
      <c r="AE384" s="431">
        <v>181319.99</v>
      </c>
      <c r="AF384" s="60" t="str">
        <f t="shared" si="59"/>
        <v>EDER VASSOLER</v>
      </c>
      <c r="AG384" s="60" t="str">
        <f t="shared" si="60"/>
        <v>OK</v>
      </c>
    </row>
    <row r="385" spans="1:33">
      <c r="A385" s="61" t="str">
        <f t="shared" si="54"/>
        <v>LONDRINA [ETAPA 04 - AREAS EXTERNAS G4 - G8]X1</v>
      </c>
      <c r="B385" s="263" t="s">
        <v>612</v>
      </c>
      <c r="C385" s="337" t="s">
        <v>613</v>
      </c>
      <c r="D385" s="166">
        <v>1</v>
      </c>
      <c r="E385" s="197">
        <v>334.04</v>
      </c>
      <c r="F385" s="166"/>
      <c r="G385" s="338" t="s">
        <v>932</v>
      </c>
      <c r="H385" s="40">
        <v>43509</v>
      </c>
      <c r="I385" s="35">
        <v>156999.4</v>
      </c>
      <c r="J385" s="35" t="str">
        <f>IFERROR(VLOOKUP(CONCATENATE(B385,C385,D385,),Inadimplencia!$A$6:$K$110,6,0),"ATIVO")</f>
        <v>ATIVO</v>
      </c>
      <c r="K385" s="35">
        <f t="shared" si="55"/>
        <v>138226.82</v>
      </c>
      <c r="L385" s="325">
        <f t="shared" si="56"/>
        <v>0.88042896979224128</v>
      </c>
      <c r="M385" s="423" t="str">
        <f t="shared" si="57"/>
        <v>ATIVO0</v>
      </c>
      <c r="X385" s="203" t="str">
        <f t="shared" si="52"/>
        <v>LONDRINA [ETAPA 04 - AREAS EXTERNAS G4 - G8]ATIVO</v>
      </c>
      <c r="Y385" s="203" t="str">
        <f t="shared" si="53"/>
        <v>X1CLEBIO SELMO MARQUES</v>
      </c>
      <c r="Z385" s="203" t="str">
        <f t="shared" si="58"/>
        <v>X1CLEBIO SELMO MARQUES</v>
      </c>
      <c r="AA385" s="427" t="s">
        <v>613</v>
      </c>
      <c r="AB385" s="427">
        <v>1</v>
      </c>
      <c r="AC385" s="428" t="s">
        <v>932</v>
      </c>
      <c r="AD385" s="505">
        <v>138226.82</v>
      </c>
      <c r="AE385" s="431">
        <v>208668.18</v>
      </c>
      <c r="AF385" s="60" t="str">
        <f t="shared" si="59"/>
        <v>CLEBIO SELMO MARQUES</v>
      </c>
      <c r="AG385" s="60" t="str">
        <f t="shared" si="60"/>
        <v>OK</v>
      </c>
    </row>
    <row r="386" spans="1:33">
      <c r="A386" s="61" t="str">
        <f t="shared" si="54"/>
        <v>LONDRINA [ETAPA 04 - AREAS EXTERNAS G4 - G8]X2</v>
      </c>
      <c r="B386" s="263" t="s">
        <v>612</v>
      </c>
      <c r="C386" s="337" t="s">
        <v>613</v>
      </c>
      <c r="D386" s="73">
        <v>2</v>
      </c>
      <c r="E386" s="315">
        <v>252.5</v>
      </c>
      <c r="F386" s="166">
        <v>3470</v>
      </c>
      <c r="G386" s="74" t="s">
        <v>1118</v>
      </c>
      <c r="H386" s="40">
        <v>43809</v>
      </c>
      <c r="I386" s="35">
        <v>122200</v>
      </c>
      <c r="J386" s="35" t="str">
        <f>IFERROR(VLOOKUP(CONCATENATE(B386,C386,D386,),Inadimplencia!$A$6:$K$110,6,0),"ATIVO")</f>
        <v>ATRASO</v>
      </c>
      <c r="K386" s="35">
        <f t="shared" si="55"/>
        <v>124392.59</v>
      </c>
      <c r="L386" s="325">
        <f t="shared" si="56"/>
        <v>1.01794263502455</v>
      </c>
      <c r="M386" s="423" t="str">
        <f t="shared" si="57"/>
        <v>ATRASO1</v>
      </c>
      <c r="X386" s="203" t="str">
        <f t="shared" si="52"/>
        <v>LONDRINA [ETAPA 04 - AREAS EXTERNAS G4 - G8]ATRASO</v>
      </c>
      <c r="Y386" s="203" t="str">
        <f t="shared" si="53"/>
        <v>X2PAULO SERGIO BARBOSA</v>
      </c>
      <c r="Z386" s="203" t="str">
        <f t="shared" si="58"/>
        <v>X2PAULO SERGIO BARBOSA</v>
      </c>
      <c r="AA386" s="427" t="s">
        <v>613</v>
      </c>
      <c r="AB386" s="427">
        <v>2</v>
      </c>
      <c r="AC386" s="428" t="s">
        <v>1118</v>
      </c>
      <c r="AD386" s="505">
        <v>124392.59</v>
      </c>
      <c r="AE386" s="431">
        <v>149777.63</v>
      </c>
      <c r="AF386" s="60" t="str">
        <f t="shared" si="59"/>
        <v>PAULO SERGIO BARBOSA</v>
      </c>
      <c r="AG386" s="60" t="str">
        <f t="shared" si="60"/>
        <v>OK</v>
      </c>
    </row>
    <row r="387" spans="1:33">
      <c r="A387" s="61" t="str">
        <f t="shared" si="54"/>
        <v>LONDRINA [ETAPA 04 - AREAS EXTERNAS G4 - G8]X23</v>
      </c>
      <c r="B387" s="263" t="s">
        <v>612</v>
      </c>
      <c r="C387" s="337" t="s">
        <v>613</v>
      </c>
      <c r="D387" s="166">
        <v>23</v>
      </c>
      <c r="E387" s="197">
        <v>252.5</v>
      </c>
      <c r="F387" s="166">
        <v>5121</v>
      </c>
      <c r="G387" s="338" t="s">
        <v>1501</v>
      </c>
      <c r="H387" s="40">
        <v>44271</v>
      </c>
      <c r="I387" s="35">
        <v>143726</v>
      </c>
      <c r="J387" s="35" t="str">
        <f>IFERROR(VLOOKUP(CONCATENATE(B387,C387,D387,),Inadimplencia!$A$6:$K$110,6,0),"ATIVO")</f>
        <v>ATIVO</v>
      </c>
      <c r="K387" s="35">
        <f t="shared" si="55"/>
        <v>137943</v>
      </c>
      <c r="L387" s="325">
        <f t="shared" si="56"/>
        <v>0.95976371707276342</v>
      </c>
      <c r="M387" s="423" t="str">
        <f t="shared" si="57"/>
        <v>ATIVO0</v>
      </c>
      <c r="X387" s="203" t="str">
        <f t="shared" si="52"/>
        <v>LONDRINA [ETAPA 04 - AREAS EXTERNAS G4 - G8]ATIVO</v>
      </c>
      <c r="Y387" s="203" t="str">
        <f t="shared" si="53"/>
        <v>X23ROSEMARY MARIKO HIRAYAMA</v>
      </c>
      <c r="Z387" s="203" t="str">
        <f t="shared" si="58"/>
        <v>X23ROSEMARY MARIKO HIRAYAMA</v>
      </c>
      <c r="AA387" s="427" t="s">
        <v>613</v>
      </c>
      <c r="AB387" s="427">
        <v>23</v>
      </c>
      <c r="AC387" s="428" t="s">
        <v>1501</v>
      </c>
      <c r="AD387" s="505">
        <v>137943</v>
      </c>
      <c r="AE387" s="431">
        <v>144059</v>
      </c>
      <c r="AF387" s="60" t="str">
        <f t="shared" si="59"/>
        <v>ROSEMARY MARIKO HIRAYAMA</v>
      </c>
      <c r="AG387" s="60" t="str">
        <f t="shared" si="60"/>
        <v>OK</v>
      </c>
    </row>
    <row r="388" spans="1:33">
      <c r="A388" s="61" t="str">
        <f t="shared" si="54"/>
        <v>LONDRINA [ETAPA 04 - AREAS EXTERNAS G4 - G8]X24</v>
      </c>
      <c r="B388" s="263" t="s">
        <v>612</v>
      </c>
      <c r="C388" s="337" t="s">
        <v>613</v>
      </c>
      <c r="D388" s="73">
        <v>24</v>
      </c>
      <c r="E388" s="315">
        <v>252.5</v>
      </c>
      <c r="F388" s="166">
        <v>5126</v>
      </c>
      <c r="G388" s="74" t="s">
        <v>1488</v>
      </c>
      <c r="H388" s="40">
        <v>44280</v>
      </c>
      <c r="I388" s="35">
        <v>143312.4</v>
      </c>
      <c r="J388" s="35" t="str">
        <f>IFERROR(VLOOKUP(CONCATENATE(B388,C388,D388,),Inadimplencia!$A$6:$K$110,6,0),"ATIVO")</f>
        <v>ATIVO</v>
      </c>
      <c r="K388" s="35">
        <f t="shared" si="55"/>
        <v>141749.26</v>
      </c>
      <c r="L388" s="325">
        <f t="shared" si="56"/>
        <v>0.98909277913146398</v>
      </c>
      <c r="M388" s="423" t="str">
        <f t="shared" si="57"/>
        <v>ATIVO0</v>
      </c>
      <c r="X388" s="203" t="str">
        <f t="shared" si="52"/>
        <v>LONDRINA [ETAPA 04 - AREAS EXTERNAS G4 - G8]ATIVO</v>
      </c>
      <c r="Y388" s="203" t="str">
        <f t="shared" si="53"/>
        <v>X24LUCAS DONIZETTI BUENO DE CAMARGO</v>
      </c>
      <c r="Z388" s="203" t="str">
        <f t="shared" si="58"/>
        <v>X24LUCAS DONIZETTI BUENO DE CAMARGO</v>
      </c>
      <c r="AA388" s="427" t="s">
        <v>613</v>
      </c>
      <c r="AB388" s="427">
        <v>24</v>
      </c>
      <c r="AC388" s="428" t="s">
        <v>1488</v>
      </c>
      <c r="AD388" s="505">
        <v>141749.26</v>
      </c>
      <c r="AE388" s="431">
        <v>144798.46</v>
      </c>
      <c r="AF388" s="60" t="str">
        <f t="shared" si="59"/>
        <v>LUCAS DONIZETTI BUENO DE CAMARGO</v>
      </c>
      <c r="AG388" s="60" t="str">
        <f t="shared" si="60"/>
        <v>OK</v>
      </c>
    </row>
    <row r="389" spans="1:33">
      <c r="A389" s="61" t="str">
        <f t="shared" si="54"/>
        <v>LONDRINA [ETAPA 04 - AREAS EXTERNAS G4 - G8]X25</v>
      </c>
      <c r="B389" s="263" t="s">
        <v>612</v>
      </c>
      <c r="C389" s="337" t="s">
        <v>613</v>
      </c>
      <c r="D389" s="166">
        <v>25</v>
      </c>
      <c r="E389" s="197">
        <v>252.5</v>
      </c>
      <c r="F389" s="166">
        <v>5127</v>
      </c>
      <c r="G389" s="338" t="s">
        <v>1488</v>
      </c>
      <c r="H389" s="40">
        <v>44280</v>
      </c>
      <c r="I389" s="35">
        <v>143312.4</v>
      </c>
      <c r="J389" s="35" t="str">
        <f>IFERROR(VLOOKUP(CONCATENATE(B389,C389,D389,),Inadimplencia!$A$6:$K$110,6,0),"ATIVO")</f>
        <v>ATIVO</v>
      </c>
      <c r="K389" s="35">
        <f t="shared" si="55"/>
        <v>141749.26</v>
      </c>
      <c r="L389" s="325">
        <f t="shared" si="56"/>
        <v>0.98909277913146398</v>
      </c>
      <c r="M389" s="423" t="str">
        <f t="shared" si="57"/>
        <v>ATIVO0</v>
      </c>
      <c r="X389" s="203" t="str">
        <f t="shared" ref="X389:X452" si="61">CONCATENATE(B389,J389)</f>
        <v>LONDRINA [ETAPA 04 - AREAS EXTERNAS G4 - G8]ATIVO</v>
      </c>
      <c r="Y389" s="203" t="str">
        <f t="shared" ref="Y389:Y452" si="62">CONCATENATE(C389,D389,G389)</f>
        <v>X25LUCAS DONIZETTI BUENO DE CAMARGO</v>
      </c>
      <c r="Z389" s="203" t="str">
        <f t="shared" si="58"/>
        <v>X25LUCAS DONIZETTI BUENO DE CAMARGO</v>
      </c>
      <c r="AA389" s="427" t="s">
        <v>613</v>
      </c>
      <c r="AB389" s="427">
        <v>25</v>
      </c>
      <c r="AC389" s="428" t="s">
        <v>1488</v>
      </c>
      <c r="AD389" s="505">
        <v>141749.26</v>
      </c>
      <c r="AE389" s="431">
        <v>144798.46</v>
      </c>
      <c r="AF389" s="60" t="str">
        <f t="shared" si="59"/>
        <v>LUCAS DONIZETTI BUENO DE CAMARGO</v>
      </c>
      <c r="AG389" s="60" t="str">
        <f t="shared" si="60"/>
        <v>OK</v>
      </c>
    </row>
    <row r="390" spans="1:33">
      <c r="A390" s="61" t="str">
        <f t="shared" ref="A390:A453" si="63">CONCATENATE(B390,C390,D390)</f>
        <v>LONDRINA [ETAPA 04 - AREAS EXTERNAS G4 - G8]X26</v>
      </c>
      <c r="B390" s="263" t="s">
        <v>612</v>
      </c>
      <c r="C390" s="337" t="s">
        <v>613</v>
      </c>
      <c r="D390" s="73">
        <v>26</v>
      </c>
      <c r="E390" s="315">
        <v>252.5</v>
      </c>
      <c r="F390" s="166">
        <v>5128</v>
      </c>
      <c r="G390" s="74" t="s">
        <v>1488</v>
      </c>
      <c r="H390" s="40">
        <v>44280</v>
      </c>
      <c r="I390" s="35">
        <v>143312.4</v>
      </c>
      <c r="J390" s="35" t="str">
        <f>IFERROR(VLOOKUP(CONCATENATE(B390,C390,D390,),Inadimplencia!$A$6:$K$110,6,0),"ATIVO")</f>
        <v>ATIVO</v>
      </c>
      <c r="K390" s="35">
        <f t="shared" ref="K390:K453" si="64">VLOOKUP(Y390,$Z$5:$AD$520,5,0)</f>
        <v>141749.26</v>
      </c>
      <c r="L390" s="325">
        <f t="shared" ref="L390:L453" si="65">K390/I390</f>
        <v>0.98909277913146398</v>
      </c>
      <c r="M390" s="423" t="str">
        <f t="shared" ref="M390:M453" si="66">CONCATENATE(J390,IF(L390&gt;100%,1,0))</f>
        <v>ATIVO0</v>
      </c>
      <c r="X390" s="203" t="str">
        <f t="shared" si="61"/>
        <v>LONDRINA [ETAPA 04 - AREAS EXTERNAS G4 - G8]ATIVO</v>
      </c>
      <c r="Y390" s="203" t="str">
        <f t="shared" si="62"/>
        <v>X26LUCAS DONIZETTI BUENO DE CAMARGO</v>
      </c>
      <c r="Z390" s="203" t="str">
        <f t="shared" ref="Z390:Z453" si="67">CONCATENATE(AA390,AB390,AC390)</f>
        <v>X26LUCAS DONIZETTI BUENO DE CAMARGO</v>
      </c>
      <c r="AA390" s="427" t="s">
        <v>613</v>
      </c>
      <c r="AB390" s="427">
        <v>26</v>
      </c>
      <c r="AC390" s="428" t="s">
        <v>1488</v>
      </c>
      <c r="AD390" s="505">
        <v>141749.26</v>
      </c>
      <c r="AE390" s="431">
        <v>144798.46</v>
      </c>
      <c r="AF390" s="60" t="str">
        <f t="shared" ref="AF390:AF453" si="68">VLOOKUP(AC390,$G$5:$G$520,1,0)</f>
        <v>LUCAS DONIZETTI BUENO DE CAMARGO</v>
      </c>
      <c r="AG390" s="60" t="str">
        <f t="shared" ref="AG390:AG453" si="69">IF(AC390=AF390,"OK","NÃO BATE")</f>
        <v>OK</v>
      </c>
    </row>
    <row r="391" spans="1:33">
      <c r="A391" s="61" t="str">
        <f t="shared" si="63"/>
        <v>LONDRINA [ETAPA 04 - AREAS EXTERNAS G4 - G8]X27</v>
      </c>
      <c r="B391" s="263" t="s">
        <v>612</v>
      </c>
      <c r="C391" s="337" t="s">
        <v>613</v>
      </c>
      <c r="D391" s="166">
        <v>27</v>
      </c>
      <c r="E391" s="197">
        <v>252.5</v>
      </c>
      <c r="F391" s="166">
        <v>3136</v>
      </c>
      <c r="G391" s="338" t="s">
        <v>1073</v>
      </c>
      <c r="H391" s="40">
        <v>43762</v>
      </c>
      <c r="I391" s="35">
        <v>105280</v>
      </c>
      <c r="J391" s="35" t="str">
        <f>IFERROR(VLOOKUP(CONCATENATE(B391,C391,D391,),Inadimplencia!$A$6:$K$110,6,0),"ATIVO")</f>
        <v>ATIVO</v>
      </c>
      <c r="K391" s="35">
        <f t="shared" si="64"/>
        <v>107668.31</v>
      </c>
      <c r="L391" s="325">
        <f t="shared" si="65"/>
        <v>1.0226853153495441</v>
      </c>
      <c r="M391" s="423" t="str">
        <f t="shared" si="66"/>
        <v>ATIVO1</v>
      </c>
      <c r="X391" s="203" t="str">
        <f t="shared" si="61"/>
        <v>LONDRINA [ETAPA 04 - AREAS EXTERNAS G4 - G8]ATIVO</v>
      </c>
      <c r="Y391" s="203" t="str">
        <f t="shared" si="62"/>
        <v>X27THAIS FERNANDA VASCONCELOS DOS SANTOS</v>
      </c>
      <c r="Z391" s="203" t="str">
        <f t="shared" si="67"/>
        <v>X27THAIS FERNANDA VASCONCELOS DOS SANTOS</v>
      </c>
      <c r="AA391" s="427" t="s">
        <v>613</v>
      </c>
      <c r="AB391" s="427">
        <v>27</v>
      </c>
      <c r="AC391" s="428" t="s">
        <v>1073</v>
      </c>
      <c r="AD391" s="505">
        <v>107668.31</v>
      </c>
      <c r="AE391" s="431">
        <v>131169.68</v>
      </c>
      <c r="AF391" s="60" t="str">
        <f t="shared" si="68"/>
        <v>THAIS FERNANDA VASCONCELOS DOS SANTOS</v>
      </c>
      <c r="AG391" s="60" t="str">
        <f t="shared" si="69"/>
        <v>OK</v>
      </c>
    </row>
    <row r="392" spans="1:33">
      <c r="A392" s="61" t="str">
        <f t="shared" si="63"/>
        <v>LONDRINA [ETAPA 04 - AREAS EXTERNAS G4 - G8]X28</v>
      </c>
      <c r="B392" s="263" t="s">
        <v>612</v>
      </c>
      <c r="C392" s="337" t="s">
        <v>613</v>
      </c>
      <c r="D392" s="73">
        <v>28</v>
      </c>
      <c r="E392" s="315">
        <v>439.76</v>
      </c>
      <c r="F392" s="166">
        <v>3137</v>
      </c>
      <c r="G392" s="74" t="s">
        <v>1073</v>
      </c>
      <c r="H392" s="40">
        <v>43762</v>
      </c>
      <c r="I392" s="35">
        <v>164500</v>
      </c>
      <c r="J392" s="35" t="str">
        <f>IFERROR(VLOOKUP(CONCATENATE(B392,C392,D392,),Inadimplencia!$A$6:$K$110,6,0),"ATIVO")</f>
        <v>ATIVO</v>
      </c>
      <c r="K392" s="35">
        <f t="shared" si="64"/>
        <v>168231.57</v>
      </c>
      <c r="L392" s="325">
        <f t="shared" si="65"/>
        <v>1.0226843161094226</v>
      </c>
      <c r="M392" s="423" t="str">
        <f t="shared" si="66"/>
        <v>ATIVO1</v>
      </c>
      <c r="X392" s="203" t="str">
        <f t="shared" si="61"/>
        <v>LONDRINA [ETAPA 04 - AREAS EXTERNAS G4 - G8]ATIVO</v>
      </c>
      <c r="Y392" s="203" t="str">
        <f t="shared" si="62"/>
        <v>X28THAIS FERNANDA VASCONCELOS DOS SANTOS</v>
      </c>
      <c r="Z392" s="203" t="str">
        <f t="shared" si="67"/>
        <v>X28THAIS FERNANDA VASCONCELOS DOS SANTOS</v>
      </c>
      <c r="AA392" s="427" t="s">
        <v>613</v>
      </c>
      <c r="AB392" s="427">
        <v>28</v>
      </c>
      <c r="AC392" s="428" t="s">
        <v>1073</v>
      </c>
      <c r="AD392" s="505">
        <v>168231.57</v>
      </c>
      <c r="AE392" s="431">
        <v>204959.76</v>
      </c>
      <c r="AF392" s="60" t="str">
        <f t="shared" si="68"/>
        <v>THAIS FERNANDA VASCONCELOS DOS SANTOS</v>
      </c>
      <c r="AG392" s="60" t="str">
        <f t="shared" si="69"/>
        <v>OK</v>
      </c>
    </row>
    <row r="393" spans="1:33">
      <c r="A393" s="61" t="str">
        <f t="shared" si="63"/>
        <v>LONDRINA [ETAPA 04 - AREAS EXTERNAS G4 - G8]XIV1</v>
      </c>
      <c r="B393" s="263" t="s">
        <v>612</v>
      </c>
      <c r="C393" s="337" t="s">
        <v>614</v>
      </c>
      <c r="D393" s="166">
        <v>1</v>
      </c>
      <c r="E393" s="197">
        <v>279.54000000000002</v>
      </c>
      <c r="F393" s="166">
        <v>7103</v>
      </c>
      <c r="G393" s="338" t="s">
        <v>951</v>
      </c>
      <c r="H393" s="40">
        <v>43565</v>
      </c>
      <c r="I393" s="35">
        <v>135325.26</v>
      </c>
      <c r="J393" s="35" t="str">
        <f>IFERROR(VLOOKUP(CONCATENATE(B393,C393,D393,),Inadimplencia!$A$6:$K$110,6,0),"ATIVO")</f>
        <v>ATIVO</v>
      </c>
      <c r="K393" s="35">
        <f t="shared" si="64"/>
        <v>92115</v>
      </c>
      <c r="L393" s="325">
        <f t="shared" si="65"/>
        <v>0.68069331623674689</v>
      </c>
      <c r="M393" s="423" t="str">
        <f t="shared" si="66"/>
        <v>ATIVO0</v>
      </c>
      <c r="X393" s="203" t="str">
        <f t="shared" si="61"/>
        <v>LONDRINA [ETAPA 04 - AREAS EXTERNAS G4 - G8]ATIVO</v>
      </c>
      <c r="Y393" s="203" t="str">
        <f t="shared" si="62"/>
        <v>XIV1BRUNO BORTOLETO CORA</v>
      </c>
      <c r="Z393" s="203" t="str">
        <f t="shared" si="67"/>
        <v>XIV1BRUNO BORTOLETO CORA</v>
      </c>
      <c r="AA393" s="427" t="s">
        <v>614</v>
      </c>
      <c r="AB393" s="427">
        <v>1</v>
      </c>
      <c r="AC393" s="428" t="s">
        <v>951</v>
      </c>
      <c r="AD393" s="505">
        <v>92115</v>
      </c>
      <c r="AE393" s="431">
        <v>164060.39000000001</v>
      </c>
      <c r="AF393" s="60" t="str">
        <f t="shared" si="68"/>
        <v>BRUNO BORTOLETO CORA</v>
      </c>
      <c r="AG393" s="60" t="str">
        <f t="shared" si="69"/>
        <v>OK</v>
      </c>
    </row>
    <row r="394" spans="1:33">
      <c r="A394" s="61" t="str">
        <f t="shared" si="63"/>
        <v>LONDRINA [ETAPA 04 - AREAS EXTERNAS G4 - G8]XIV2</v>
      </c>
      <c r="B394" s="263" t="s">
        <v>612</v>
      </c>
      <c r="C394" s="337" t="s">
        <v>614</v>
      </c>
      <c r="D394" s="73">
        <v>2</v>
      </c>
      <c r="E394" s="315">
        <v>257</v>
      </c>
      <c r="F394" s="166">
        <v>7250</v>
      </c>
      <c r="G394" s="74" t="s">
        <v>975</v>
      </c>
      <c r="H394" s="40">
        <v>43609</v>
      </c>
      <c r="I394" s="35">
        <v>112800</v>
      </c>
      <c r="J394" s="35" t="str">
        <f>IFERROR(VLOOKUP(CONCATENATE(B394,C394,D394,),Inadimplencia!$A$6:$K$110,6,0),"ATIVO")</f>
        <v>ATIVO</v>
      </c>
      <c r="K394" s="35">
        <f t="shared" si="64"/>
        <v>112216.37</v>
      </c>
      <c r="L394" s="325">
        <f t="shared" si="65"/>
        <v>0.99482597517730498</v>
      </c>
      <c r="M394" s="423" t="str">
        <f t="shared" si="66"/>
        <v>ATIVO0</v>
      </c>
      <c r="X394" s="203" t="str">
        <f t="shared" si="61"/>
        <v>LONDRINA [ETAPA 04 - AREAS EXTERNAS G4 - G8]ATIVO</v>
      </c>
      <c r="Y394" s="203" t="str">
        <f t="shared" si="62"/>
        <v>XIV2KAIO HENRIQUE ALBANO CAVALARI</v>
      </c>
      <c r="Z394" s="203" t="str">
        <f t="shared" si="67"/>
        <v>XIV2KAIO HENRIQUE ALBANO CAVALARI</v>
      </c>
      <c r="AA394" s="427" t="s">
        <v>614</v>
      </c>
      <c r="AB394" s="427">
        <v>2</v>
      </c>
      <c r="AC394" s="428" t="s">
        <v>975</v>
      </c>
      <c r="AD394" s="505">
        <v>112216.37</v>
      </c>
      <c r="AE394" s="431">
        <v>143942.69</v>
      </c>
      <c r="AF394" s="60" t="str">
        <f t="shared" si="68"/>
        <v>KAIO HENRIQUE ALBANO CAVALARI</v>
      </c>
      <c r="AG394" s="60" t="str">
        <f t="shared" si="69"/>
        <v>OK</v>
      </c>
    </row>
    <row r="395" spans="1:33">
      <c r="A395" s="61" t="str">
        <f t="shared" si="63"/>
        <v>LONDRINA [ETAPA 04 - AREAS EXTERNAS G4 - G8]XIV3</v>
      </c>
      <c r="B395" s="263" t="s">
        <v>612</v>
      </c>
      <c r="C395" s="337" t="s">
        <v>614</v>
      </c>
      <c r="D395" s="166">
        <v>3</v>
      </c>
      <c r="E395" s="197">
        <v>257</v>
      </c>
      <c r="F395" s="166">
        <v>6886</v>
      </c>
      <c r="G395" s="338" t="s">
        <v>901</v>
      </c>
      <c r="H395" s="40">
        <v>43487</v>
      </c>
      <c r="I395" s="35">
        <v>120790</v>
      </c>
      <c r="J395" s="35" t="str">
        <f>IFERROR(VLOOKUP(CONCATENATE(B395,C395,D395,),Inadimplencia!$A$6:$K$110,6,0),"ATIVO")</f>
        <v>ATIVO</v>
      </c>
      <c r="K395" s="35">
        <f t="shared" si="64"/>
        <v>122898.57</v>
      </c>
      <c r="L395" s="325">
        <f t="shared" si="65"/>
        <v>1.0174564947429423</v>
      </c>
      <c r="M395" s="423" t="str">
        <f t="shared" si="66"/>
        <v>ATIVO1</v>
      </c>
      <c r="X395" s="203" t="str">
        <f t="shared" si="61"/>
        <v>LONDRINA [ETAPA 04 - AREAS EXTERNAS G4 - G8]ATIVO</v>
      </c>
      <c r="Y395" s="203" t="str">
        <f t="shared" si="62"/>
        <v>XIV3ANDREA BRENZAN ALVIM</v>
      </c>
      <c r="Z395" s="203" t="str">
        <f t="shared" si="67"/>
        <v>XIV3ANDREA BRENZAN ALVIM</v>
      </c>
      <c r="AA395" s="427" t="s">
        <v>614</v>
      </c>
      <c r="AB395" s="427">
        <v>3</v>
      </c>
      <c r="AC395" s="428" t="s">
        <v>901</v>
      </c>
      <c r="AD395" s="505">
        <v>122898.57</v>
      </c>
      <c r="AE395" s="431">
        <v>164700.73000000001</v>
      </c>
      <c r="AF395" s="60" t="str">
        <f t="shared" si="68"/>
        <v>ANDREA BRENZAN ALVIM</v>
      </c>
      <c r="AG395" s="60" t="str">
        <f t="shared" si="69"/>
        <v>OK</v>
      </c>
    </row>
    <row r="396" spans="1:33">
      <c r="A396" s="61" t="str">
        <f t="shared" si="63"/>
        <v>LONDRINA [ETAPA 04 - AREAS EXTERNAS G4 - G8]XIV4</v>
      </c>
      <c r="B396" s="263" t="s">
        <v>612</v>
      </c>
      <c r="C396" s="337" t="s">
        <v>614</v>
      </c>
      <c r="D396" s="73">
        <v>4</v>
      </c>
      <c r="E396" s="315">
        <v>257</v>
      </c>
      <c r="F396" s="166">
        <v>6881</v>
      </c>
      <c r="G396" s="74" t="s">
        <v>901</v>
      </c>
      <c r="H396" s="40">
        <v>43483</v>
      </c>
      <c r="I396" s="35">
        <v>120790</v>
      </c>
      <c r="J396" s="35" t="str">
        <f>IFERROR(VLOOKUP(CONCATENATE(B396,C396,D396,),Inadimplencia!$A$6:$K$110,6,0),"ATIVO")</f>
        <v>ATIVO</v>
      </c>
      <c r="K396" s="35">
        <f t="shared" si="64"/>
        <v>122898.57</v>
      </c>
      <c r="L396" s="325">
        <f t="shared" si="65"/>
        <v>1.0174564947429423</v>
      </c>
      <c r="M396" s="423" t="str">
        <f t="shared" si="66"/>
        <v>ATIVO1</v>
      </c>
      <c r="X396" s="203" t="str">
        <f t="shared" si="61"/>
        <v>LONDRINA [ETAPA 04 - AREAS EXTERNAS G4 - G8]ATIVO</v>
      </c>
      <c r="Y396" s="203" t="str">
        <f t="shared" si="62"/>
        <v>XIV4ANDREA BRENZAN ALVIM</v>
      </c>
      <c r="Z396" s="203" t="str">
        <f t="shared" si="67"/>
        <v>XIV4ANDREA BRENZAN ALVIM</v>
      </c>
      <c r="AA396" s="427" t="s">
        <v>614</v>
      </c>
      <c r="AB396" s="427">
        <v>4</v>
      </c>
      <c r="AC396" s="428" t="s">
        <v>901</v>
      </c>
      <c r="AD396" s="505">
        <v>122898.57</v>
      </c>
      <c r="AE396" s="432">
        <v>164700.73000000001</v>
      </c>
      <c r="AF396" s="60" t="str">
        <f t="shared" si="68"/>
        <v>ANDREA BRENZAN ALVIM</v>
      </c>
      <c r="AG396" s="60" t="str">
        <f t="shared" si="69"/>
        <v>OK</v>
      </c>
    </row>
    <row r="397" spans="1:33">
      <c r="A397" s="61" t="str">
        <f t="shared" si="63"/>
        <v>LONDRINA [ETAPA 04 - AREAS EXTERNAS G4 - G8]XIV6</v>
      </c>
      <c r="B397" s="263" t="s">
        <v>612</v>
      </c>
      <c r="C397" s="337" t="s">
        <v>614</v>
      </c>
      <c r="D397" s="166">
        <v>6</v>
      </c>
      <c r="E397" s="197">
        <v>257</v>
      </c>
      <c r="F397" s="166">
        <v>5116</v>
      </c>
      <c r="G397" s="338" t="s">
        <v>1502</v>
      </c>
      <c r="H397" s="40">
        <v>44256</v>
      </c>
      <c r="I397" s="35">
        <v>131599.9</v>
      </c>
      <c r="J397" s="35" t="str">
        <f>IFERROR(VLOOKUP(CONCATENATE(B397,C397,D397,),Inadimplencia!$A$6:$K$110,6,0),"ATIVO")</f>
        <v>ATIVO</v>
      </c>
      <c r="K397" s="35">
        <f t="shared" si="64"/>
        <v>124610.55</v>
      </c>
      <c r="L397" s="325">
        <f t="shared" si="65"/>
        <v>0.94688939733236888</v>
      </c>
      <c r="M397" s="423" t="str">
        <f t="shared" si="66"/>
        <v>ATIVO0</v>
      </c>
      <c r="X397" s="203" t="str">
        <f t="shared" si="61"/>
        <v>LONDRINA [ETAPA 04 - AREAS EXTERNAS G4 - G8]ATIVO</v>
      </c>
      <c r="Y397" s="203" t="str">
        <f t="shared" si="62"/>
        <v>XIV6BRUNO SCUPINARI</v>
      </c>
      <c r="Z397" s="203" t="str">
        <f t="shared" si="67"/>
        <v>XIV6BRUNO SCUPINARI</v>
      </c>
      <c r="AA397" s="427" t="s">
        <v>614</v>
      </c>
      <c r="AB397" s="427">
        <v>6</v>
      </c>
      <c r="AC397" s="428" t="s">
        <v>1502</v>
      </c>
      <c r="AD397" s="505">
        <v>124610.55</v>
      </c>
      <c r="AE397" s="432">
        <v>132210.54999999999</v>
      </c>
      <c r="AF397" s="60" t="str">
        <f t="shared" si="68"/>
        <v>BRUNO SCUPINARI</v>
      </c>
      <c r="AG397" s="60" t="str">
        <f t="shared" si="69"/>
        <v>OK</v>
      </c>
    </row>
    <row r="398" spans="1:33">
      <c r="A398" s="61" t="str">
        <f t="shared" si="63"/>
        <v>LONDRINA [ETAPA 04 - AREAS EXTERNAS G4 - G8]XIV7</v>
      </c>
      <c r="B398" s="263" t="s">
        <v>612</v>
      </c>
      <c r="C398" s="337" t="s">
        <v>614</v>
      </c>
      <c r="D398" s="73">
        <v>7</v>
      </c>
      <c r="E398" s="315">
        <v>257</v>
      </c>
      <c r="F398" s="166">
        <v>5118</v>
      </c>
      <c r="G398" s="74" t="s">
        <v>1502</v>
      </c>
      <c r="H398" s="40">
        <v>44256</v>
      </c>
      <c r="I398" s="35">
        <v>131599.9</v>
      </c>
      <c r="J398" s="35" t="str">
        <f>IFERROR(VLOOKUP(CONCATENATE(B398,C398,D398,),Inadimplencia!$A$6:$K$110,6,0),"ATIVO")</f>
        <v>ATIVO</v>
      </c>
      <c r="K398" s="35">
        <f t="shared" si="64"/>
        <v>124610.55</v>
      </c>
      <c r="L398" s="325">
        <f t="shared" si="65"/>
        <v>0.94688939733236888</v>
      </c>
      <c r="M398" s="423" t="str">
        <f t="shared" si="66"/>
        <v>ATIVO0</v>
      </c>
      <c r="X398" s="203" t="str">
        <f t="shared" si="61"/>
        <v>LONDRINA [ETAPA 04 - AREAS EXTERNAS G4 - G8]ATIVO</v>
      </c>
      <c r="Y398" s="203" t="str">
        <f t="shared" si="62"/>
        <v>XIV7BRUNO SCUPINARI</v>
      </c>
      <c r="Z398" s="203" t="str">
        <f t="shared" si="67"/>
        <v>XIV7BRUNO SCUPINARI</v>
      </c>
      <c r="AA398" s="427" t="s">
        <v>614</v>
      </c>
      <c r="AB398" s="427">
        <v>7</v>
      </c>
      <c r="AC398" s="428" t="s">
        <v>1502</v>
      </c>
      <c r="AD398" s="505">
        <v>124610.55</v>
      </c>
      <c r="AE398" s="432">
        <v>132210.54999999999</v>
      </c>
      <c r="AF398" s="60" t="str">
        <f t="shared" si="68"/>
        <v>BRUNO SCUPINARI</v>
      </c>
      <c r="AG398" s="60" t="str">
        <f t="shared" si="69"/>
        <v>OK</v>
      </c>
    </row>
    <row r="399" spans="1:33">
      <c r="A399" s="61" t="str">
        <f t="shared" si="63"/>
        <v>LONDRINA [ETAPA 04 - AREAS EXTERNAS G4 - G8]XIV9</v>
      </c>
      <c r="B399" s="263" t="s">
        <v>612</v>
      </c>
      <c r="C399" s="337" t="s">
        <v>614</v>
      </c>
      <c r="D399" s="166">
        <v>9</v>
      </c>
      <c r="E399" s="197">
        <v>257</v>
      </c>
      <c r="F399" s="166">
        <v>5108</v>
      </c>
      <c r="G399" s="338" t="s">
        <v>1503</v>
      </c>
      <c r="H399" s="40">
        <v>44258</v>
      </c>
      <c r="I399" s="35">
        <v>143312.4</v>
      </c>
      <c r="J399" s="35" t="str">
        <f>IFERROR(VLOOKUP(CONCATENATE(B399,C399,D399,),Inadimplencia!$A$6:$K$110,6,0),"ATIVO")</f>
        <v>ATIVO</v>
      </c>
      <c r="K399" s="35">
        <f t="shared" si="64"/>
        <v>138692.53</v>
      </c>
      <c r="L399" s="325">
        <f t="shared" si="65"/>
        <v>0.96776364082940491</v>
      </c>
      <c r="M399" s="423" t="str">
        <f t="shared" si="66"/>
        <v>ATIVO0</v>
      </c>
      <c r="X399" s="203" t="str">
        <f t="shared" si="61"/>
        <v>LONDRINA [ETAPA 04 - AREAS EXTERNAS G4 - G8]ATIVO</v>
      </c>
      <c r="Y399" s="203" t="str">
        <f t="shared" si="62"/>
        <v>XIV9VIVIANE HELENA DA SILVA ALMEIDA</v>
      </c>
      <c r="Z399" s="203" t="str">
        <f t="shared" si="67"/>
        <v>XIV9VIVIANE HELENA DA SILVA ALMEIDA</v>
      </c>
      <c r="AA399" s="427" t="s">
        <v>614</v>
      </c>
      <c r="AB399" s="427">
        <v>9</v>
      </c>
      <c r="AC399" s="428" t="s">
        <v>1503</v>
      </c>
      <c r="AD399" s="505">
        <v>138692.53</v>
      </c>
      <c r="AE399" s="432">
        <v>144790.93</v>
      </c>
      <c r="AF399" s="60" t="str">
        <f t="shared" si="68"/>
        <v>VIVIANE HELENA DA SILVA ALMEIDA</v>
      </c>
      <c r="AG399" s="60" t="str">
        <f t="shared" si="69"/>
        <v>OK</v>
      </c>
    </row>
    <row r="400" spans="1:33">
      <c r="A400" s="61" t="str">
        <f t="shared" si="63"/>
        <v>LONDRINA [ETAPA 04 - AREAS EXTERNAS G4 - G8]XIV10</v>
      </c>
      <c r="B400" s="263" t="s">
        <v>612</v>
      </c>
      <c r="C400" s="337" t="s">
        <v>614</v>
      </c>
      <c r="D400" s="73">
        <v>10</v>
      </c>
      <c r="E400" s="315">
        <v>257</v>
      </c>
      <c r="F400" s="166">
        <v>4769</v>
      </c>
      <c r="G400" s="74" t="s">
        <v>1177</v>
      </c>
      <c r="H400" s="40">
        <v>44076</v>
      </c>
      <c r="I400" s="35">
        <v>124080</v>
      </c>
      <c r="J400" s="35" t="str">
        <f>IFERROR(VLOOKUP(CONCATENATE(B400,C400,D400,),Inadimplencia!$A$6:$K$110,6,0),"ATIVO")</f>
        <v>ATIVO</v>
      </c>
      <c r="K400" s="35">
        <f t="shared" si="64"/>
        <v>113842.93000000001</v>
      </c>
      <c r="L400" s="325">
        <f t="shared" si="65"/>
        <v>0.91749621212121213</v>
      </c>
      <c r="M400" s="423" t="str">
        <f t="shared" si="66"/>
        <v>ATIVO0</v>
      </c>
      <c r="X400" s="203" t="str">
        <f t="shared" si="61"/>
        <v>LONDRINA [ETAPA 04 - AREAS EXTERNAS G4 - G8]ATIVO</v>
      </c>
      <c r="Y400" s="203" t="str">
        <f t="shared" si="62"/>
        <v>XIV10GABRIELLA MIDORI UENO MAZETI</v>
      </c>
      <c r="Z400" s="203" t="str">
        <f t="shared" si="67"/>
        <v>XIV10GABRIELLA MIDORI UENO MAZETI</v>
      </c>
      <c r="AA400" s="427" t="s">
        <v>614</v>
      </c>
      <c r="AB400" s="427">
        <v>10</v>
      </c>
      <c r="AC400" s="428" t="s">
        <v>1177</v>
      </c>
      <c r="AD400" s="505">
        <v>113842.93000000001</v>
      </c>
      <c r="AE400" s="432">
        <v>136512.9</v>
      </c>
      <c r="AF400" s="60" t="str">
        <f t="shared" si="68"/>
        <v>GABRIELLA MIDORI UENO MAZETI</v>
      </c>
      <c r="AG400" s="60" t="str">
        <f t="shared" si="69"/>
        <v>OK</v>
      </c>
    </row>
    <row r="401" spans="1:33">
      <c r="A401" s="61" t="str">
        <f t="shared" si="63"/>
        <v>LONDRINA [ETAPA 04 - AREAS EXTERNAS G4 - G8]XIV11</v>
      </c>
      <c r="B401" s="263" t="s">
        <v>612</v>
      </c>
      <c r="C401" s="337" t="s">
        <v>614</v>
      </c>
      <c r="D401" s="166">
        <v>11</v>
      </c>
      <c r="E401" s="197">
        <v>257</v>
      </c>
      <c r="F401" s="166">
        <v>4682</v>
      </c>
      <c r="G401" s="338" t="s">
        <v>1272</v>
      </c>
      <c r="H401" s="40">
        <v>44050</v>
      </c>
      <c r="I401" s="35">
        <v>119380</v>
      </c>
      <c r="J401" s="35" t="str">
        <f>IFERROR(VLOOKUP(CONCATENATE(B401,C401,D401,),Inadimplencia!$A$6:$K$110,6,0),"ATIVO")</f>
        <v>ATIVO</v>
      </c>
      <c r="K401" s="35">
        <f t="shared" si="64"/>
        <v>116722.44</v>
      </c>
      <c r="L401" s="325">
        <f t="shared" si="65"/>
        <v>0.97773864969006541</v>
      </c>
      <c r="M401" s="423" t="str">
        <f t="shared" si="66"/>
        <v>ATIVO0</v>
      </c>
      <c r="X401" s="203" t="str">
        <f t="shared" si="61"/>
        <v>LONDRINA [ETAPA 04 - AREAS EXTERNAS G4 - G8]ATIVO</v>
      </c>
      <c r="Y401" s="203" t="str">
        <f t="shared" si="62"/>
        <v>XIV11BRUNO BARBALHO SILVA</v>
      </c>
      <c r="Z401" s="203" t="str">
        <f t="shared" si="67"/>
        <v>XIV11BRUNO BARBALHO SILVA</v>
      </c>
      <c r="AA401" s="427" t="s">
        <v>614</v>
      </c>
      <c r="AB401" s="427">
        <v>11</v>
      </c>
      <c r="AC401" s="428" t="s">
        <v>1272</v>
      </c>
      <c r="AD401" s="505">
        <v>116722.44</v>
      </c>
      <c r="AE401" s="432">
        <v>133391.69</v>
      </c>
      <c r="AF401" s="60" t="str">
        <f t="shared" si="68"/>
        <v>BRUNO BARBALHO SILVA</v>
      </c>
      <c r="AG401" s="60" t="str">
        <f t="shared" si="69"/>
        <v>OK</v>
      </c>
    </row>
    <row r="402" spans="1:33">
      <c r="A402" s="61" t="str">
        <f t="shared" si="63"/>
        <v>LONDRINA [ETAPA 04 - AREAS EXTERNAS G4 - G8]XIV12</v>
      </c>
      <c r="B402" s="263" t="s">
        <v>612</v>
      </c>
      <c r="C402" s="337" t="s">
        <v>614</v>
      </c>
      <c r="D402" s="73">
        <v>12</v>
      </c>
      <c r="E402" s="315">
        <v>257</v>
      </c>
      <c r="F402" s="166">
        <v>4667</v>
      </c>
      <c r="G402" s="74" t="s">
        <v>442</v>
      </c>
      <c r="H402" s="40">
        <v>44050</v>
      </c>
      <c r="I402" s="35">
        <v>122200</v>
      </c>
      <c r="J402" s="35" t="str">
        <f>IFERROR(VLOOKUP(CONCATENATE(B402,C402,D402,),Inadimplencia!$A$6:$K$110,6,0),"ATIVO")</f>
        <v>ATIVO</v>
      </c>
      <c r="K402" s="35">
        <f t="shared" si="64"/>
        <v>109126.44</v>
      </c>
      <c r="L402" s="325">
        <f t="shared" si="65"/>
        <v>0.89301505728314245</v>
      </c>
      <c r="M402" s="423" t="str">
        <f t="shared" si="66"/>
        <v>ATIVO0</v>
      </c>
      <c r="X402" s="203" t="str">
        <f t="shared" si="61"/>
        <v>LONDRINA [ETAPA 04 - AREAS EXTERNAS G4 - G8]ATIVO</v>
      </c>
      <c r="Y402" s="203" t="str">
        <f t="shared" si="62"/>
        <v>XIV12SIDNEY ROEDA GARDENGUE</v>
      </c>
      <c r="Z402" s="203" t="str">
        <f t="shared" si="67"/>
        <v>XIV12SIDNEY ROEDA GARDENGUE</v>
      </c>
      <c r="AA402" s="427" t="s">
        <v>614</v>
      </c>
      <c r="AB402" s="427">
        <v>12</v>
      </c>
      <c r="AC402" s="428" t="s">
        <v>442</v>
      </c>
      <c r="AD402" s="505">
        <v>109126.44</v>
      </c>
      <c r="AE402" s="432">
        <v>127485.35</v>
      </c>
      <c r="AF402" s="60" t="str">
        <f t="shared" si="68"/>
        <v>SIDNEY ROEDA GARDENGUE</v>
      </c>
      <c r="AG402" s="60" t="str">
        <f t="shared" si="69"/>
        <v>OK</v>
      </c>
    </row>
    <row r="403" spans="1:33">
      <c r="A403" s="61" t="str">
        <f t="shared" si="63"/>
        <v>LONDRINA [ETAPA 04 - AREAS EXTERNAS G4 - G8]XIV14</v>
      </c>
      <c r="B403" s="263" t="s">
        <v>612</v>
      </c>
      <c r="C403" s="337" t="s">
        <v>614</v>
      </c>
      <c r="D403" s="166">
        <v>14</v>
      </c>
      <c r="E403" s="197">
        <v>257</v>
      </c>
      <c r="F403" s="166">
        <v>4676</v>
      </c>
      <c r="G403" s="338" t="s">
        <v>1275</v>
      </c>
      <c r="H403" s="40">
        <v>44055</v>
      </c>
      <c r="I403" s="35">
        <v>117876</v>
      </c>
      <c r="J403" s="35" t="str">
        <f>IFERROR(VLOOKUP(CONCATENATE(B403,C403,D403,),Inadimplencia!$A$6:$K$110,6,0),"ATIVO")</f>
        <v>ATRASO</v>
      </c>
      <c r="K403" s="35">
        <f t="shared" si="64"/>
        <v>118633.65000000001</v>
      </c>
      <c r="L403" s="325">
        <f t="shared" si="65"/>
        <v>1.0064275170518173</v>
      </c>
      <c r="M403" s="423" t="str">
        <f t="shared" si="66"/>
        <v>ATRASO1</v>
      </c>
      <c r="X403" s="203" t="str">
        <f t="shared" si="61"/>
        <v>LONDRINA [ETAPA 04 - AREAS EXTERNAS G4 - G8]ATRASO</v>
      </c>
      <c r="Y403" s="203" t="str">
        <f t="shared" si="62"/>
        <v>XIV14GUSTAVO SHINJI YAMASHIRO SATO</v>
      </c>
      <c r="Z403" s="203" t="str">
        <f t="shared" si="67"/>
        <v>XIV14GUSTAVO SHINJI YAMASHIRO SATO</v>
      </c>
      <c r="AA403" s="427" t="s">
        <v>614</v>
      </c>
      <c r="AB403" s="427">
        <v>14</v>
      </c>
      <c r="AC403" s="428" t="s">
        <v>1275</v>
      </c>
      <c r="AD403" s="505">
        <v>118633.65000000001</v>
      </c>
      <c r="AE403" s="432">
        <v>131969.69</v>
      </c>
      <c r="AF403" s="60" t="str">
        <f t="shared" si="68"/>
        <v>GUSTAVO SHINJI YAMASHIRO SATO</v>
      </c>
      <c r="AG403" s="60" t="str">
        <f t="shared" si="69"/>
        <v>OK</v>
      </c>
    </row>
    <row r="404" spans="1:33">
      <c r="A404" s="61" t="str">
        <f t="shared" si="63"/>
        <v>LONDRINA [ETAPA 04 - AREAS EXTERNAS G4 - G8]XIV15</v>
      </c>
      <c r="B404" s="263" t="s">
        <v>612</v>
      </c>
      <c r="C404" s="337" t="s">
        <v>614</v>
      </c>
      <c r="D404" s="73">
        <v>15</v>
      </c>
      <c r="E404" s="315">
        <v>257</v>
      </c>
      <c r="F404" s="166">
        <v>4784</v>
      </c>
      <c r="G404" s="74" t="s">
        <v>1324</v>
      </c>
      <c r="H404" s="40">
        <v>44098</v>
      </c>
      <c r="I404" s="35">
        <v>124080</v>
      </c>
      <c r="J404" s="35" t="str">
        <f>IFERROR(VLOOKUP(CONCATENATE(B404,C404,D404,),Inadimplencia!$A$6:$K$110,6,0),"ATIVO")</f>
        <v>ATIVO</v>
      </c>
      <c r="K404" s="35">
        <f t="shared" si="64"/>
        <v>119394.24000000001</v>
      </c>
      <c r="L404" s="325">
        <f t="shared" si="65"/>
        <v>0.96223597678916828</v>
      </c>
      <c r="M404" s="423" t="str">
        <f t="shared" si="66"/>
        <v>ATIVO0</v>
      </c>
      <c r="X404" s="203" t="str">
        <f t="shared" si="61"/>
        <v>LONDRINA [ETAPA 04 - AREAS EXTERNAS G4 - G8]ATIVO</v>
      </c>
      <c r="Y404" s="203" t="str">
        <f t="shared" si="62"/>
        <v>XIV15MARCELO HENRIQUE PELEGRINI ROCHA</v>
      </c>
      <c r="Z404" s="203" t="str">
        <f t="shared" si="67"/>
        <v>XIV15MARCELO HENRIQUE PELEGRINI ROCHA</v>
      </c>
      <c r="AA404" s="427" t="s">
        <v>614</v>
      </c>
      <c r="AB404" s="427">
        <v>15</v>
      </c>
      <c r="AC404" s="428" t="s">
        <v>1324</v>
      </c>
      <c r="AD404" s="505">
        <v>119394.24000000001</v>
      </c>
      <c r="AE404" s="432">
        <v>136972.76999999999</v>
      </c>
      <c r="AF404" s="60" t="str">
        <f t="shared" si="68"/>
        <v>MARCELO HENRIQUE PELEGRINI ROCHA</v>
      </c>
      <c r="AG404" s="60" t="str">
        <f t="shared" si="69"/>
        <v>OK</v>
      </c>
    </row>
    <row r="405" spans="1:33">
      <c r="A405" s="61" t="str">
        <f t="shared" si="63"/>
        <v>LONDRINA [ETAPA 04 - AREAS EXTERNAS G4 - G8]XIV16</v>
      </c>
      <c r="B405" s="263" t="s">
        <v>612</v>
      </c>
      <c r="C405" s="337" t="s">
        <v>614</v>
      </c>
      <c r="D405" s="166">
        <v>16</v>
      </c>
      <c r="E405" s="197">
        <v>257</v>
      </c>
      <c r="F405" s="166">
        <v>7135</v>
      </c>
      <c r="G405" s="338" t="s">
        <v>952</v>
      </c>
      <c r="H405" s="40">
        <v>43577</v>
      </c>
      <c r="I405" s="35">
        <v>111971.39</v>
      </c>
      <c r="J405" s="35" t="str">
        <f>IFERROR(VLOOKUP(CONCATENATE(B405,C405,D405,),Inadimplencia!$A$6:$K$110,6,0),"ATIVO")</f>
        <v>ATIVO</v>
      </c>
      <c r="K405" s="35">
        <f t="shared" si="64"/>
        <v>92299.66</v>
      </c>
      <c r="L405" s="325">
        <f t="shared" si="65"/>
        <v>0.82431467538270276</v>
      </c>
      <c r="M405" s="423" t="str">
        <f t="shared" si="66"/>
        <v>ATIVO0</v>
      </c>
      <c r="X405" s="203" t="str">
        <f t="shared" si="61"/>
        <v>LONDRINA [ETAPA 04 - AREAS EXTERNAS G4 - G8]ATIVO</v>
      </c>
      <c r="Y405" s="203" t="str">
        <f t="shared" si="62"/>
        <v>XIV16NILTON CESAR GONCALVES CAMARGO</v>
      </c>
      <c r="Z405" s="203" t="str">
        <f t="shared" si="67"/>
        <v>XIV16NILTON CESAR GONCALVES CAMARGO</v>
      </c>
      <c r="AA405" s="427" t="s">
        <v>614</v>
      </c>
      <c r="AB405" s="427">
        <v>16</v>
      </c>
      <c r="AC405" s="428" t="s">
        <v>952</v>
      </c>
      <c r="AD405" s="505">
        <v>92299.66</v>
      </c>
      <c r="AE405" s="432">
        <v>140868.95000000001</v>
      </c>
      <c r="AF405" s="60" t="str">
        <f t="shared" si="68"/>
        <v>NILTON CESAR GONCALVES CAMARGO</v>
      </c>
      <c r="AG405" s="60" t="str">
        <f t="shared" si="69"/>
        <v>OK</v>
      </c>
    </row>
    <row r="406" spans="1:33">
      <c r="A406" s="61" t="str">
        <f t="shared" si="63"/>
        <v>LONDRINA [ETAPA 04 - AREAS EXTERNAS G4 - G8]XIV17</v>
      </c>
      <c r="B406" s="263" t="s">
        <v>612</v>
      </c>
      <c r="C406" s="337" t="s">
        <v>614</v>
      </c>
      <c r="D406" s="73">
        <v>17</v>
      </c>
      <c r="E406" s="315">
        <v>257</v>
      </c>
      <c r="F406" s="166">
        <v>4311</v>
      </c>
      <c r="G406" s="74" t="s">
        <v>1177</v>
      </c>
      <c r="H406" s="40">
        <v>43983</v>
      </c>
      <c r="I406" s="35">
        <v>124080</v>
      </c>
      <c r="J406" s="35" t="str">
        <f>IFERROR(VLOOKUP(CONCATENATE(B406,C406,D406,),Inadimplencia!$A$6:$K$110,6,0),"ATIVO")</f>
        <v>ATIVO</v>
      </c>
      <c r="K406" s="35">
        <f t="shared" si="64"/>
        <v>72905.070000000007</v>
      </c>
      <c r="L406" s="325">
        <f t="shared" si="65"/>
        <v>0.58756503868471954</v>
      </c>
      <c r="M406" s="423" t="str">
        <f t="shared" si="66"/>
        <v>ATIVO0</v>
      </c>
      <c r="X406" s="203" t="str">
        <f t="shared" si="61"/>
        <v>LONDRINA [ETAPA 04 - AREAS EXTERNAS G4 - G8]ATIVO</v>
      </c>
      <c r="Y406" s="203" t="str">
        <f t="shared" si="62"/>
        <v>XIV17GABRIELLA MIDORI UENO MAZETI</v>
      </c>
      <c r="Z406" s="203" t="str">
        <f t="shared" si="67"/>
        <v>XIV17GABRIELLA MIDORI UENO MAZETI</v>
      </c>
      <c r="AA406" s="427" t="s">
        <v>614</v>
      </c>
      <c r="AB406" s="427">
        <v>17</v>
      </c>
      <c r="AC406" s="428" t="s">
        <v>1177</v>
      </c>
      <c r="AD406" s="505">
        <v>72905.070000000007</v>
      </c>
      <c r="AE406" s="432">
        <v>127942.49</v>
      </c>
      <c r="AF406" s="60" t="str">
        <f t="shared" si="68"/>
        <v>GABRIELLA MIDORI UENO MAZETI</v>
      </c>
      <c r="AG406" s="60" t="str">
        <f t="shared" si="69"/>
        <v>OK</v>
      </c>
    </row>
    <row r="407" spans="1:33">
      <c r="A407" s="61" t="str">
        <f t="shared" si="63"/>
        <v>LONDRINA [ETAPA 04 - AREAS EXTERNAS G4 - G8]XIV18</v>
      </c>
      <c r="B407" s="263" t="s">
        <v>612</v>
      </c>
      <c r="C407" s="337" t="s">
        <v>614</v>
      </c>
      <c r="D407" s="166">
        <v>18</v>
      </c>
      <c r="E407" s="197">
        <v>257</v>
      </c>
      <c r="F407" s="166">
        <v>7102</v>
      </c>
      <c r="G407" s="338" t="s">
        <v>953</v>
      </c>
      <c r="H407" s="40">
        <v>43563</v>
      </c>
      <c r="I407" s="35">
        <v>99530.91</v>
      </c>
      <c r="J407" s="35" t="str">
        <f>IFERROR(VLOOKUP(CONCATENATE(B407,C407,D407,),Inadimplencia!$A$6:$K$110,6,0),"ATIVO")</f>
        <v>INADIMPLENTE</v>
      </c>
      <c r="K407" s="35">
        <f t="shared" si="64"/>
        <v>103273.86</v>
      </c>
      <c r="L407" s="325">
        <f t="shared" si="65"/>
        <v>1.0376059055423084</v>
      </c>
      <c r="M407" s="423" t="str">
        <f t="shared" si="66"/>
        <v>INADIMPLENTE1</v>
      </c>
      <c r="X407" s="203" t="str">
        <f t="shared" si="61"/>
        <v>LONDRINA [ETAPA 04 - AREAS EXTERNAS G4 - G8]INADIMPLENTE</v>
      </c>
      <c r="Y407" s="203" t="str">
        <f t="shared" si="62"/>
        <v>XIV18APARECIDO FRANCESCHINI</v>
      </c>
      <c r="Z407" s="203" t="str">
        <f t="shared" si="67"/>
        <v>XIV18APARECIDO FRANCESCHINI</v>
      </c>
      <c r="AA407" s="430" t="s">
        <v>614</v>
      </c>
      <c r="AB407" s="427">
        <v>18</v>
      </c>
      <c r="AC407" s="428" t="s">
        <v>953</v>
      </c>
      <c r="AD407" s="505">
        <v>103273.86</v>
      </c>
      <c r="AE407" s="432">
        <v>127728.69</v>
      </c>
      <c r="AF407" s="60" t="str">
        <f t="shared" si="68"/>
        <v>APARECIDO FRANCESCHINI</v>
      </c>
      <c r="AG407" s="60" t="str">
        <f t="shared" si="69"/>
        <v>OK</v>
      </c>
    </row>
    <row r="408" spans="1:33">
      <c r="A408" s="61" t="str">
        <f t="shared" si="63"/>
        <v>LONDRINA [ETAPA 04 - AREAS EXTERNAS G4 - G8]XIV19</v>
      </c>
      <c r="B408" s="263" t="s">
        <v>612</v>
      </c>
      <c r="C408" s="337" t="s">
        <v>614</v>
      </c>
      <c r="D408" s="73">
        <v>19</v>
      </c>
      <c r="E408" s="315">
        <v>257</v>
      </c>
      <c r="F408" s="166">
        <v>7243</v>
      </c>
      <c r="G408" s="74" t="s">
        <v>976</v>
      </c>
      <c r="H408" s="40">
        <v>43595</v>
      </c>
      <c r="I408" s="35">
        <v>99531.16</v>
      </c>
      <c r="J408" s="35" t="str">
        <f>IFERROR(VLOOKUP(CONCATENATE(B408,C408,D408,),Inadimplencia!$A$6:$K$110,6,0),"ATIVO")</f>
        <v>ATIVO</v>
      </c>
      <c r="K408" s="35">
        <f t="shared" si="64"/>
        <v>105537.17</v>
      </c>
      <c r="L408" s="325">
        <f t="shared" si="65"/>
        <v>1.0603430121782966</v>
      </c>
      <c r="M408" s="423" t="str">
        <f t="shared" si="66"/>
        <v>ATIVO1</v>
      </c>
      <c r="X408" s="203" t="str">
        <f t="shared" si="61"/>
        <v>LONDRINA [ETAPA 04 - AREAS EXTERNAS G4 - G8]ATIVO</v>
      </c>
      <c r="Y408" s="203" t="str">
        <f t="shared" si="62"/>
        <v>XIV19WILSON LOPES DE SOUSA JUNIOR</v>
      </c>
      <c r="Z408" s="203" t="str">
        <f t="shared" si="67"/>
        <v>XIV19WILSON LOPES DE SOUSA JUNIOR</v>
      </c>
      <c r="AA408" s="430" t="s">
        <v>614</v>
      </c>
      <c r="AB408" s="427">
        <v>19</v>
      </c>
      <c r="AC408" s="429" t="s">
        <v>976</v>
      </c>
      <c r="AD408" s="505">
        <v>105537.17</v>
      </c>
      <c r="AE408" s="432">
        <v>128606.92</v>
      </c>
      <c r="AF408" s="60" t="str">
        <f t="shared" si="68"/>
        <v>WILSON LOPES DE SOUSA JUNIOR</v>
      </c>
      <c r="AG408" s="60" t="str">
        <f t="shared" si="69"/>
        <v>OK</v>
      </c>
    </row>
    <row r="409" spans="1:33">
      <c r="A409" s="61" t="str">
        <f t="shared" si="63"/>
        <v>LONDRINA [ETAPA 04 - AREAS EXTERNAS G4 - G8]XIV20</v>
      </c>
      <c r="B409" s="263" t="s">
        <v>612</v>
      </c>
      <c r="C409" s="337" t="s">
        <v>614</v>
      </c>
      <c r="D409" s="166">
        <v>20</v>
      </c>
      <c r="E409" s="197">
        <v>257</v>
      </c>
      <c r="F409" s="166">
        <v>6814</v>
      </c>
      <c r="G409" s="338" t="s">
        <v>909</v>
      </c>
      <c r="H409" s="40">
        <v>43455</v>
      </c>
      <c r="I409" s="35">
        <v>94000</v>
      </c>
      <c r="J409" s="35" t="str">
        <f>IFERROR(VLOOKUP(CONCATENATE(B409,C409,D409,),Inadimplencia!$A$6:$K$110,6,0),"ATIVO")</f>
        <v>ATIVO</v>
      </c>
      <c r="K409" s="35">
        <f t="shared" si="64"/>
        <v>13320.48</v>
      </c>
      <c r="L409" s="325">
        <f t="shared" si="65"/>
        <v>0.1417072340425532</v>
      </c>
      <c r="M409" s="423" t="str">
        <f t="shared" si="66"/>
        <v>ATIVO0</v>
      </c>
      <c r="X409" s="203" t="str">
        <f t="shared" si="61"/>
        <v>LONDRINA [ETAPA 04 - AREAS EXTERNAS G4 - G8]ATIVO</v>
      </c>
      <c r="Y409" s="203" t="str">
        <f t="shared" si="62"/>
        <v>XIV20MARCOS JOSE DE MOURA</v>
      </c>
      <c r="Z409" s="203" t="str">
        <f t="shared" si="67"/>
        <v>XIV20MARCOS JOSE DE MOURA</v>
      </c>
      <c r="AA409" s="430" t="s">
        <v>614</v>
      </c>
      <c r="AB409" s="427">
        <v>20</v>
      </c>
      <c r="AC409" s="428" t="s">
        <v>909</v>
      </c>
      <c r="AD409" s="505">
        <v>13320.48</v>
      </c>
      <c r="AE409" s="432">
        <v>95744.35</v>
      </c>
      <c r="AF409" s="60" t="str">
        <f t="shared" si="68"/>
        <v>MARCOS JOSE DE MOURA</v>
      </c>
      <c r="AG409" s="60" t="str">
        <f t="shared" si="69"/>
        <v>OK</v>
      </c>
    </row>
    <row r="410" spans="1:33">
      <c r="A410" s="61" t="str">
        <f t="shared" si="63"/>
        <v>LONDRINA [ETAPA 04 - AREAS EXTERNAS G4 - G8]XIV21</v>
      </c>
      <c r="B410" s="263" t="s">
        <v>612</v>
      </c>
      <c r="C410" s="337" t="s">
        <v>614</v>
      </c>
      <c r="D410" s="73">
        <v>21</v>
      </c>
      <c r="E410" s="315">
        <v>257</v>
      </c>
      <c r="F410" s="166">
        <v>6808</v>
      </c>
      <c r="G410" s="74" t="s">
        <v>909</v>
      </c>
      <c r="H410" s="40">
        <v>43455</v>
      </c>
      <c r="I410" s="35">
        <v>94000</v>
      </c>
      <c r="J410" s="35" t="str">
        <f>IFERROR(VLOOKUP(CONCATENATE(B410,C410,D410,),Inadimplencia!$A$6:$K$110,6,0),"ATIVO")</f>
        <v>ATIVO</v>
      </c>
      <c r="K410" s="35">
        <f t="shared" si="64"/>
        <v>13320.48</v>
      </c>
      <c r="L410" s="325">
        <f t="shared" si="65"/>
        <v>0.1417072340425532</v>
      </c>
      <c r="M410" s="423" t="str">
        <f t="shared" si="66"/>
        <v>ATIVO0</v>
      </c>
      <c r="X410" s="203" t="str">
        <f t="shared" si="61"/>
        <v>LONDRINA [ETAPA 04 - AREAS EXTERNAS G4 - G8]ATIVO</v>
      </c>
      <c r="Y410" s="203" t="str">
        <f t="shared" si="62"/>
        <v>XIV21MARCOS JOSE DE MOURA</v>
      </c>
      <c r="Z410" s="203" t="str">
        <f t="shared" si="67"/>
        <v>XIV21MARCOS JOSE DE MOURA</v>
      </c>
      <c r="AA410" s="430" t="s">
        <v>614</v>
      </c>
      <c r="AB410" s="427">
        <v>21</v>
      </c>
      <c r="AC410" s="428" t="s">
        <v>909</v>
      </c>
      <c r="AD410" s="505">
        <v>13320.48</v>
      </c>
      <c r="AE410" s="432">
        <v>95745.14</v>
      </c>
      <c r="AF410" s="60" t="str">
        <f t="shared" si="68"/>
        <v>MARCOS JOSE DE MOURA</v>
      </c>
      <c r="AG410" s="60" t="str">
        <f t="shared" si="69"/>
        <v>OK</v>
      </c>
    </row>
    <row r="411" spans="1:33">
      <c r="A411" s="61" t="str">
        <f t="shared" si="63"/>
        <v>LONDRINA [ETAPA 04 - AREAS EXTERNAS G4 - G8]XIV22</v>
      </c>
      <c r="B411" s="263" t="s">
        <v>612</v>
      </c>
      <c r="C411" s="337" t="s">
        <v>614</v>
      </c>
      <c r="D411" s="166">
        <v>22</v>
      </c>
      <c r="E411" s="197">
        <v>257</v>
      </c>
      <c r="F411" s="166">
        <v>6834</v>
      </c>
      <c r="G411" s="338" t="s">
        <v>906</v>
      </c>
      <c r="H411" s="40">
        <v>43479</v>
      </c>
      <c r="I411" s="35">
        <v>96632</v>
      </c>
      <c r="J411" s="35" t="str">
        <f>IFERROR(VLOOKUP(CONCATENATE(B411,C411,D411,),Inadimplencia!$A$6:$K$110,6,0),"ATIVO")</f>
        <v>ATIVO</v>
      </c>
      <c r="K411" s="35">
        <f t="shared" si="64"/>
        <v>63823.99</v>
      </c>
      <c r="L411" s="325">
        <f t="shared" si="65"/>
        <v>0.66048503601291497</v>
      </c>
      <c r="M411" s="423" t="str">
        <f t="shared" si="66"/>
        <v>ATIVO0</v>
      </c>
      <c r="X411" s="203" t="str">
        <f t="shared" si="61"/>
        <v>LONDRINA [ETAPA 04 - AREAS EXTERNAS G4 - G8]ATIVO</v>
      </c>
      <c r="Y411" s="203" t="str">
        <f t="shared" si="62"/>
        <v>XIV22JOAO BATISTA DA SILVA JUNIOR</v>
      </c>
      <c r="Z411" s="203" t="str">
        <f t="shared" si="67"/>
        <v>XIV22JOAO BATISTA DA SILVA JUNIOR</v>
      </c>
      <c r="AA411" s="430" t="s">
        <v>614</v>
      </c>
      <c r="AB411" s="427">
        <v>22</v>
      </c>
      <c r="AC411" s="428" t="s">
        <v>906</v>
      </c>
      <c r="AD411" s="505">
        <v>63823.99</v>
      </c>
      <c r="AE411" s="432">
        <v>125903.65000000001</v>
      </c>
      <c r="AF411" s="60" t="str">
        <f t="shared" si="68"/>
        <v>JOAO BATISTA DA SILVA JUNIOR</v>
      </c>
      <c r="AG411" s="60" t="str">
        <f t="shared" si="69"/>
        <v>OK</v>
      </c>
    </row>
    <row r="412" spans="1:33">
      <c r="A412" s="61" t="str">
        <f t="shared" si="63"/>
        <v>LONDRINA [ETAPA 04 - AREAS EXTERNAS G4 - G8]XIV23</v>
      </c>
      <c r="B412" s="263" t="s">
        <v>612</v>
      </c>
      <c r="C412" s="337" t="s">
        <v>614</v>
      </c>
      <c r="D412" s="73">
        <v>23</v>
      </c>
      <c r="E412" s="315">
        <v>261.19</v>
      </c>
      <c r="F412" s="166">
        <v>3230</v>
      </c>
      <c r="G412" s="74" t="s">
        <v>1111</v>
      </c>
      <c r="H412" s="40">
        <v>43773</v>
      </c>
      <c r="I412" s="35">
        <v>101153.4</v>
      </c>
      <c r="J412" s="35" t="str">
        <f>IFERROR(VLOOKUP(CONCATENATE(B412,C412,D412,),Inadimplencia!$A$6:$K$110,6,0),"ATIVO")</f>
        <v>ATIVO</v>
      </c>
      <c r="K412" s="35">
        <f t="shared" si="64"/>
        <v>84909.55</v>
      </c>
      <c r="L412" s="325">
        <f t="shared" si="65"/>
        <v>0.83941370235701429</v>
      </c>
      <c r="M412" s="423" t="str">
        <f t="shared" si="66"/>
        <v>ATIVO0</v>
      </c>
      <c r="X412" s="203" t="str">
        <f t="shared" si="61"/>
        <v>LONDRINA [ETAPA 04 - AREAS EXTERNAS G4 - G8]ATIVO</v>
      </c>
      <c r="Y412" s="203" t="str">
        <f t="shared" si="62"/>
        <v>XIV23PATRICIA DE PAULA PADILHA</v>
      </c>
      <c r="Z412" s="203" t="str">
        <f t="shared" si="67"/>
        <v>XIV23PATRICIA DE PAULA PADILHA</v>
      </c>
      <c r="AA412" s="427" t="s">
        <v>614</v>
      </c>
      <c r="AB412" s="427">
        <v>23</v>
      </c>
      <c r="AC412" s="428" t="s">
        <v>1111</v>
      </c>
      <c r="AD412" s="505">
        <v>84909.55</v>
      </c>
      <c r="AE412" s="432">
        <v>121925.29000000001</v>
      </c>
      <c r="AF412" s="60" t="str">
        <f t="shared" si="68"/>
        <v>PATRICIA DE PAULA PADILHA</v>
      </c>
      <c r="AG412" s="60" t="str">
        <f t="shared" si="69"/>
        <v>OK</v>
      </c>
    </row>
    <row r="413" spans="1:33">
      <c r="A413" s="61" t="str">
        <f t="shared" si="63"/>
        <v>LONDRINA [ETAPA 04 - AREAS EXTERNAS G4 - G8]XIV24</v>
      </c>
      <c r="B413" s="263" t="s">
        <v>612</v>
      </c>
      <c r="C413" s="337" t="s">
        <v>614</v>
      </c>
      <c r="D413" s="166">
        <v>24</v>
      </c>
      <c r="E413" s="197">
        <v>254.95</v>
      </c>
      <c r="F413" s="166">
        <v>6777</v>
      </c>
      <c r="G413" s="338" t="s">
        <v>880</v>
      </c>
      <c r="H413" s="40">
        <v>43439</v>
      </c>
      <c r="I413" s="35">
        <v>91068.14</v>
      </c>
      <c r="J413" s="35" t="str">
        <f>IFERROR(VLOOKUP(CONCATENATE(B413,C413,D413,),Inadimplencia!$A$6:$K$110,6,0),"ATIVO")</f>
        <v>ATIVO</v>
      </c>
      <c r="K413" s="35">
        <f t="shared" si="64"/>
        <v>62634.25</v>
      </c>
      <c r="L413" s="325">
        <f t="shared" si="65"/>
        <v>0.68777346281586516</v>
      </c>
      <c r="M413" s="423" t="str">
        <f t="shared" si="66"/>
        <v>ATIVO0</v>
      </c>
      <c r="X413" s="203" t="str">
        <f t="shared" si="61"/>
        <v>LONDRINA [ETAPA 04 - AREAS EXTERNAS G4 - G8]ATIVO</v>
      </c>
      <c r="Y413" s="203" t="str">
        <f t="shared" si="62"/>
        <v>XIV24WASHINGTON DE OLIVEIRA DRUMOND</v>
      </c>
      <c r="Z413" s="203" t="str">
        <f t="shared" si="67"/>
        <v>XIV24WASHINGTON DE OLIVEIRA DRUMOND</v>
      </c>
      <c r="AA413" s="427" t="s">
        <v>614</v>
      </c>
      <c r="AB413" s="427">
        <v>24</v>
      </c>
      <c r="AC413" s="428" t="s">
        <v>880</v>
      </c>
      <c r="AD413" s="505">
        <v>62634.25</v>
      </c>
      <c r="AE413" s="432">
        <v>118229.36</v>
      </c>
      <c r="AF413" s="60" t="str">
        <f t="shared" si="68"/>
        <v>WASHINGTON DE OLIVEIRA DRUMOND</v>
      </c>
      <c r="AG413" s="60" t="str">
        <f t="shared" si="69"/>
        <v>OK</v>
      </c>
    </row>
    <row r="414" spans="1:33">
      <c r="A414" s="61" t="str">
        <f t="shared" si="63"/>
        <v>LONDRINA [ETAPA 04 - AREAS EXTERNAS G4 - G8]XIV25</v>
      </c>
      <c r="B414" s="263" t="s">
        <v>612</v>
      </c>
      <c r="C414" s="337" t="s">
        <v>614</v>
      </c>
      <c r="D414" s="73">
        <v>25</v>
      </c>
      <c r="E414" s="315">
        <v>254.95</v>
      </c>
      <c r="F414" s="166">
        <v>3135</v>
      </c>
      <c r="G414" s="74" t="s">
        <v>1074</v>
      </c>
      <c r="H414" s="40">
        <v>43760</v>
      </c>
      <c r="I414" s="35">
        <v>93800.35</v>
      </c>
      <c r="J414" s="35" t="str">
        <f>IFERROR(VLOOKUP(CONCATENATE(B414,C414,D414,),Inadimplencia!$A$6:$K$110,6,0),"ATIVO")</f>
        <v>ATIVO</v>
      </c>
      <c r="K414" s="35">
        <f t="shared" si="64"/>
        <v>93872.69</v>
      </c>
      <c r="L414" s="325">
        <f t="shared" si="65"/>
        <v>1.0007712124741539</v>
      </c>
      <c r="M414" s="423" t="str">
        <f t="shared" si="66"/>
        <v>ATIVO1</v>
      </c>
      <c r="X414" s="203" t="str">
        <f t="shared" si="61"/>
        <v>LONDRINA [ETAPA 04 - AREAS EXTERNAS G4 - G8]ATIVO</v>
      </c>
      <c r="Y414" s="203" t="str">
        <f t="shared" si="62"/>
        <v>XIV25EMERSON SOUZA DE ALMEIDA</v>
      </c>
      <c r="Z414" s="203" t="str">
        <f t="shared" si="67"/>
        <v>XIV25EMERSON SOUZA DE ALMEIDA</v>
      </c>
      <c r="AA414" s="427" t="s">
        <v>614</v>
      </c>
      <c r="AB414" s="427">
        <v>25</v>
      </c>
      <c r="AC414" s="428" t="s">
        <v>1074</v>
      </c>
      <c r="AD414" s="505">
        <v>93872.69</v>
      </c>
      <c r="AE414" s="432">
        <v>115481.86</v>
      </c>
      <c r="AF414" s="60" t="str">
        <f t="shared" si="68"/>
        <v>EMERSON SOUZA DE ALMEIDA</v>
      </c>
      <c r="AG414" s="60" t="str">
        <f t="shared" si="69"/>
        <v>OK</v>
      </c>
    </row>
    <row r="415" spans="1:33">
      <c r="A415" s="61" t="str">
        <f t="shared" si="63"/>
        <v>LONDRINA [ETAPA 04 - AREAS EXTERNAS G4 - G8]XIV26</v>
      </c>
      <c r="B415" s="263" t="s">
        <v>612</v>
      </c>
      <c r="C415" s="337" t="s">
        <v>614</v>
      </c>
      <c r="D415" s="73">
        <v>26</v>
      </c>
      <c r="E415" s="315">
        <v>532.03</v>
      </c>
      <c r="F415" s="166">
        <v>3101</v>
      </c>
      <c r="G415" s="74" t="s">
        <v>1062</v>
      </c>
      <c r="H415" s="40">
        <v>43728</v>
      </c>
      <c r="I415" s="35">
        <v>195802</v>
      </c>
      <c r="J415" s="35" t="str">
        <f>IFERROR(VLOOKUP(CONCATENATE(B415,C415,D415,),Inadimplencia!$A$6:$K$110,6,0),"ATIVO")</f>
        <v>ATIVO</v>
      </c>
      <c r="K415" s="35">
        <f t="shared" si="64"/>
        <v>174693.88</v>
      </c>
      <c r="L415" s="325">
        <f t="shared" si="65"/>
        <v>0.89219660677623314</v>
      </c>
      <c r="M415" s="423" t="str">
        <f t="shared" si="66"/>
        <v>ATIVO0</v>
      </c>
      <c r="X415" s="203" t="str">
        <f t="shared" si="61"/>
        <v>LONDRINA [ETAPA 04 - AREAS EXTERNAS G4 - G8]ATIVO</v>
      </c>
      <c r="Y415" s="203" t="str">
        <f t="shared" si="62"/>
        <v>XIV26ANDERSON FRANCO GIL</v>
      </c>
      <c r="Z415" s="203" t="str">
        <f t="shared" si="67"/>
        <v>XIV26ANDERSON FRANCO GIL</v>
      </c>
      <c r="AA415" s="427" t="s">
        <v>614</v>
      </c>
      <c r="AB415" s="427">
        <v>26</v>
      </c>
      <c r="AC415" s="428" t="s">
        <v>1062</v>
      </c>
      <c r="AD415" s="505">
        <v>174693.88</v>
      </c>
      <c r="AE415" s="432">
        <v>239213.93</v>
      </c>
      <c r="AF415" s="60" t="str">
        <f t="shared" si="68"/>
        <v>ANDERSON FRANCO GIL</v>
      </c>
      <c r="AG415" s="60" t="str">
        <f t="shared" si="69"/>
        <v>OK</v>
      </c>
    </row>
    <row r="416" spans="1:33">
      <c r="A416" s="61" t="str">
        <f t="shared" si="63"/>
        <v>LONDRINA [ETAPA 04 - AREAS EXTERNAS G4 - G8]XVII2</v>
      </c>
      <c r="B416" s="263" t="s">
        <v>612</v>
      </c>
      <c r="C416" s="337" t="s">
        <v>615</v>
      </c>
      <c r="D416" s="166">
        <v>2</v>
      </c>
      <c r="E416" s="197">
        <v>265.01</v>
      </c>
      <c r="F416" s="166">
        <v>3227</v>
      </c>
      <c r="G416" s="338" t="s">
        <v>88</v>
      </c>
      <c r="H416" s="40">
        <v>43774</v>
      </c>
      <c r="I416" s="35">
        <v>89300</v>
      </c>
      <c r="J416" s="35" t="str">
        <f>IFERROR(VLOOKUP(CONCATENATE(B416,C416,D416,),Inadimplencia!$A$6:$K$110,6,0),"ATIVO")</f>
        <v>ATIVO</v>
      </c>
      <c r="K416" s="35">
        <f t="shared" si="64"/>
        <v>76148.69</v>
      </c>
      <c r="L416" s="325">
        <f t="shared" si="65"/>
        <v>0.85272889137737962</v>
      </c>
      <c r="M416" s="423" t="str">
        <f t="shared" si="66"/>
        <v>ATIVO0</v>
      </c>
      <c r="X416" s="203" t="str">
        <f t="shared" si="61"/>
        <v>LONDRINA [ETAPA 04 - AREAS EXTERNAS G4 - G8]ATIVO</v>
      </c>
      <c r="Y416" s="203" t="str">
        <f t="shared" si="62"/>
        <v>XVII2BRUNO FERREIRA DA SILVA</v>
      </c>
      <c r="Z416" s="203" t="str">
        <f t="shared" si="67"/>
        <v>XVII2BRUNO FERREIRA DA SILVA</v>
      </c>
      <c r="AA416" s="427" t="s">
        <v>615</v>
      </c>
      <c r="AB416" s="427">
        <v>2</v>
      </c>
      <c r="AC416" s="428" t="s">
        <v>88</v>
      </c>
      <c r="AD416" s="505">
        <v>76148.69</v>
      </c>
      <c r="AE416" s="431">
        <v>108390.3</v>
      </c>
      <c r="AF416" s="60" t="str">
        <f t="shared" si="68"/>
        <v>BRUNO FERREIRA DA SILVA</v>
      </c>
      <c r="AG416" s="60" t="str">
        <f t="shared" si="69"/>
        <v>OK</v>
      </c>
    </row>
    <row r="417" spans="1:33">
      <c r="A417" s="61" t="str">
        <f t="shared" si="63"/>
        <v>LONDRINA [ETAPA 04 - AREAS EXTERNAS G4 - G8]XVII4</v>
      </c>
      <c r="B417" s="263" t="s">
        <v>612</v>
      </c>
      <c r="C417" s="337" t="s">
        <v>615</v>
      </c>
      <c r="D417" s="73">
        <v>4</v>
      </c>
      <c r="E417" s="315">
        <v>265.01</v>
      </c>
      <c r="F417" s="166">
        <v>5093</v>
      </c>
      <c r="G417" s="74" t="s">
        <v>1504</v>
      </c>
      <c r="H417" s="40">
        <v>44256</v>
      </c>
      <c r="I417" s="35">
        <v>117453</v>
      </c>
      <c r="J417" s="35" t="str">
        <f>IFERROR(VLOOKUP(CONCATENATE(B417,C417,D417,),Inadimplencia!$A$6:$K$110,6,0),"ATIVO")</f>
        <v>ATIVO</v>
      </c>
      <c r="K417" s="35">
        <f t="shared" si="64"/>
        <v>113509.14</v>
      </c>
      <c r="L417" s="325">
        <f t="shared" si="65"/>
        <v>0.96642180276365863</v>
      </c>
      <c r="M417" s="423" t="str">
        <f t="shared" si="66"/>
        <v>ATIVO0</v>
      </c>
      <c r="X417" s="203" t="str">
        <f t="shared" si="61"/>
        <v>LONDRINA [ETAPA 04 - AREAS EXTERNAS G4 - G8]ATIVO</v>
      </c>
      <c r="Y417" s="203" t="str">
        <f t="shared" si="62"/>
        <v>XVII4IZABELA DE OLIVEIRA AMERICO</v>
      </c>
      <c r="Z417" s="203" t="str">
        <f t="shared" si="67"/>
        <v>XVII4IZABELA DE OLIVEIRA AMERICO</v>
      </c>
      <c r="AA417" s="427" t="s">
        <v>615</v>
      </c>
      <c r="AB417" s="427">
        <v>4</v>
      </c>
      <c r="AC417" s="428" t="s">
        <v>1504</v>
      </c>
      <c r="AD417" s="505">
        <v>113509.14</v>
      </c>
      <c r="AE417" s="431">
        <v>118507.14</v>
      </c>
      <c r="AF417" s="60" t="str">
        <f t="shared" si="68"/>
        <v>IZABELA DE OLIVEIRA AMERICO</v>
      </c>
      <c r="AG417" s="60" t="str">
        <f t="shared" si="69"/>
        <v>OK</v>
      </c>
    </row>
    <row r="418" spans="1:33">
      <c r="A418" s="61" t="str">
        <f t="shared" si="63"/>
        <v>LONDRINA [ETAPA 04 - AREAS EXTERNAS G4 - G8]XVII11</v>
      </c>
      <c r="B418" s="263" t="s">
        <v>612</v>
      </c>
      <c r="C418" s="337" t="s">
        <v>615</v>
      </c>
      <c r="D418" s="166">
        <v>11</v>
      </c>
      <c r="E418" s="197">
        <v>265.01</v>
      </c>
      <c r="F418" s="166"/>
      <c r="G418" s="338" t="s">
        <v>931</v>
      </c>
      <c r="H418" s="40">
        <v>43514</v>
      </c>
      <c r="I418" s="35">
        <v>76916.350000000006</v>
      </c>
      <c r="J418" s="35" t="str">
        <f>IFERROR(VLOOKUP(CONCATENATE(B418,C418,D418,),Inadimplencia!$A$6:$K$110,6,0),"ATIVO")</f>
        <v>ATRASO</v>
      </c>
      <c r="K418" s="35">
        <f t="shared" si="64"/>
        <v>67340.36</v>
      </c>
      <c r="L418" s="325">
        <f t="shared" si="65"/>
        <v>0.87550124258366391</v>
      </c>
      <c r="M418" s="423" t="str">
        <f t="shared" si="66"/>
        <v>ATRASO0</v>
      </c>
      <c r="X418" s="203" t="str">
        <f t="shared" si="61"/>
        <v>LONDRINA [ETAPA 04 - AREAS EXTERNAS G4 - G8]ATRASO</v>
      </c>
      <c r="Y418" s="203" t="str">
        <f t="shared" si="62"/>
        <v>XVII11GUILHERME ROCHA HIDALGO MORENO</v>
      </c>
      <c r="Z418" s="203" t="str">
        <f t="shared" si="67"/>
        <v>XVII11GUILHERME ROCHA HIDALGO MORENO</v>
      </c>
      <c r="AA418" s="427" t="s">
        <v>615</v>
      </c>
      <c r="AB418" s="427">
        <v>11</v>
      </c>
      <c r="AC418" s="428" t="s">
        <v>931</v>
      </c>
      <c r="AD418" s="505">
        <v>67340.36</v>
      </c>
      <c r="AE418" s="431">
        <v>100617.21</v>
      </c>
      <c r="AF418" s="60" t="str">
        <f t="shared" si="68"/>
        <v>GUILHERME ROCHA HIDALGO MORENO</v>
      </c>
      <c r="AG418" s="60" t="str">
        <f t="shared" si="69"/>
        <v>OK</v>
      </c>
    </row>
    <row r="419" spans="1:33">
      <c r="A419" s="61" t="str">
        <f t="shared" si="63"/>
        <v>LONDRINA [ETAPA 04 - AREAS EXTERNAS G4 - G8]XVII14</v>
      </c>
      <c r="B419" s="263" t="s">
        <v>612</v>
      </c>
      <c r="C419" s="337" t="s">
        <v>615</v>
      </c>
      <c r="D419" s="73">
        <v>14</v>
      </c>
      <c r="E419" s="315">
        <v>264.81</v>
      </c>
      <c r="F419" s="166">
        <v>5050</v>
      </c>
      <c r="G419" s="74" t="s">
        <v>1485</v>
      </c>
      <c r="H419" s="40">
        <v>44249</v>
      </c>
      <c r="I419" s="35">
        <v>103635</v>
      </c>
      <c r="J419" s="35" t="str">
        <f>IFERROR(VLOOKUP(CONCATENATE(B419,C419,D419,),Inadimplencia!$A$6:$K$110,6,0),"ATIVO")</f>
        <v>ATIVO</v>
      </c>
      <c r="K419" s="35">
        <f t="shared" si="64"/>
        <v>99997.2</v>
      </c>
      <c r="L419" s="325">
        <f t="shared" si="65"/>
        <v>0.96489795918367349</v>
      </c>
      <c r="M419" s="423" t="str">
        <f t="shared" si="66"/>
        <v>ATIVO0</v>
      </c>
      <c r="X419" s="203" t="str">
        <f t="shared" si="61"/>
        <v>LONDRINA [ETAPA 04 - AREAS EXTERNAS G4 - G8]ATIVO</v>
      </c>
      <c r="Y419" s="203" t="str">
        <f t="shared" si="62"/>
        <v>XVII14JEFFERSON GONCALVES BUSONI</v>
      </c>
      <c r="Z419" s="203" t="str">
        <f t="shared" si="67"/>
        <v>XVII14JEFFERSON GONCALVES BUSONI</v>
      </c>
      <c r="AA419" s="427" t="s">
        <v>615</v>
      </c>
      <c r="AB419" s="427">
        <v>14</v>
      </c>
      <c r="AC419" s="429" t="s">
        <v>1485</v>
      </c>
      <c r="AD419" s="505">
        <v>99997.2</v>
      </c>
      <c r="AE419" s="431">
        <v>105587.37</v>
      </c>
      <c r="AF419" s="60" t="str">
        <f t="shared" si="68"/>
        <v>JEFFERSON GONCALVES BUSONI</v>
      </c>
      <c r="AG419" s="60" t="str">
        <f t="shared" si="69"/>
        <v>OK</v>
      </c>
    </row>
    <row r="420" spans="1:33">
      <c r="A420" s="61" t="str">
        <f t="shared" si="63"/>
        <v>LONDRINA [ETAPA 04 - AREAS EXTERNAS G4 - G8]XVII15</v>
      </c>
      <c r="B420" s="263" t="s">
        <v>612</v>
      </c>
      <c r="C420" s="337" t="s">
        <v>615</v>
      </c>
      <c r="D420" s="166">
        <v>15</v>
      </c>
      <c r="E420" s="197">
        <v>264.81</v>
      </c>
      <c r="F420" s="166">
        <v>7016</v>
      </c>
      <c r="G420" s="338" t="s">
        <v>943</v>
      </c>
      <c r="H420" s="40">
        <v>43510</v>
      </c>
      <c r="I420" s="35">
        <v>74676.42</v>
      </c>
      <c r="J420" s="35" t="str">
        <f>IFERROR(VLOOKUP(CONCATENATE(B420,C420,D420,),Inadimplencia!$A$6:$K$110,6,0),"ATIVO")</f>
        <v>ATIVO</v>
      </c>
      <c r="K420" s="35">
        <f t="shared" si="64"/>
        <v>68483.490000000005</v>
      </c>
      <c r="L420" s="325">
        <f t="shared" si="65"/>
        <v>0.91706980597088084</v>
      </c>
      <c r="M420" s="423" t="str">
        <f t="shared" si="66"/>
        <v>ATIVO0</v>
      </c>
      <c r="X420" s="203" t="str">
        <f t="shared" si="61"/>
        <v>LONDRINA [ETAPA 04 - AREAS EXTERNAS G4 - G8]ATIVO</v>
      </c>
      <c r="Y420" s="203" t="str">
        <f t="shared" si="62"/>
        <v>XVII15WILSON ALESSANDRO DOS SANTOS</v>
      </c>
      <c r="Z420" s="203" t="str">
        <f t="shared" si="67"/>
        <v>XVII15WILSON ALESSANDRO DOS SANTOS</v>
      </c>
      <c r="AA420" s="427" t="s">
        <v>615</v>
      </c>
      <c r="AB420" s="427">
        <v>15</v>
      </c>
      <c r="AC420" s="428" t="s">
        <v>943</v>
      </c>
      <c r="AD420" s="505">
        <v>68483.490000000005</v>
      </c>
      <c r="AE420" s="431">
        <v>99302.87</v>
      </c>
      <c r="AF420" s="60" t="str">
        <f t="shared" si="68"/>
        <v>WILSON ALESSANDRO DOS SANTOS</v>
      </c>
      <c r="AG420" s="60" t="str">
        <f t="shared" si="69"/>
        <v>OK</v>
      </c>
    </row>
    <row r="421" spans="1:33">
      <c r="A421" s="61" t="str">
        <f t="shared" si="63"/>
        <v>LONDRINA [ETAPA 04 - AREAS EXTERNAS G4 - G8]XVII16</v>
      </c>
      <c r="B421" s="263" t="s">
        <v>612</v>
      </c>
      <c r="C421" s="337" t="s">
        <v>615</v>
      </c>
      <c r="D421" s="73">
        <v>16</v>
      </c>
      <c r="E421" s="315">
        <v>264.81</v>
      </c>
      <c r="F421" s="166">
        <v>3076</v>
      </c>
      <c r="G421" s="74" t="s">
        <v>1063</v>
      </c>
      <c r="H421" s="40">
        <v>43710</v>
      </c>
      <c r="I421" s="35">
        <v>73131.649999999994</v>
      </c>
      <c r="J421" s="35" t="str">
        <f>IFERROR(VLOOKUP(CONCATENATE(B421,C421,D421,),Inadimplencia!$A$6:$K$110,6,0),"ATIVO")</f>
        <v>ATIVO</v>
      </c>
      <c r="K421" s="35">
        <f t="shared" si="64"/>
        <v>71390.53</v>
      </c>
      <c r="L421" s="325">
        <f t="shared" si="65"/>
        <v>0.97619197707148686</v>
      </c>
      <c r="M421" s="423" t="str">
        <f t="shared" si="66"/>
        <v>ATIVO0</v>
      </c>
      <c r="X421" s="203" t="str">
        <f t="shared" si="61"/>
        <v>LONDRINA [ETAPA 04 - AREAS EXTERNAS G4 - G8]ATIVO</v>
      </c>
      <c r="Y421" s="203" t="str">
        <f t="shared" si="62"/>
        <v>XVII16JUVENAL TENORIO DA ROCHA</v>
      </c>
      <c r="Z421" s="203" t="str">
        <f t="shared" si="67"/>
        <v>XVII16JUVENAL TENORIO DA ROCHA</v>
      </c>
      <c r="AA421" s="427" t="s">
        <v>615</v>
      </c>
      <c r="AB421" s="427">
        <v>16</v>
      </c>
      <c r="AC421" s="428" t="s">
        <v>1063</v>
      </c>
      <c r="AD421" s="505">
        <v>71390.53</v>
      </c>
      <c r="AE421" s="431">
        <v>90929.49</v>
      </c>
      <c r="AF421" s="60" t="str">
        <f t="shared" si="68"/>
        <v>JUVENAL TENORIO DA ROCHA</v>
      </c>
      <c r="AG421" s="60" t="str">
        <f t="shared" si="69"/>
        <v>OK</v>
      </c>
    </row>
    <row r="422" spans="1:33">
      <c r="A422" s="61" t="str">
        <f t="shared" si="63"/>
        <v>LONDRINA [ETAPA 04 - AREAS EXTERNAS G4 - G8]XVII17</v>
      </c>
      <c r="B422" s="263" t="s">
        <v>612</v>
      </c>
      <c r="C422" s="337" t="s">
        <v>615</v>
      </c>
      <c r="D422" s="166">
        <v>17</v>
      </c>
      <c r="E422" s="197">
        <v>372.89</v>
      </c>
      <c r="F422" s="166"/>
      <c r="G422" s="338" t="s">
        <v>930</v>
      </c>
      <c r="H422" s="40">
        <v>43511</v>
      </c>
      <c r="I422" s="35">
        <v>105154.98</v>
      </c>
      <c r="J422" s="35" t="str">
        <f>IFERROR(VLOOKUP(CONCATENATE(B422,C422,D422,),Inadimplencia!$A$6:$K$110,6,0),"ATIVO")</f>
        <v>ATIVO</v>
      </c>
      <c r="K422" s="35">
        <f t="shared" si="64"/>
        <v>79289.31</v>
      </c>
      <c r="L422" s="325">
        <f t="shared" si="65"/>
        <v>0.75402334725373921</v>
      </c>
      <c r="M422" s="423" t="str">
        <f t="shared" si="66"/>
        <v>ATIVO0</v>
      </c>
      <c r="X422" s="203" t="str">
        <f t="shared" si="61"/>
        <v>LONDRINA [ETAPA 04 - AREAS EXTERNAS G4 - G8]ATIVO</v>
      </c>
      <c r="Y422" s="203" t="str">
        <f t="shared" si="62"/>
        <v>XVII17PRISCILA JESSILYN DA ROCHA</v>
      </c>
      <c r="Z422" s="203" t="str">
        <f t="shared" si="67"/>
        <v>XVII17PRISCILA JESSILYN DA ROCHA</v>
      </c>
      <c r="AA422" s="427" t="s">
        <v>615</v>
      </c>
      <c r="AB422" s="427">
        <v>17</v>
      </c>
      <c r="AC422" s="428" t="s">
        <v>930</v>
      </c>
      <c r="AD422" s="505">
        <v>79289.31</v>
      </c>
      <c r="AE422" s="431">
        <v>131958.62</v>
      </c>
      <c r="AF422" s="60" t="str">
        <f t="shared" si="68"/>
        <v>PRISCILA JESSILYN DA ROCHA</v>
      </c>
      <c r="AG422" s="60" t="str">
        <f t="shared" si="69"/>
        <v>OK</v>
      </c>
    </row>
    <row r="423" spans="1:33">
      <c r="A423" s="61" t="str">
        <f t="shared" si="63"/>
        <v>LONDRINA [ETAPA 04 - CONDOMINIO ARAGUARI]L1</v>
      </c>
      <c r="B423" s="263" t="s">
        <v>878</v>
      </c>
      <c r="C423" s="337" t="s">
        <v>621</v>
      </c>
      <c r="D423" s="166">
        <v>1</v>
      </c>
      <c r="E423" s="197">
        <v>382.45</v>
      </c>
      <c r="F423" s="166">
        <v>4973</v>
      </c>
      <c r="G423" s="338" t="s">
        <v>1411</v>
      </c>
      <c r="H423" s="40">
        <v>44202</v>
      </c>
      <c r="I423" s="35">
        <v>183300</v>
      </c>
      <c r="J423" s="35" t="str">
        <f>IFERROR(VLOOKUP(CONCATENATE(B423,C423,D423,),Inadimplencia!$A$6:$K$110,6,0),"ATIVO")</f>
        <v>ATIVO</v>
      </c>
      <c r="K423" s="35">
        <f t="shared" si="64"/>
        <v>162958.72</v>
      </c>
      <c r="L423" s="325">
        <f t="shared" si="65"/>
        <v>0.88902738679759952</v>
      </c>
      <c r="M423" s="423" t="str">
        <f t="shared" si="66"/>
        <v>ATIVO0</v>
      </c>
      <c r="X423" s="203" t="str">
        <f t="shared" si="61"/>
        <v>LONDRINA [ETAPA 04 - CONDOMINIO ARAGUARI]ATIVO</v>
      </c>
      <c r="Y423" s="203" t="str">
        <f t="shared" si="62"/>
        <v>L1SIDNEY RUFINO BELARDI</v>
      </c>
      <c r="Z423" s="203" t="str">
        <f t="shared" si="67"/>
        <v>L1SIDNEY RUFINO BELARDI</v>
      </c>
      <c r="AA423" s="427" t="s">
        <v>621</v>
      </c>
      <c r="AB423" s="427">
        <v>1</v>
      </c>
      <c r="AC423" s="428" t="s">
        <v>1411</v>
      </c>
      <c r="AD423" s="505">
        <v>162958.72</v>
      </c>
      <c r="AE423" s="431">
        <v>186338.63</v>
      </c>
      <c r="AF423" s="60" t="str">
        <f t="shared" si="68"/>
        <v>SIDNEY RUFINO BELARDI</v>
      </c>
      <c r="AG423" s="60" t="str">
        <f t="shared" si="69"/>
        <v>OK</v>
      </c>
    </row>
    <row r="424" spans="1:33">
      <c r="A424" s="61" t="str">
        <f t="shared" si="63"/>
        <v>LONDRINA [ETAPA 04 - CONDOMINIO ARAGUARI]L2</v>
      </c>
      <c r="B424" s="263" t="s">
        <v>878</v>
      </c>
      <c r="C424" s="337" t="s">
        <v>621</v>
      </c>
      <c r="D424" s="73">
        <v>2</v>
      </c>
      <c r="E424" s="315">
        <v>255.91</v>
      </c>
      <c r="F424" s="166"/>
      <c r="G424" s="74" t="s">
        <v>1053</v>
      </c>
      <c r="H424" s="40">
        <v>43691</v>
      </c>
      <c r="I424" s="35">
        <v>101520</v>
      </c>
      <c r="J424" s="35" t="str">
        <f>IFERROR(VLOOKUP(CONCATENATE(B424,C424,D424,),Inadimplencia!$A$6:$K$110,6,0),"ATIVO")</f>
        <v>ATIVO</v>
      </c>
      <c r="K424" s="35">
        <f t="shared" si="64"/>
        <v>102097.23</v>
      </c>
      <c r="L424" s="325">
        <f t="shared" si="65"/>
        <v>1.0056858747044917</v>
      </c>
      <c r="M424" s="423" t="str">
        <f t="shared" si="66"/>
        <v>ATIVO1</v>
      </c>
      <c r="X424" s="203" t="str">
        <f t="shared" si="61"/>
        <v>LONDRINA [ETAPA 04 - CONDOMINIO ARAGUARI]ATIVO</v>
      </c>
      <c r="Y424" s="203" t="str">
        <f t="shared" si="62"/>
        <v>L2GUILHERME NEVES BORGES</v>
      </c>
      <c r="Z424" s="203" t="str">
        <f t="shared" si="67"/>
        <v>L2GUILHERME NEVES BORGES</v>
      </c>
      <c r="AA424" s="427" t="s">
        <v>621</v>
      </c>
      <c r="AB424" s="427">
        <v>2</v>
      </c>
      <c r="AC424" s="428" t="s">
        <v>1053</v>
      </c>
      <c r="AD424" s="505">
        <v>102097.23</v>
      </c>
      <c r="AE424" s="431">
        <v>125783.98</v>
      </c>
      <c r="AF424" s="60" t="str">
        <f t="shared" si="68"/>
        <v>GUILHERME NEVES BORGES</v>
      </c>
      <c r="AG424" s="60" t="str">
        <f t="shared" si="69"/>
        <v>OK</v>
      </c>
    </row>
    <row r="425" spans="1:33">
      <c r="A425" s="61" t="str">
        <f t="shared" si="63"/>
        <v>LONDRINA [ETAPA 04 - CONDOMINIO ARAGUARI]L3</v>
      </c>
      <c r="B425" s="263" t="s">
        <v>878</v>
      </c>
      <c r="C425" s="337" t="s">
        <v>621</v>
      </c>
      <c r="D425" s="166">
        <v>3</v>
      </c>
      <c r="E425" s="197">
        <v>252.96</v>
      </c>
      <c r="F425" s="166">
        <v>4213</v>
      </c>
      <c r="G425" s="338" t="s">
        <v>1169</v>
      </c>
      <c r="H425" s="40">
        <v>43992</v>
      </c>
      <c r="I425" s="35">
        <v>101520</v>
      </c>
      <c r="J425" s="35" t="str">
        <f>IFERROR(VLOOKUP(CONCATENATE(B425,C425,D425,),Inadimplencia!$A$6:$K$110,6,0),"ATIVO")</f>
        <v>ATIVO</v>
      </c>
      <c r="K425" s="35">
        <f t="shared" si="64"/>
        <v>100727.26000000001</v>
      </c>
      <c r="L425" s="325">
        <f t="shared" si="65"/>
        <v>0.99219129235618608</v>
      </c>
      <c r="M425" s="423" t="str">
        <f t="shared" si="66"/>
        <v>ATIVO0</v>
      </c>
      <c r="X425" s="203" t="str">
        <f t="shared" si="61"/>
        <v>LONDRINA [ETAPA 04 - CONDOMINIO ARAGUARI]ATIVO</v>
      </c>
      <c r="Y425" s="203" t="str">
        <f t="shared" si="62"/>
        <v>L3VANESSA FRAGA DE ALMEIDA</v>
      </c>
      <c r="Z425" s="203" t="str">
        <f t="shared" si="67"/>
        <v>L3VANESSA FRAGA DE ALMEIDA</v>
      </c>
      <c r="AA425" s="430" t="s">
        <v>621</v>
      </c>
      <c r="AB425" s="427">
        <v>3</v>
      </c>
      <c r="AC425" s="428" t="s">
        <v>1169</v>
      </c>
      <c r="AD425" s="505">
        <v>100727.26000000001</v>
      </c>
      <c r="AE425" s="431">
        <v>115702.63</v>
      </c>
      <c r="AF425" s="60" t="str">
        <f t="shared" si="68"/>
        <v>VANESSA FRAGA DE ALMEIDA</v>
      </c>
      <c r="AG425" s="60" t="str">
        <f t="shared" si="69"/>
        <v>OK</v>
      </c>
    </row>
    <row r="426" spans="1:33">
      <c r="A426" s="61" t="str">
        <f t="shared" si="63"/>
        <v>LONDRINA [ETAPA 04 - CONDOMINIO ARAGUARI]L5</v>
      </c>
      <c r="B426" s="263" t="s">
        <v>878</v>
      </c>
      <c r="C426" s="337" t="s">
        <v>621</v>
      </c>
      <c r="D426" s="73">
        <v>5</v>
      </c>
      <c r="E426" s="315">
        <v>266.76</v>
      </c>
      <c r="F426" s="166">
        <v>3737</v>
      </c>
      <c r="G426" s="74" t="s">
        <v>1138</v>
      </c>
      <c r="H426" s="40">
        <v>43864</v>
      </c>
      <c r="I426" s="35">
        <v>101519.4</v>
      </c>
      <c r="J426" s="35" t="str">
        <f>IFERROR(VLOOKUP(CONCATENATE(B426,C426,D426,),Inadimplencia!$A$6:$K$110,6,0),"ATIVO")</f>
        <v>ATIVO</v>
      </c>
      <c r="K426" s="35">
        <f t="shared" si="64"/>
        <v>79062.400000000009</v>
      </c>
      <c r="L426" s="325">
        <f t="shared" si="65"/>
        <v>0.77879104880446504</v>
      </c>
      <c r="M426" s="423" t="str">
        <f t="shared" si="66"/>
        <v>ATIVO0</v>
      </c>
      <c r="X426" s="203" t="str">
        <f t="shared" si="61"/>
        <v>LONDRINA [ETAPA 04 - CONDOMINIO ARAGUARI]ATIVO</v>
      </c>
      <c r="Y426" s="203" t="str">
        <f t="shared" si="62"/>
        <v>L5THIAGO RUFINO DE OLIVEIRA GOMES</v>
      </c>
      <c r="Z426" s="203" t="str">
        <f t="shared" si="67"/>
        <v>L5THIAGO RUFINO DE OLIVEIRA GOMES</v>
      </c>
      <c r="AA426" s="430" t="s">
        <v>621</v>
      </c>
      <c r="AB426" s="427">
        <v>5</v>
      </c>
      <c r="AC426" s="428" t="s">
        <v>1138</v>
      </c>
      <c r="AD426" s="505">
        <v>79062.400000000009</v>
      </c>
      <c r="AE426" s="431">
        <v>116668.87</v>
      </c>
      <c r="AF426" s="60" t="str">
        <f t="shared" si="68"/>
        <v>THIAGO RUFINO DE OLIVEIRA GOMES</v>
      </c>
      <c r="AG426" s="60" t="str">
        <f t="shared" si="69"/>
        <v>OK</v>
      </c>
    </row>
    <row r="427" spans="1:33">
      <c r="A427" s="61" t="str">
        <f t="shared" si="63"/>
        <v>LONDRINA [ETAPA 04 - CONDOMINIO ARAGUARI]L6</v>
      </c>
      <c r="B427" s="263" t="s">
        <v>878</v>
      </c>
      <c r="C427" s="337" t="s">
        <v>621</v>
      </c>
      <c r="D427" s="166">
        <v>6</v>
      </c>
      <c r="E427" s="197">
        <v>266.76</v>
      </c>
      <c r="F427" s="166">
        <v>3818</v>
      </c>
      <c r="G427" s="338" t="s">
        <v>1147</v>
      </c>
      <c r="H427" s="40">
        <v>43907</v>
      </c>
      <c r="I427" s="35">
        <v>101520</v>
      </c>
      <c r="J427" s="35" t="str">
        <f>IFERROR(VLOOKUP(CONCATENATE(B427,C427,D427,),Inadimplencia!$A$6:$K$110,6,0),"ATIVO")</f>
        <v>ATIVO</v>
      </c>
      <c r="K427" s="35">
        <f t="shared" si="64"/>
        <v>79821.150000000009</v>
      </c>
      <c r="L427" s="325">
        <f t="shared" si="65"/>
        <v>0.78626034278959822</v>
      </c>
      <c r="M427" s="423" t="str">
        <f t="shared" si="66"/>
        <v>ATIVO0</v>
      </c>
      <c r="X427" s="203" t="str">
        <f t="shared" si="61"/>
        <v>LONDRINA [ETAPA 04 - CONDOMINIO ARAGUARI]ATIVO</v>
      </c>
      <c r="Y427" s="203" t="str">
        <f t="shared" si="62"/>
        <v>L6ALEXANDRE MARTINS MOREIRA</v>
      </c>
      <c r="Z427" s="203" t="str">
        <f t="shared" si="67"/>
        <v>L6ALEXANDRE MARTINS MOREIRA</v>
      </c>
      <c r="AA427" s="430" t="s">
        <v>621</v>
      </c>
      <c r="AB427" s="427">
        <v>6</v>
      </c>
      <c r="AC427" s="428" t="s">
        <v>1147</v>
      </c>
      <c r="AD427" s="505">
        <v>79821.150000000009</v>
      </c>
      <c r="AE427" s="431">
        <v>116926.71</v>
      </c>
      <c r="AF427" s="60" t="str">
        <f t="shared" si="68"/>
        <v>ALEXANDRE MARTINS MOREIRA</v>
      </c>
      <c r="AG427" s="60" t="str">
        <f t="shared" si="69"/>
        <v>OK</v>
      </c>
    </row>
    <row r="428" spans="1:33">
      <c r="A428" s="61" t="str">
        <f t="shared" si="63"/>
        <v>LONDRINA [ETAPA 04 - CONDOMINIO ARAGUARI]L7</v>
      </c>
      <c r="B428" s="263" t="s">
        <v>878</v>
      </c>
      <c r="C428" s="337" t="s">
        <v>621</v>
      </c>
      <c r="D428" s="73">
        <v>7</v>
      </c>
      <c r="E428" s="315">
        <v>266.76</v>
      </c>
      <c r="F428" s="166">
        <v>3229</v>
      </c>
      <c r="G428" s="74" t="s">
        <v>1108</v>
      </c>
      <c r="H428" s="40">
        <v>43773</v>
      </c>
      <c r="I428" s="35">
        <v>101520</v>
      </c>
      <c r="J428" s="35" t="str">
        <f>IFERROR(VLOOKUP(CONCATENATE(B428,C428,D428,),Inadimplencia!$A$6:$K$110,6,0),"ATIVO")</f>
        <v>ATIVO</v>
      </c>
      <c r="K428" s="35">
        <f t="shared" si="64"/>
        <v>101303.14</v>
      </c>
      <c r="L428" s="325">
        <f t="shared" si="65"/>
        <v>0.99786386918833725</v>
      </c>
      <c r="M428" s="423" t="str">
        <f t="shared" si="66"/>
        <v>ATIVO0</v>
      </c>
      <c r="X428" s="203" t="str">
        <f t="shared" si="61"/>
        <v>LONDRINA [ETAPA 04 - CONDOMINIO ARAGUARI]ATIVO</v>
      </c>
      <c r="Y428" s="203" t="str">
        <f t="shared" si="62"/>
        <v>L7DIEGO RODRIGUES</v>
      </c>
      <c r="Z428" s="203" t="str">
        <f t="shared" si="67"/>
        <v>L7DIEGO RODRIGUES</v>
      </c>
      <c r="AA428" s="430" t="s">
        <v>621</v>
      </c>
      <c r="AB428" s="427">
        <v>7</v>
      </c>
      <c r="AC428" s="428" t="s">
        <v>1108</v>
      </c>
      <c r="AD428" s="505">
        <v>101303.14</v>
      </c>
      <c r="AE428" s="431">
        <v>124937.08</v>
      </c>
      <c r="AF428" s="60" t="str">
        <f t="shared" si="68"/>
        <v>DIEGO RODRIGUES</v>
      </c>
      <c r="AG428" s="60" t="str">
        <f t="shared" si="69"/>
        <v>OK</v>
      </c>
    </row>
    <row r="429" spans="1:33">
      <c r="A429" s="61" t="str">
        <f t="shared" si="63"/>
        <v>LONDRINA [ETAPA 04 - CONDOMINIO ARAGUARI]L8</v>
      </c>
      <c r="B429" s="263" t="s">
        <v>878</v>
      </c>
      <c r="C429" s="337" t="s">
        <v>621</v>
      </c>
      <c r="D429" s="166">
        <v>8</v>
      </c>
      <c r="E429" s="197">
        <v>266.76</v>
      </c>
      <c r="F429" s="166">
        <v>3102</v>
      </c>
      <c r="G429" s="338" t="s">
        <v>1064</v>
      </c>
      <c r="H429" s="40">
        <v>43735</v>
      </c>
      <c r="I429" s="35">
        <v>101520</v>
      </c>
      <c r="J429" s="35" t="str">
        <f>IFERROR(VLOOKUP(CONCATENATE(B429,C429,D429,),Inadimplencia!$A$6:$K$110,6,0),"ATIVO")</f>
        <v>ATIVO</v>
      </c>
      <c r="K429" s="35">
        <f t="shared" si="64"/>
        <v>100091.77</v>
      </c>
      <c r="L429" s="325">
        <f t="shared" si="65"/>
        <v>0.98593154058313637</v>
      </c>
      <c r="M429" s="423" t="str">
        <f t="shared" si="66"/>
        <v>ATIVO0</v>
      </c>
      <c r="X429" s="203" t="str">
        <f t="shared" si="61"/>
        <v>LONDRINA [ETAPA 04 - CONDOMINIO ARAGUARI]ATIVO</v>
      </c>
      <c r="Y429" s="203" t="str">
        <f t="shared" si="62"/>
        <v>L8LUCIVANA DOS SANTOS</v>
      </c>
      <c r="Z429" s="203" t="str">
        <f t="shared" si="67"/>
        <v>L8LUCIVANA DOS SANTOS</v>
      </c>
      <c r="AA429" s="430" t="s">
        <v>621</v>
      </c>
      <c r="AB429" s="427">
        <v>8</v>
      </c>
      <c r="AC429" s="428" t="s">
        <v>1064</v>
      </c>
      <c r="AD429" s="505">
        <v>100091.77</v>
      </c>
      <c r="AE429" s="431">
        <v>126625.01000000001</v>
      </c>
      <c r="AF429" s="60" t="str">
        <f t="shared" si="68"/>
        <v>LUCIVANA DOS SANTOS</v>
      </c>
      <c r="AG429" s="60" t="str">
        <f t="shared" si="69"/>
        <v>OK</v>
      </c>
    </row>
    <row r="430" spans="1:33">
      <c r="A430" s="61" t="str">
        <f t="shared" si="63"/>
        <v>LONDRINA [ETAPA 04 - CONDOMINIO ARAGUARI]L9</v>
      </c>
      <c r="B430" s="263" t="s">
        <v>878</v>
      </c>
      <c r="C430" s="337" t="s">
        <v>621</v>
      </c>
      <c r="D430" s="73">
        <v>9</v>
      </c>
      <c r="E430" s="315">
        <v>266.76</v>
      </c>
      <c r="F430" s="166">
        <v>4186</v>
      </c>
      <c r="G430" s="74" t="s">
        <v>1170</v>
      </c>
      <c r="H430" s="40">
        <v>43997</v>
      </c>
      <c r="I430" s="35">
        <v>101520</v>
      </c>
      <c r="J430" s="35" t="str">
        <f>IFERROR(VLOOKUP(CONCATENATE(B430,C430,D430,),Inadimplencia!$A$6:$K$110,6,0),"ATIVO")</f>
        <v>ATIVO</v>
      </c>
      <c r="K430" s="35">
        <f t="shared" si="64"/>
        <v>90533.01</v>
      </c>
      <c r="L430" s="325">
        <f t="shared" si="65"/>
        <v>0.89177511820330968</v>
      </c>
      <c r="M430" s="423" t="str">
        <f t="shared" si="66"/>
        <v>ATIVO0</v>
      </c>
      <c r="X430" s="203" t="str">
        <f t="shared" si="61"/>
        <v>LONDRINA [ETAPA 04 - CONDOMINIO ARAGUARI]ATIVO</v>
      </c>
      <c r="Y430" s="203" t="str">
        <f t="shared" si="62"/>
        <v>L9MARCELLE ZACARIAS SILVA TOLENTINO BEZERRA</v>
      </c>
      <c r="Z430" s="203" t="str">
        <f t="shared" si="67"/>
        <v>L9MARCELLE ZACARIAS SILVA TOLENTINO BEZERRA</v>
      </c>
      <c r="AA430" s="430" t="s">
        <v>621</v>
      </c>
      <c r="AB430" s="427">
        <v>9</v>
      </c>
      <c r="AC430" s="428" t="s">
        <v>1170</v>
      </c>
      <c r="AD430" s="505">
        <v>90533.01</v>
      </c>
      <c r="AE430" s="431">
        <v>114218.85</v>
      </c>
      <c r="AF430" s="60" t="str">
        <f t="shared" si="68"/>
        <v>MARCELLE ZACARIAS SILVA TOLENTINO BEZERRA</v>
      </c>
      <c r="AG430" s="60" t="str">
        <f t="shared" si="69"/>
        <v>OK</v>
      </c>
    </row>
    <row r="431" spans="1:33">
      <c r="A431" s="61" t="str">
        <f t="shared" si="63"/>
        <v>LONDRINA [ETAPA 04 - CONDOMINIO ARAGUARI]L11</v>
      </c>
      <c r="B431" s="263" t="s">
        <v>878</v>
      </c>
      <c r="C431" s="337" t="s">
        <v>621</v>
      </c>
      <c r="D431" s="166">
        <v>11</v>
      </c>
      <c r="E431" s="197">
        <v>266.76</v>
      </c>
      <c r="F431" s="166">
        <v>4678</v>
      </c>
      <c r="G431" s="338" t="s">
        <v>1259</v>
      </c>
      <c r="H431" s="40">
        <v>44057</v>
      </c>
      <c r="I431" s="35">
        <v>108100</v>
      </c>
      <c r="J431" s="35" t="str">
        <f>IFERROR(VLOOKUP(CONCATENATE(B431,C431,D431,),Inadimplencia!$A$6:$K$110,6,0),"ATIVO")</f>
        <v>ATIVO</v>
      </c>
      <c r="K431" s="35">
        <f t="shared" si="64"/>
        <v>107474.67</v>
      </c>
      <c r="L431" s="325">
        <f t="shared" si="65"/>
        <v>0.99421526364477331</v>
      </c>
      <c r="M431" s="423" t="str">
        <f t="shared" si="66"/>
        <v>ATIVO0</v>
      </c>
      <c r="X431" s="203" t="str">
        <f t="shared" si="61"/>
        <v>LONDRINA [ETAPA 04 - CONDOMINIO ARAGUARI]ATIVO</v>
      </c>
      <c r="Y431" s="203" t="str">
        <f t="shared" si="62"/>
        <v>L11ALEXANDRE CASSIO BENITES DA SILVA</v>
      </c>
      <c r="Z431" s="203" t="str">
        <f t="shared" si="67"/>
        <v>L11ALEXANDRE CASSIO BENITES DA SILVA</v>
      </c>
      <c r="AA431" s="430" t="s">
        <v>621</v>
      </c>
      <c r="AB431" s="427">
        <v>11</v>
      </c>
      <c r="AC431" s="428" t="s">
        <v>1259</v>
      </c>
      <c r="AD431" s="505">
        <v>107474.67</v>
      </c>
      <c r="AE431" s="431">
        <v>120939.99</v>
      </c>
      <c r="AF431" s="60" t="str">
        <f t="shared" si="68"/>
        <v>ALEXANDRE CASSIO BENITES DA SILVA</v>
      </c>
      <c r="AG431" s="60" t="str">
        <f t="shared" si="69"/>
        <v>OK</v>
      </c>
    </row>
    <row r="432" spans="1:33">
      <c r="A432" s="61" t="str">
        <f t="shared" si="63"/>
        <v>LONDRINA [ETAPA 04 - CONDOMINIO ARAGUARI]L12</v>
      </c>
      <c r="B432" s="263" t="s">
        <v>878</v>
      </c>
      <c r="C432" s="337" t="s">
        <v>621</v>
      </c>
      <c r="D432" s="73">
        <v>12</v>
      </c>
      <c r="E432" s="315">
        <v>266.76</v>
      </c>
      <c r="F432" s="166">
        <v>4395</v>
      </c>
      <c r="G432" s="74" t="s">
        <v>1235</v>
      </c>
      <c r="H432" s="40">
        <v>44017</v>
      </c>
      <c r="I432" s="35">
        <v>101520.1</v>
      </c>
      <c r="J432" s="35" t="str">
        <f>IFERROR(VLOOKUP(CONCATENATE(B432,C432,D432,),Inadimplencia!$A$6:$K$110,6,0),"ATIVO")</f>
        <v>ATIVO</v>
      </c>
      <c r="K432" s="35">
        <f t="shared" si="64"/>
        <v>82759.040000000008</v>
      </c>
      <c r="L432" s="325">
        <f t="shared" si="65"/>
        <v>0.81519856658927647</v>
      </c>
      <c r="M432" s="423" t="str">
        <f t="shared" si="66"/>
        <v>ATIVO0</v>
      </c>
      <c r="X432" s="203" t="str">
        <f t="shared" si="61"/>
        <v>LONDRINA [ETAPA 04 - CONDOMINIO ARAGUARI]ATIVO</v>
      </c>
      <c r="Y432" s="203" t="str">
        <f t="shared" si="62"/>
        <v>L12THIAGO AUGUSTO RIGONI</v>
      </c>
      <c r="Z432" s="203" t="str">
        <f t="shared" si="67"/>
        <v>L12THIAGO AUGUSTO RIGONI</v>
      </c>
      <c r="AA432" s="430" t="s">
        <v>621</v>
      </c>
      <c r="AB432" s="427">
        <v>12</v>
      </c>
      <c r="AC432" s="428" t="s">
        <v>1235</v>
      </c>
      <c r="AD432" s="505">
        <v>82759.040000000008</v>
      </c>
      <c r="AE432" s="431">
        <v>105817.72</v>
      </c>
      <c r="AF432" s="60" t="str">
        <f t="shared" si="68"/>
        <v>THIAGO AUGUSTO RIGONI</v>
      </c>
      <c r="AG432" s="60" t="str">
        <f t="shared" si="69"/>
        <v>OK</v>
      </c>
    </row>
    <row r="433" spans="1:33">
      <c r="A433" s="61" t="str">
        <f t="shared" si="63"/>
        <v>LONDRINA [ETAPA 04 - CONDOMINIO ARAGUARI]L15</v>
      </c>
      <c r="B433" s="263" t="s">
        <v>878</v>
      </c>
      <c r="C433" s="337" t="s">
        <v>621</v>
      </c>
      <c r="D433" s="166">
        <v>15</v>
      </c>
      <c r="E433" s="197">
        <v>266.76</v>
      </c>
      <c r="F433" s="166">
        <v>4166</v>
      </c>
      <c r="G433" s="338" t="s">
        <v>1179</v>
      </c>
      <c r="H433" s="40">
        <v>43992</v>
      </c>
      <c r="I433" s="35">
        <v>101520</v>
      </c>
      <c r="J433" s="35" t="str">
        <f>IFERROR(VLOOKUP(CONCATENATE(B433,C433,D433,),Inadimplencia!$A$6:$K$110,6,0),"ATIVO")</f>
        <v>ATIVO</v>
      </c>
      <c r="K433" s="35">
        <f t="shared" si="64"/>
        <v>100679.92</v>
      </c>
      <c r="L433" s="325">
        <f t="shared" si="65"/>
        <v>0.99172498029944833</v>
      </c>
      <c r="M433" s="423" t="str">
        <f t="shared" si="66"/>
        <v>ATIVO0</v>
      </c>
      <c r="X433" s="203" t="str">
        <f t="shared" si="61"/>
        <v>LONDRINA [ETAPA 04 - CONDOMINIO ARAGUARI]ATIVO</v>
      </c>
      <c r="Y433" s="203" t="str">
        <f t="shared" si="62"/>
        <v>L15MARCIO MERINO DE  LIMA</v>
      </c>
      <c r="Z433" s="203" t="str">
        <f t="shared" si="67"/>
        <v>L15MARCIO MERINO DE  LIMA</v>
      </c>
      <c r="AA433" s="430" t="s">
        <v>621</v>
      </c>
      <c r="AB433" s="427">
        <v>15</v>
      </c>
      <c r="AC433" s="428" t="s">
        <v>1179</v>
      </c>
      <c r="AD433" s="505">
        <v>100679.92</v>
      </c>
      <c r="AE433" s="431">
        <v>115748.36</v>
      </c>
      <c r="AF433" s="60" t="str">
        <f t="shared" si="68"/>
        <v>MARCIO MERINO DE  LIMA</v>
      </c>
      <c r="AG433" s="60" t="str">
        <f t="shared" si="69"/>
        <v>OK</v>
      </c>
    </row>
    <row r="434" spans="1:33">
      <c r="A434" s="61" t="str">
        <f t="shared" si="63"/>
        <v>LONDRINA [ETAPA 04 - CONDOMINIO ARAGUARI]LI1</v>
      </c>
      <c r="B434" s="263" t="s">
        <v>878</v>
      </c>
      <c r="C434" s="337" t="s">
        <v>622</v>
      </c>
      <c r="D434" s="73">
        <v>1</v>
      </c>
      <c r="E434" s="315">
        <v>396.16</v>
      </c>
      <c r="F434" s="166">
        <v>5073</v>
      </c>
      <c r="G434" s="74" t="s">
        <v>1491</v>
      </c>
      <c r="H434" s="40">
        <v>44256</v>
      </c>
      <c r="I434" s="35">
        <v>218660.73</v>
      </c>
      <c r="J434" s="35" t="str">
        <f>IFERROR(VLOOKUP(CONCATENATE(B434,C434,D434,),Inadimplencia!$A$6:$K$110,6,0),"ATIVO")</f>
        <v>ATIVO</v>
      </c>
      <c r="K434" s="35">
        <f t="shared" si="64"/>
        <v>211571.23</v>
      </c>
      <c r="L434" s="325">
        <f t="shared" si="65"/>
        <v>0.9675776258498725</v>
      </c>
      <c r="M434" s="423" t="str">
        <f t="shared" si="66"/>
        <v>ATIVO0</v>
      </c>
      <c r="X434" s="203" t="str">
        <f t="shared" si="61"/>
        <v>LONDRINA [ETAPA 04 - CONDOMINIO ARAGUARI]ATIVO</v>
      </c>
      <c r="Y434" s="203" t="str">
        <f t="shared" si="62"/>
        <v>LI1VICTORIA FERNANDA LIMA MENDES</v>
      </c>
      <c r="Z434" s="203" t="str">
        <f t="shared" si="67"/>
        <v>LI1VICTORIA FERNANDA LIMA MENDES</v>
      </c>
      <c r="AA434" s="430" t="s">
        <v>622</v>
      </c>
      <c r="AB434" s="427">
        <v>1</v>
      </c>
      <c r="AC434" s="428" t="s">
        <v>1491</v>
      </c>
      <c r="AD434" s="505">
        <v>211571.23</v>
      </c>
      <c r="AE434" s="431">
        <v>220875.91</v>
      </c>
      <c r="AF434" s="60" t="str">
        <f t="shared" si="68"/>
        <v>VICTORIA FERNANDA LIMA MENDES</v>
      </c>
      <c r="AG434" s="60" t="str">
        <f t="shared" si="69"/>
        <v>OK</v>
      </c>
    </row>
    <row r="435" spans="1:33">
      <c r="A435" s="61" t="str">
        <f t="shared" si="63"/>
        <v>LONDRINA [ETAPA 04 - CONDOMINIO ARAGUARI]LI8</v>
      </c>
      <c r="B435" s="263" t="s">
        <v>878</v>
      </c>
      <c r="C435" s="337" t="s">
        <v>622</v>
      </c>
      <c r="D435" s="166">
        <v>8</v>
      </c>
      <c r="E435" s="197">
        <v>267.08</v>
      </c>
      <c r="F435" s="166">
        <v>6793</v>
      </c>
      <c r="G435" s="338" t="s">
        <v>877</v>
      </c>
      <c r="H435" s="40">
        <v>43439</v>
      </c>
      <c r="I435" s="35">
        <v>125527.55</v>
      </c>
      <c r="J435" s="35" t="str">
        <f>IFERROR(VLOOKUP(CONCATENATE(B435,C435,D435,),Inadimplencia!$A$6:$K$110,6,0),"ATIVO")</f>
        <v>INADIMPLENTE</v>
      </c>
      <c r="K435" s="35">
        <f t="shared" si="64"/>
        <v>146021.46</v>
      </c>
      <c r="L435" s="325">
        <f t="shared" si="65"/>
        <v>1.1632622480085049</v>
      </c>
      <c r="M435" s="423" t="str">
        <f t="shared" si="66"/>
        <v>INADIMPLENTE1</v>
      </c>
      <c r="X435" s="203" t="str">
        <f t="shared" si="61"/>
        <v>LONDRINA [ETAPA 04 - CONDOMINIO ARAGUARI]INADIMPLENTE</v>
      </c>
      <c r="Y435" s="203" t="str">
        <f t="shared" si="62"/>
        <v>LI8PRISCILA GARCIA NEGRELI</v>
      </c>
      <c r="Z435" s="203" t="str">
        <f t="shared" si="67"/>
        <v>LI8PRISCILA GARCIA NEGRELI</v>
      </c>
      <c r="AA435" s="430" t="s">
        <v>622</v>
      </c>
      <c r="AB435" s="427">
        <v>8</v>
      </c>
      <c r="AC435" s="428" t="s">
        <v>877</v>
      </c>
      <c r="AD435" s="505">
        <v>146021.46</v>
      </c>
      <c r="AE435" s="431">
        <v>169705.94</v>
      </c>
      <c r="AF435" s="60" t="str">
        <f t="shared" si="68"/>
        <v>PRISCILA GARCIA NEGRELI</v>
      </c>
      <c r="AG435" s="60" t="str">
        <f t="shared" si="69"/>
        <v>OK</v>
      </c>
    </row>
    <row r="436" spans="1:33">
      <c r="A436" s="61" t="str">
        <f t="shared" si="63"/>
        <v>LONDRINA [ETAPA 04 - CONDOMINIO ARAGUARI]LI14</v>
      </c>
      <c r="B436" s="263" t="s">
        <v>878</v>
      </c>
      <c r="C436" s="337" t="s">
        <v>622</v>
      </c>
      <c r="D436" s="73">
        <v>14</v>
      </c>
      <c r="E436" s="315">
        <v>349</v>
      </c>
      <c r="F436" s="166">
        <v>5004</v>
      </c>
      <c r="G436" s="74" t="s">
        <v>1413</v>
      </c>
      <c r="H436" s="40">
        <v>44216</v>
      </c>
      <c r="I436" s="35">
        <v>182074.2</v>
      </c>
      <c r="J436" s="35" t="str">
        <f>IFERROR(VLOOKUP(CONCATENATE(B436,C436,D436,),Inadimplencia!$A$6:$K$110,6,0),"ATIVO")</f>
        <v>ATIVO</v>
      </c>
      <c r="K436" s="35">
        <f t="shared" si="64"/>
        <v>177393.99</v>
      </c>
      <c r="L436" s="325">
        <f t="shared" si="65"/>
        <v>0.97429504015395907</v>
      </c>
      <c r="M436" s="423" t="str">
        <f t="shared" si="66"/>
        <v>ATIVO0</v>
      </c>
      <c r="X436" s="203" t="str">
        <f t="shared" si="61"/>
        <v>LONDRINA [ETAPA 04 - CONDOMINIO ARAGUARI]ATIVO</v>
      </c>
      <c r="Y436" s="203" t="str">
        <f t="shared" si="62"/>
        <v>LI14ANDERSON BATISTA DA SILVA</v>
      </c>
      <c r="Z436" s="203" t="str">
        <f t="shared" si="67"/>
        <v>LI14ANDERSON BATISTA DA SILVA</v>
      </c>
      <c r="AA436" s="430" t="s">
        <v>622</v>
      </c>
      <c r="AB436" s="427">
        <v>14</v>
      </c>
      <c r="AC436" s="428" t="s">
        <v>1413</v>
      </c>
      <c r="AD436" s="505">
        <v>177393.99</v>
      </c>
      <c r="AE436" s="431">
        <v>189342.01</v>
      </c>
      <c r="AF436" s="60" t="str">
        <f t="shared" si="68"/>
        <v>ANDERSON BATISTA DA SILVA</v>
      </c>
      <c r="AG436" s="60" t="str">
        <f t="shared" si="69"/>
        <v>OK</v>
      </c>
    </row>
    <row r="437" spans="1:33">
      <c r="A437" s="61" t="str">
        <f t="shared" si="63"/>
        <v>LONDRINA [ETAPA 04 - CONDOMINIO ARAGUARI]XLIV2</v>
      </c>
      <c r="B437" s="263" t="s">
        <v>878</v>
      </c>
      <c r="C437" s="337" t="s">
        <v>623</v>
      </c>
      <c r="D437" s="166">
        <v>2</v>
      </c>
      <c r="E437" s="197">
        <v>302.08</v>
      </c>
      <c r="F437" s="166">
        <v>4808</v>
      </c>
      <c r="G437" s="338" t="s">
        <v>1339</v>
      </c>
      <c r="H437" s="40">
        <v>44111</v>
      </c>
      <c r="I437" s="35">
        <v>147698.46</v>
      </c>
      <c r="J437" s="35" t="str">
        <f>IFERROR(VLOOKUP(CONCATENATE(B437,C437,D437,),Inadimplencia!$A$6:$K$110,6,0),"ATIVO")</f>
        <v>ATIVO</v>
      </c>
      <c r="K437" s="35">
        <f t="shared" si="64"/>
        <v>94542.430000000008</v>
      </c>
      <c r="L437" s="325">
        <f t="shared" si="65"/>
        <v>0.64010437211058269</v>
      </c>
      <c r="M437" s="423" t="str">
        <f t="shared" si="66"/>
        <v>ATIVO0</v>
      </c>
      <c r="X437" s="203" t="str">
        <f t="shared" si="61"/>
        <v>LONDRINA [ETAPA 04 - CONDOMINIO ARAGUARI]ATIVO</v>
      </c>
      <c r="Y437" s="203" t="str">
        <f t="shared" si="62"/>
        <v>XLIV2GUILHERME SOUZA MIGUELETE</v>
      </c>
      <c r="Z437" s="203" t="str">
        <f t="shared" si="67"/>
        <v>XLIV2GUILHERME SOUZA MIGUELETE</v>
      </c>
      <c r="AA437" s="430" t="s">
        <v>623</v>
      </c>
      <c r="AB437" s="427">
        <v>2</v>
      </c>
      <c r="AC437" s="428" t="s">
        <v>1339</v>
      </c>
      <c r="AD437" s="505">
        <v>94542.430000000008</v>
      </c>
      <c r="AE437" s="431">
        <v>158380.15</v>
      </c>
      <c r="AF437" s="60" t="str">
        <f t="shared" si="68"/>
        <v>GUILHERME SOUZA MIGUELETE</v>
      </c>
      <c r="AG437" s="60" t="str">
        <f t="shared" si="69"/>
        <v>OK</v>
      </c>
    </row>
    <row r="438" spans="1:33">
      <c r="A438" s="61" t="str">
        <f t="shared" si="63"/>
        <v>LONDRINA [ETAPA 04 - CONDOMINIO ARAGUARI]XLIV3</v>
      </c>
      <c r="B438" s="263" t="s">
        <v>878</v>
      </c>
      <c r="C438" s="337" t="s">
        <v>623</v>
      </c>
      <c r="D438" s="73">
        <v>3</v>
      </c>
      <c r="E438" s="315">
        <v>302.08</v>
      </c>
      <c r="F438" s="166">
        <v>3802</v>
      </c>
      <c r="G438" s="74" t="s">
        <v>1148</v>
      </c>
      <c r="H438" s="40">
        <v>43896</v>
      </c>
      <c r="I438" s="35">
        <v>171000</v>
      </c>
      <c r="J438" s="35" t="str">
        <f>IFERROR(VLOOKUP(CONCATENATE(B438,C438,D438,),Inadimplencia!$A$6:$K$110,6,0),"ATIVO")</f>
        <v>ATIVO</v>
      </c>
      <c r="K438" s="35">
        <f t="shared" si="64"/>
        <v>82953.900000000009</v>
      </c>
      <c r="L438" s="325">
        <f t="shared" si="65"/>
        <v>0.48511052631578955</v>
      </c>
      <c r="M438" s="423" t="str">
        <f t="shared" si="66"/>
        <v>ATIVO0</v>
      </c>
      <c r="X438" s="203" t="str">
        <f t="shared" si="61"/>
        <v>LONDRINA [ETAPA 04 - CONDOMINIO ARAGUARI]ATIVO</v>
      </c>
      <c r="Y438" s="203" t="str">
        <f t="shared" si="62"/>
        <v>XLIV3FABRICIO DELFINO DOS SANTOS</v>
      </c>
      <c r="Z438" s="203" t="str">
        <f t="shared" si="67"/>
        <v>XLIV3FABRICIO DELFINO DOS SANTOS</v>
      </c>
      <c r="AA438" s="430" t="s">
        <v>623</v>
      </c>
      <c r="AB438" s="427">
        <v>3</v>
      </c>
      <c r="AC438" s="428" t="s">
        <v>1148</v>
      </c>
      <c r="AD438" s="505">
        <v>82953.900000000009</v>
      </c>
      <c r="AE438" s="249">
        <v>175905.77</v>
      </c>
      <c r="AF438" s="60" t="str">
        <f t="shared" si="68"/>
        <v>FABRICIO DELFINO DOS SANTOS</v>
      </c>
      <c r="AG438" s="60" t="str">
        <f t="shared" si="69"/>
        <v>OK</v>
      </c>
    </row>
    <row r="439" spans="1:33">
      <c r="A439" s="61" t="str">
        <f t="shared" si="63"/>
        <v>LONDRINA [ETAPA 04 - CONDOMINIO ARAGUARI]XLIV4</v>
      </c>
      <c r="B439" s="263" t="s">
        <v>878</v>
      </c>
      <c r="C439" s="337" t="s">
        <v>623</v>
      </c>
      <c r="D439" s="166">
        <v>4</v>
      </c>
      <c r="E439" s="197">
        <v>321.25</v>
      </c>
      <c r="F439" s="166">
        <v>4266</v>
      </c>
      <c r="G439" s="338" t="s">
        <v>1172</v>
      </c>
      <c r="H439" s="40">
        <v>44001</v>
      </c>
      <c r="I439" s="35">
        <v>172020</v>
      </c>
      <c r="J439" s="35" t="str">
        <f>IFERROR(VLOOKUP(CONCATENATE(B439,C439,D439,),Inadimplencia!$A$6:$K$110,6,0),"ATIVO")</f>
        <v>ATIVO</v>
      </c>
      <c r="K439" s="35">
        <f t="shared" si="64"/>
        <v>82318.040000000008</v>
      </c>
      <c r="L439" s="325">
        <f t="shared" si="65"/>
        <v>0.47853761190559241</v>
      </c>
      <c r="M439" s="423" t="str">
        <f t="shared" si="66"/>
        <v>ATIVO0</v>
      </c>
      <c r="X439" s="203" t="str">
        <f t="shared" si="61"/>
        <v>LONDRINA [ETAPA 04 - CONDOMINIO ARAGUARI]ATIVO</v>
      </c>
      <c r="Y439" s="203" t="str">
        <f t="shared" si="62"/>
        <v>XLIV4NELSON LEITE DOS SANTOS FILHO</v>
      </c>
      <c r="Z439" s="203" t="str">
        <f t="shared" si="67"/>
        <v>XLIV4NELSON LEITE DOS SANTOS FILHO</v>
      </c>
      <c r="AA439" s="430" t="s">
        <v>623</v>
      </c>
      <c r="AB439" s="427">
        <v>4</v>
      </c>
      <c r="AC439" s="428" t="s">
        <v>1172</v>
      </c>
      <c r="AD439" s="505">
        <v>82318.040000000008</v>
      </c>
      <c r="AE439" s="431">
        <v>185476.72</v>
      </c>
      <c r="AF439" s="60" t="str">
        <f t="shared" si="68"/>
        <v>NELSON LEITE DOS SANTOS FILHO</v>
      </c>
      <c r="AG439" s="60" t="str">
        <f t="shared" si="69"/>
        <v>OK</v>
      </c>
    </row>
    <row r="440" spans="1:33">
      <c r="A440" s="61" t="str">
        <f t="shared" si="63"/>
        <v>LONDRINA [ETAPA 04 - CONDOMINIO ARAGUARI]XLIV5</v>
      </c>
      <c r="B440" s="263" t="s">
        <v>878</v>
      </c>
      <c r="C440" s="337" t="s">
        <v>623</v>
      </c>
      <c r="D440" s="73">
        <v>5</v>
      </c>
      <c r="E440" s="315">
        <v>302.08</v>
      </c>
      <c r="F440" s="166">
        <v>3902</v>
      </c>
      <c r="G440" s="74" t="s">
        <v>1155</v>
      </c>
      <c r="H440" s="40">
        <v>43981</v>
      </c>
      <c r="I440" s="35">
        <v>182360</v>
      </c>
      <c r="J440" s="35" t="str">
        <f>IFERROR(VLOOKUP(CONCATENATE(B440,C440,D440,),Inadimplencia!$A$6:$K$110,6,0),"ATIVO")</f>
        <v>ATIVO</v>
      </c>
      <c r="K440" s="35">
        <f t="shared" si="64"/>
        <v>193594.80000000002</v>
      </c>
      <c r="L440" s="325">
        <f t="shared" si="65"/>
        <v>1.0616078087299847</v>
      </c>
      <c r="M440" s="423" t="str">
        <f t="shared" si="66"/>
        <v>ATIVO1</v>
      </c>
      <c r="X440" s="203" t="str">
        <f t="shared" si="61"/>
        <v>LONDRINA [ETAPA 04 - CONDOMINIO ARAGUARI]ATIVO</v>
      </c>
      <c r="Y440" s="203" t="str">
        <f t="shared" si="62"/>
        <v>XLIV5LEANDRO DA SILVA CREPALDI</v>
      </c>
      <c r="Z440" s="203" t="str">
        <f t="shared" si="67"/>
        <v>XLIV5LEANDRO DA SILVA CREPALDI</v>
      </c>
      <c r="AA440" s="430" t="s">
        <v>623</v>
      </c>
      <c r="AB440" s="427">
        <v>5</v>
      </c>
      <c r="AC440" s="428" t="s">
        <v>1155</v>
      </c>
      <c r="AD440" s="505">
        <v>193594.80000000002</v>
      </c>
      <c r="AE440" s="431">
        <v>206560.23</v>
      </c>
      <c r="AF440" s="60" t="str">
        <f t="shared" si="68"/>
        <v>LEANDRO DA SILVA CREPALDI</v>
      </c>
      <c r="AG440" s="60" t="str">
        <f t="shared" si="69"/>
        <v>OK</v>
      </c>
    </row>
    <row r="441" spans="1:33">
      <c r="A441" s="61" t="str">
        <f t="shared" si="63"/>
        <v>LONDRINA [ETAPA 04 - CONDOMINIO ARAGUARI]XLIX1</v>
      </c>
      <c r="B441" s="263" t="s">
        <v>878</v>
      </c>
      <c r="C441" s="337" t="s">
        <v>620</v>
      </c>
      <c r="D441" s="166">
        <v>1</v>
      </c>
      <c r="E441" s="197">
        <v>333.9</v>
      </c>
      <c r="F441" s="166">
        <v>5001</v>
      </c>
      <c r="G441" s="338" t="s">
        <v>1414</v>
      </c>
      <c r="H441" s="40">
        <v>44211</v>
      </c>
      <c r="I441" s="35">
        <v>169200</v>
      </c>
      <c r="J441" s="35" t="str">
        <f>IFERROR(VLOOKUP(CONCATENATE(B441,C441,D441,),Inadimplencia!$A$6:$K$110,6,0),"ATIVO")</f>
        <v>ATIVO</v>
      </c>
      <c r="K441" s="35">
        <f t="shared" si="64"/>
        <v>164751.42000000001</v>
      </c>
      <c r="L441" s="325">
        <f t="shared" si="65"/>
        <v>0.97370815602836891</v>
      </c>
      <c r="M441" s="423" t="str">
        <f t="shared" si="66"/>
        <v>ATIVO0</v>
      </c>
      <c r="X441" s="203" t="str">
        <f t="shared" si="61"/>
        <v>LONDRINA [ETAPA 04 - CONDOMINIO ARAGUARI]ATIVO</v>
      </c>
      <c r="Y441" s="203" t="str">
        <f t="shared" si="62"/>
        <v>XLIX1JULIANO CEZAR GOUVEIA</v>
      </c>
      <c r="Z441" s="203" t="str">
        <f t="shared" si="67"/>
        <v>XLIX1JULIANO CEZAR GOUVEIA</v>
      </c>
      <c r="AA441" s="430" t="s">
        <v>620</v>
      </c>
      <c r="AB441" s="427">
        <v>1</v>
      </c>
      <c r="AC441" s="428" t="s">
        <v>1414</v>
      </c>
      <c r="AD441" s="505">
        <v>164751.42000000001</v>
      </c>
      <c r="AE441" s="431">
        <v>176219.58000000002</v>
      </c>
      <c r="AF441" s="60" t="str">
        <f t="shared" si="68"/>
        <v>JULIANO CEZAR GOUVEIA</v>
      </c>
      <c r="AG441" s="60" t="str">
        <f t="shared" si="69"/>
        <v>OK</v>
      </c>
    </row>
    <row r="442" spans="1:33">
      <c r="A442" s="61" t="str">
        <f t="shared" si="63"/>
        <v>LONDRINA [ETAPA 04 - CONDOMINIO ARAGUARI]XLIX3</v>
      </c>
      <c r="B442" s="263" t="s">
        <v>878</v>
      </c>
      <c r="C442" s="337" t="s">
        <v>620</v>
      </c>
      <c r="D442" s="73">
        <v>3</v>
      </c>
      <c r="E442" s="315">
        <v>250.41</v>
      </c>
      <c r="F442" s="166">
        <v>4839</v>
      </c>
      <c r="G442" s="74" t="s">
        <v>1340</v>
      </c>
      <c r="H442" s="40">
        <v>44123</v>
      </c>
      <c r="I442" s="35">
        <v>126532.68</v>
      </c>
      <c r="J442" s="35" t="str">
        <f>IFERROR(VLOOKUP(CONCATENATE(B442,C442,D442,),Inadimplencia!$A$6:$K$110,6,0),"ATIVO")</f>
        <v>ATIVO</v>
      </c>
      <c r="K442" s="35">
        <f t="shared" si="64"/>
        <v>126145.45</v>
      </c>
      <c r="L442" s="325">
        <f t="shared" si="65"/>
        <v>0.99693968388245635</v>
      </c>
      <c r="M442" s="423" t="str">
        <f t="shared" si="66"/>
        <v>ATIVO0</v>
      </c>
      <c r="X442" s="203" t="str">
        <f t="shared" si="61"/>
        <v>LONDRINA [ETAPA 04 - CONDOMINIO ARAGUARI]ATIVO</v>
      </c>
      <c r="Y442" s="203" t="str">
        <f t="shared" si="62"/>
        <v>XLIX3PAULO MENDONÇA FELIX PESSOA</v>
      </c>
      <c r="Z442" s="203" t="str">
        <f t="shared" si="67"/>
        <v>XLIX3PAULO MENDONÇA FELIX PESSOA</v>
      </c>
      <c r="AA442" s="430" t="s">
        <v>620</v>
      </c>
      <c r="AB442" s="427">
        <v>3</v>
      </c>
      <c r="AC442" s="428" t="s">
        <v>1340</v>
      </c>
      <c r="AD442" s="505">
        <v>126145.45</v>
      </c>
      <c r="AE442" s="431">
        <v>138401.76</v>
      </c>
      <c r="AF442" s="60" t="str">
        <f t="shared" si="68"/>
        <v>PAULO MENDONÇA FELIX PESSOA</v>
      </c>
      <c r="AG442" s="60" t="str">
        <f t="shared" si="69"/>
        <v>OK</v>
      </c>
    </row>
    <row r="443" spans="1:33">
      <c r="A443" s="61" t="str">
        <f t="shared" si="63"/>
        <v>LONDRINA [ETAPA 04 - CONDOMINIO ARAGUARI]XLIX4</v>
      </c>
      <c r="B443" s="263" t="s">
        <v>878</v>
      </c>
      <c r="C443" s="337" t="s">
        <v>620</v>
      </c>
      <c r="D443" s="166">
        <v>4</v>
      </c>
      <c r="E443" s="197">
        <v>250.41</v>
      </c>
      <c r="F443" s="166">
        <v>4520</v>
      </c>
      <c r="G443" s="338" t="s">
        <v>1236</v>
      </c>
      <c r="H443" s="40">
        <v>44018</v>
      </c>
      <c r="I443" s="35">
        <v>108100</v>
      </c>
      <c r="J443" s="35" t="str">
        <f>IFERROR(VLOOKUP(CONCATENATE(B443,C443,D443,),Inadimplencia!$A$6:$K$110,6,0),"ATIVO")</f>
        <v>ATIVO</v>
      </c>
      <c r="K443" s="35">
        <f t="shared" si="64"/>
        <v>107506.06</v>
      </c>
      <c r="L443" s="325">
        <f t="shared" si="65"/>
        <v>0.99450564292321919</v>
      </c>
      <c r="M443" s="423" t="str">
        <f t="shared" si="66"/>
        <v>ATIVO0</v>
      </c>
      <c r="X443" s="203" t="str">
        <f t="shared" si="61"/>
        <v>LONDRINA [ETAPA 04 - CONDOMINIO ARAGUARI]ATIVO</v>
      </c>
      <c r="Y443" s="203" t="str">
        <f t="shared" si="62"/>
        <v>XLIX4AUGUSTO CESAR DA SILVA MOREIRA</v>
      </c>
      <c r="Z443" s="203" t="str">
        <f t="shared" si="67"/>
        <v>XLIX4AUGUSTO CESAR DA SILVA MOREIRA</v>
      </c>
      <c r="AA443" s="430" t="s">
        <v>620</v>
      </c>
      <c r="AB443" s="427">
        <v>4</v>
      </c>
      <c r="AC443" s="428" t="s">
        <v>1236</v>
      </c>
      <c r="AD443" s="505">
        <v>107506.06</v>
      </c>
      <c r="AE443" s="431">
        <v>122141.40000000001</v>
      </c>
      <c r="AF443" s="60" t="str">
        <f t="shared" si="68"/>
        <v>AUGUSTO CESAR DA SILVA MOREIRA</v>
      </c>
      <c r="AG443" s="60" t="str">
        <f t="shared" si="69"/>
        <v>OK</v>
      </c>
    </row>
    <row r="444" spans="1:33">
      <c r="A444" s="61" t="str">
        <f t="shared" si="63"/>
        <v>LONDRINA [ETAPA 04 - CONDOMINIO ARAGUARI]XLIX5</v>
      </c>
      <c r="B444" s="263" t="s">
        <v>878</v>
      </c>
      <c r="C444" s="337" t="s">
        <v>620</v>
      </c>
      <c r="D444" s="73">
        <v>5</v>
      </c>
      <c r="E444" s="315">
        <v>256.73</v>
      </c>
      <c r="F444" s="166">
        <v>7118</v>
      </c>
      <c r="G444" s="74" t="s">
        <v>947</v>
      </c>
      <c r="H444" s="40">
        <v>43564</v>
      </c>
      <c r="I444" s="35">
        <v>120554.72</v>
      </c>
      <c r="J444" s="35" t="str">
        <f>IFERROR(VLOOKUP(CONCATENATE(B444,C444,D444,),Inadimplencia!$A$6:$K$110,6,0),"ATIVO")</f>
        <v>ATIVO</v>
      </c>
      <c r="K444" s="35">
        <f t="shared" si="64"/>
        <v>127343.17</v>
      </c>
      <c r="L444" s="325">
        <f t="shared" si="65"/>
        <v>1.0563101137806965</v>
      </c>
      <c r="M444" s="423" t="str">
        <f t="shared" si="66"/>
        <v>ATIVO1</v>
      </c>
      <c r="X444" s="203" t="str">
        <f t="shared" si="61"/>
        <v>LONDRINA [ETAPA 04 - CONDOMINIO ARAGUARI]ATIVO</v>
      </c>
      <c r="Y444" s="203" t="str">
        <f t="shared" si="62"/>
        <v>XLIX5INGRID RODRIGUES PAULINO</v>
      </c>
      <c r="Z444" s="203" t="str">
        <f t="shared" si="67"/>
        <v>XLIX5INGRID RODRIGUES PAULINO</v>
      </c>
      <c r="AA444" s="430" t="s">
        <v>620</v>
      </c>
      <c r="AB444" s="427">
        <v>5</v>
      </c>
      <c r="AC444" s="428" t="s">
        <v>947</v>
      </c>
      <c r="AD444" s="505">
        <v>127343.17</v>
      </c>
      <c r="AE444" s="431">
        <v>159432.12</v>
      </c>
      <c r="AF444" s="60" t="str">
        <f t="shared" si="68"/>
        <v>INGRID RODRIGUES PAULINO</v>
      </c>
      <c r="AG444" s="60" t="str">
        <f t="shared" si="69"/>
        <v>OK</v>
      </c>
    </row>
    <row r="445" spans="1:33">
      <c r="A445" s="61" t="str">
        <f t="shared" si="63"/>
        <v>LONDRINA [ETAPA 04 - CONDOMINIO ARAGUARI]XLIX6</v>
      </c>
      <c r="B445" s="263" t="s">
        <v>878</v>
      </c>
      <c r="C445" s="337" t="s">
        <v>620</v>
      </c>
      <c r="D445" s="166">
        <v>6</v>
      </c>
      <c r="E445" s="197">
        <v>256.73</v>
      </c>
      <c r="F445" s="166">
        <v>4793</v>
      </c>
      <c r="G445" s="338" t="s">
        <v>1311</v>
      </c>
      <c r="H445" s="40">
        <v>44098</v>
      </c>
      <c r="I445" s="35">
        <v>108100</v>
      </c>
      <c r="J445" s="35" t="str">
        <f>IFERROR(VLOOKUP(CONCATENATE(B445,C445,D445,),Inadimplencia!$A$6:$K$110,6,0),"ATIVO")</f>
        <v>ATIVO</v>
      </c>
      <c r="K445" s="35">
        <f t="shared" si="64"/>
        <v>56197.26</v>
      </c>
      <c r="L445" s="325">
        <f t="shared" si="65"/>
        <v>0.519863644773358</v>
      </c>
      <c r="M445" s="423" t="str">
        <f t="shared" si="66"/>
        <v>ATIVO0</v>
      </c>
      <c r="X445" s="203" t="str">
        <f t="shared" si="61"/>
        <v>LONDRINA [ETAPA 04 - CONDOMINIO ARAGUARI]ATIVO</v>
      </c>
      <c r="Y445" s="203" t="str">
        <f t="shared" si="62"/>
        <v>XLIX6VALDEMIR RICCI</v>
      </c>
      <c r="Z445" s="203" t="str">
        <f t="shared" si="67"/>
        <v>XLIX6VALDEMIR RICCI</v>
      </c>
      <c r="AA445" s="430" t="s">
        <v>620</v>
      </c>
      <c r="AB445" s="427">
        <v>6</v>
      </c>
      <c r="AC445" s="428" t="s">
        <v>1311</v>
      </c>
      <c r="AD445" s="505">
        <v>56197.26</v>
      </c>
      <c r="AE445" s="431">
        <v>110787.2</v>
      </c>
      <c r="AF445" s="60" t="str">
        <f t="shared" si="68"/>
        <v>VALDEMIR RICCI</v>
      </c>
      <c r="AG445" s="60" t="str">
        <f t="shared" si="69"/>
        <v>OK</v>
      </c>
    </row>
    <row r="446" spans="1:33">
      <c r="A446" s="61" t="str">
        <f t="shared" si="63"/>
        <v>LONDRINA [ETAPA 04 - CONDOMINIO ARAGUARI]XLIX7</v>
      </c>
      <c r="B446" s="263" t="s">
        <v>878</v>
      </c>
      <c r="C446" s="337" t="s">
        <v>620</v>
      </c>
      <c r="D446" s="73">
        <v>7</v>
      </c>
      <c r="E446" s="315">
        <v>256.73</v>
      </c>
      <c r="F446" s="166">
        <v>6872</v>
      </c>
      <c r="G446" s="74" t="s">
        <v>903</v>
      </c>
      <c r="H446" s="40">
        <v>43482</v>
      </c>
      <c r="I446" s="35">
        <v>104635.72</v>
      </c>
      <c r="J446" s="35" t="str">
        <f>IFERROR(VLOOKUP(CONCATENATE(B446,C446,D446,),Inadimplencia!$A$6:$K$110,6,0),"ATIVO")</f>
        <v>ATIVO</v>
      </c>
      <c r="K446" s="35">
        <f t="shared" si="64"/>
        <v>3186.92</v>
      </c>
      <c r="L446" s="325">
        <f t="shared" si="65"/>
        <v>3.0457285523528676E-2</v>
      </c>
      <c r="M446" s="423" t="str">
        <f t="shared" si="66"/>
        <v>ATIVO0</v>
      </c>
      <c r="X446" s="203" t="str">
        <f t="shared" si="61"/>
        <v>LONDRINA [ETAPA 04 - CONDOMINIO ARAGUARI]ATIVO</v>
      </c>
      <c r="Y446" s="203" t="str">
        <f t="shared" si="62"/>
        <v>XLIX7RYANDER ALVES PEREIRA CRIVILIM</v>
      </c>
      <c r="Z446" s="203" t="str">
        <f t="shared" si="67"/>
        <v>XLIX7RYANDER ALVES PEREIRA CRIVILIM</v>
      </c>
      <c r="AA446" s="430" t="s">
        <v>620</v>
      </c>
      <c r="AB446" s="427">
        <v>7</v>
      </c>
      <c r="AC446" s="428" t="s">
        <v>903</v>
      </c>
      <c r="AD446" s="505">
        <v>3186.92</v>
      </c>
      <c r="AE446" s="431">
        <v>107560.47</v>
      </c>
      <c r="AF446" s="60" t="str">
        <f t="shared" si="68"/>
        <v>RYANDER ALVES PEREIRA CRIVILIM</v>
      </c>
      <c r="AG446" s="60" t="str">
        <f t="shared" si="69"/>
        <v>OK</v>
      </c>
    </row>
    <row r="447" spans="1:33">
      <c r="A447" s="61" t="str">
        <f t="shared" si="63"/>
        <v>LONDRINA [ETAPA 04 - CONDOMINIO ARAGUARI]XLIX8</v>
      </c>
      <c r="B447" s="263" t="s">
        <v>878</v>
      </c>
      <c r="C447" s="337" t="s">
        <v>620</v>
      </c>
      <c r="D447" s="166">
        <v>8</v>
      </c>
      <c r="E447" s="197">
        <v>256.73</v>
      </c>
      <c r="F447" s="166">
        <v>5096</v>
      </c>
      <c r="G447" s="338" t="s">
        <v>1492</v>
      </c>
      <c r="H447" s="40">
        <v>44258</v>
      </c>
      <c r="I447" s="35">
        <v>134177.16</v>
      </c>
      <c r="J447" s="35" t="str">
        <f>IFERROR(VLOOKUP(CONCATENATE(B447,C447,D447,),Inadimplencia!$A$6:$K$110,6,0),"ATIVO")</f>
        <v>ATIVO</v>
      </c>
      <c r="K447" s="35">
        <f t="shared" si="64"/>
        <v>92966.03</v>
      </c>
      <c r="L447" s="325">
        <f t="shared" si="65"/>
        <v>0.69286031989349006</v>
      </c>
      <c r="M447" s="423" t="str">
        <f t="shared" si="66"/>
        <v>ATIVO0</v>
      </c>
      <c r="X447" s="203" t="str">
        <f t="shared" si="61"/>
        <v>LONDRINA [ETAPA 04 - CONDOMINIO ARAGUARI]ATIVO</v>
      </c>
      <c r="Y447" s="203" t="str">
        <f t="shared" si="62"/>
        <v>XLIX8MICHELLI GUERMANI</v>
      </c>
      <c r="Z447" s="203" t="str">
        <f t="shared" si="67"/>
        <v>XLIX8MICHELLI GUERMANI</v>
      </c>
      <c r="AA447" s="430" t="s">
        <v>620</v>
      </c>
      <c r="AB447" s="427">
        <v>8</v>
      </c>
      <c r="AC447" s="428" t="s">
        <v>1492</v>
      </c>
      <c r="AD447" s="505">
        <v>92966.03</v>
      </c>
      <c r="AE447" s="431">
        <v>134401.53</v>
      </c>
      <c r="AF447" s="60" t="str">
        <f t="shared" si="68"/>
        <v>MICHELLI GUERMANI</v>
      </c>
      <c r="AG447" s="60" t="str">
        <f t="shared" si="69"/>
        <v>OK</v>
      </c>
    </row>
    <row r="448" spans="1:33">
      <c r="A448" s="61" t="str">
        <f t="shared" si="63"/>
        <v>LONDRINA [ETAPA 04 - CONDOMINIO ARAGUARI]XLIX9</v>
      </c>
      <c r="B448" s="263" t="s">
        <v>878</v>
      </c>
      <c r="C448" s="337" t="s">
        <v>620</v>
      </c>
      <c r="D448" s="73">
        <v>9</v>
      </c>
      <c r="E448" s="315">
        <v>256.73</v>
      </c>
      <c r="F448" s="166">
        <v>3138</v>
      </c>
      <c r="G448" s="74" t="s">
        <v>1071</v>
      </c>
      <c r="H448" s="40">
        <v>43761</v>
      </c>
      <c r="I448" s="35">
        <v>106220.55</v>
      </c>
      <c r="J448" s="35" t="str">
        <f>IFERROR(VLOOKUP(CONCATENATE(B448,C448,D448,),Inadimplencia!$A$6:$K$110,6,0),"ATIVO")</f>
        <v>ATIVO</v>
      </c>
      <c r="K448" s="35">
        <f t="shared" si="64"/>
        <v>38950.68</v>
      </c>
      <c r="L448" s="325">
        <f t="shared" si="65"/>
        <v>0.36669627487336487</v>
      </c>
      <c r="M448" s="423" t="str">
        <f t="shared" si="66"/>
        <v>ATIVO0</v>
      </c>
      <c r="X448" s="203" t="str">
        <f t="shared" si="61"/>
        <v>LONDRINA [ETAPA 04 - CONDOMINIO ARAGUARI]ATIVO</v>
      </c>
      <c r="Y448" s="203" t="str">
        <f t="shared" si="62"/>
        <v>XLIX9KARLA CAROLINA CARNIETTO TEODORO</v>
      </c>
      <c r="Z448" s="203" t="str">
        <f t="shared" si="67"/>
        <v>XLIX9KARLA CAROLINA CARNIETTO TEODORO</v>
      </c>
      <c r="AA448" s="430" t="s">
        <v>620</v>
      </c>
      <c r="AB448" s="427">
        <v>9</v>
      </c>
      <c r="AC448" s="428" t="s">
        <v>1071</v>
      </c>
      <c r="AD448" s="505">
        <v>38950.68</v>
      </c>
      <c r="AE448" s="431">
        <v>127483.68000000001</v>
      </c>
      <c r="AF448" s="60" t="str">
        <f t="shared" si="68"/>
        <v>KARLA CAROLINA CARNIETTO TEODORO</v>
      </c>
      <c r="AG448" s="60" t="str">
        <f t="shared" si="69"/>
        <v>OK</v>
      </c>
    </row>
    <row r="449" spans="1:33">
      <c r="A449" s="61" t="str">
        <f t="shared" si="63"/>
        <v>LONDRINA [ETAPA 04 - CONDOMINIO ARAGUARI]XLIX10</v>
      </c>
      <c r="B449" s="263" t="s">
        <v>878</v>
      </c>
      <c r="C449" s="337" t="s">
        <v>620</v>
      </c>
      <c r="D449" s="166">
        <v>10</v>
      </c>
      <c r="E449" s="197">
        <v>256.73</v>
      </c>
      <c r="F449" s="166">
        <v>4521</v>
      </c>
      <c r="G449" s="338" t="s">
        <v>1237</v>
      </c>
      <c r="H449" s="40">
        <v>44029</v>
      </c>
      <c r="I449" s="35">
        <v>103400</v>
      </c>
      <c r="J449" s="35" t="str">
        <f>IFERROR(VLOOKUP(CONCATENATE(B449,C449,D449,),Inadimplencia!$A$6:$K$110,6,0),"ATIVO")</f>
        <v>ATIVO</v>
      </c>
      <c r="K449" s="35">
        <f t="shared" si="64"/>
        <v>34716.660000000003</v>
      </c>
      <c r="L449" s="325">
        <f t="shared" si="65"/>
        <v>0.33575106382978726</v>
      </c>
      <c r="M449" s="423" t="str">
        <f t="shared" si="66"/>
        <v>ATIVO0</v>
      </c>
      <c r="X449" s="203" t="str">
        <f t="shared" si="61"/>
        <v>LONDRINA [ETAPA 04 - CONDOMINIO ARAGUARI]ATIVO</v>
      </c>
      <c r="Y449" s="203" t="str">
        <f t="shared" si="62"/>
        <v>XLIX10FRANCISCO FERNANDES JUNIOR</v>
      </c>
      <c r="Z449" s="203" t="str">
        <f t="shared" si="67"/>
        <v>XLIX10FRANCISCO FERNANDES JUNIOR</v>
      </c>
      <c r="AA449" s="430" t="s">
        <v>620</v>
      </c>
      <c r="AB449" s="427">
        <v>10</v>
      </c>
      <c r="AC449" s="428" t="s">
        <v>1237</v>
      </c>
      <c r="AD449" s="505">
        <v>34716.660000000003</v>
      </c>
      <c r="AE449" s="431">
        <v>105194.96</v>
      </c>
      <c r="AF449" s="60" t="str">
        <f t="shared" si="68"/>
        <v>FRANCISCO FERNANDES JUNIOR</v>
      </c>
      <c r="AG449" s="60" t="str">
        <f t="shared" si="69"/>
        <v>OK</v>
      </c>
    </row>
    <row r="450" spans="1:33">
      <c r="A450" s="61" t="str">
        <f t="shared" si="63"/>
        <v>LONDRINA [ETAPA 04 - CONDOMINIO ARAGUARI]XLIX11</v>
      </c>
      <c r="B450" s="263" t="s">
        <v>878</v>
      </c>
      <c r="C450" s="337" t="s">
        <v>620</v>
      </c>
      <c r="D450" s="73">
        <v>11</v>
      </c>
      <c r="E450" s="315">
        <v>256.73</v>
      </c>
      <c r="F450" s="166">
        <v>4519</v>
      </c>
      <c r="G450" s="74" t="s">
        <v>1238</v>
      </c>
      <c r="H450" s="40">
        <v>44029</v>
      </c>
      <c r="I450" s="35">
        <v>103400</v>
      </c>
      <c r="J450" s="35" t="str">
        <f>IFERROR(VLOOKUP(CONCATENATE(B450,C450,D450,),Inadimplencia!$A$6:$K$110,6,0),"ATIVO")</f>
        <v>ATIVO</v>
      </c>
      <c r="K450" s="35">
        <f t="shared" si="64"/>
        <v>46288.88</v>
      </c>
      <c r="L450" s="325">
        <f t="shared" si="65"/>
        <v>0.44766808510638295</v>
      </c>
      <c r="M450" s="423" t="str">
        <f t="shared" si="66"/>
        <v>ATIVO0</v>
      </c>
      <c r="X450" s="203" t="str">
        <f t="shared" si="61"/>
        <v>LONDRINA [ETAPA 04 - CONDOMINIO ARAGUARI]ATIVO</v>
      </c>
      <c r="Y450" s="203" t="str">
        <f t="shared" si="62"/>
        <v>XLIX11DOUGLAS DUARTE VIEIRA</v>
      </c>
      <c r="Z450" s="203" t="str">
        <f t="shared" si="67"/>
        <v>XLIX11DOUGLAS DUARTE VIEIRA</v>
      </c>
      <c r="AA450" s="430" t="s">
        <v>620</v>
      </c>
      <c r="AB450" s="427">
        <v>11</v>
      </c>
      <c r="AC450" s="428" t="s">
        <v>1238</v>
      </c>
      <c r="AD450" s="505">
        <v>46288.88</v>
      </c>
      <c r="AE450" s="431">
        <v>105792.79000000001</v>
      </c>
      <c r="AF450" s="60" t="str">
        <f t="shared" si="68"/>
        <v>DOUGLAS DUARTE VIEIRA</v>
      </c>
      <c r="AG450" s="60" t="str">
        <f t="shared" si="69"/>
        <v>OK</v>
      </c>
    </row>
    <row r="451" spans="1:33">
      <c r="A451" s="61" t="str">
        <f t="shared" si="63"/>
        <v>LONDRINA [ETAPA 04 - CONDOMINIO ARAGUARI]XLIX12</v>
      </c>
      <c r="B451" s="263" t="s">
        <v>878</v>
      </c>
      <c r="C451" s="337" t="s">
        <v>620</v>
      </c>
      <c r="D451" s="166">
        <v>12</v>
      </c>
      <c r="E451" s="197">
        <v>256.73</v>
      </c>
      <c r="F451" s="166">
        <v>4581</v>
      </c>
      <c r="G451" s="338" t="s">
        <v>1233</v>
      </c>
      <c r="H451" s="40">
        <v>44034</v>
      </c>
      <c r="I451" s="35">
        <v>101520</v>
      </c>
      <c r="J451" s="35" t="str">
        <f>IFERROR(VLOOKUP(CONCATENATE(B451,C451,D451,),Inadimplencia!$A$6:$K$110,6,0),"ATIVO")</f>
        <v>ATIVO</v>
      </c>
      <c r="K451" s="35">
        <f t="shared" si="64"/>
        <v>62069.24</v>
      </c>
      <c r="L451" s="325">
        <f t="shared" si="65"/>
        <v>0.61139913317572891</v>
      </c>
      <c r="M451" s="423" t="str">
        <f t="shared" si="66"/>
        <v>ATIVO0</v>
      </c>
      <c r="X451" s="203" t="str">
        <f t="shared" si="61"/>
        <v>LONDRINA [ETAPA 04 - CONDOMINIO ARAGUARI]ATIVO</v>
      </c>
      <c r="Y451" s="203" t="str">
        <f t="shared" si="62"/>
        <v>XLIX12CLEONILDO DA SILVA POGGIAN</v>
      </c>
      <c r="Z451" s="203" t="str">
        <f t="shared" si="67"/>
        <v>XLIX12CLEONILDO DA SILVA POGGIAN</v>
      </c>
      <c r="AA451" s="430" t="s">
        <v>620</v>
      </c>
      <c r="AB451" s="427">
        <v>12</v>
      </c>
      <c r="AC451" s="429" t="s">
        <v>1233</v>
      </c>
      <c r="AD451" s="505">
        <v>62069.24</v>
      </c>
      <c r="AE451" s="431">
        <v>104736.45</v>
      </c>
      <c r="AF451" s="60" t="str">
        <f t="shared" si="68"/>
        <v>CLEONILDO DA SILVA POGGIAN</v>
      </c>
      <c r="AG451" s="60" t="str">
        <f t="shared" si="69"/>
        <v>OK</v>
      </c>
    </row>
    <row r="452" spans="1:33">
      <c r="A452" s="61" t="str">
        <f t="shared" si="63"/>
        <v>LONDRINA [ETAPA 04 - CONDOMINIO ARAGUARI]XLIX13</v>
      </c>
      <c r="B452" s="263" t="s">
        <v>878</v>
      </c>
      <c r="C452" s="337" t="s">
        <v>620</v>
      </c>
      <c r="D452" s="73">
        <v>13</v>
      </c>
      <c r="E452" s="315">
        <v>256.73</v>
      </c>
      <c r="F452" s="166">
        <v>3763</v>
      </c>
      <c r="G452" s="74" t="s">
        <v>1396</v>
      </c>
      <c r="H452" s="40">
        <v>43865</v>
      </c>
      <c r="I452" s="35">
        <v>108099.75</v>
      </c>
      <c r="J452" s="35" t="str">
        <f>IFERROR(VLOOKUP(CONCATENATE(B452,C452,D452,),Inadimplencia!$A$6:$K$110,6,0),"ATIVO")</f>
        <v>ATIVO</v>
      </c>
      <c r="K452" s="35">
        <f t="shared" si="64"/>
        <v>95202.2</v>
      </c>
      <c r="L452" s="325">
        <f t="shared" si="65"/>
        <v>0.88068843822488019</v>
      </c>
      <c r="M452" s="423" t="str">
        <f t="shared" si="66"/>
        <v>ATIVO0</v>
      </c>
      <c r="X452" s="203" t="str">
        <f t="shared" si="61"/>
        <v>LONDRINA [ETAPA 04 - CONDOMINIO ARAGUARI]ATIVO</v>
      </c>
      <c r="Y452" s="203" t="str">
        <f t="shared" si="62"/>
        <v>XLIX13MARCELO NAVARRO MODESTO</v>
      </c>
      <c r="Z452" s="203" t="str">
        <f t="shared" si="67"/>
        <v>XLIX13MARCELO NAVARRO MODESTO</v>
      </c>
      <c r="AA452" s="430" t="s">
        <v>620</v>
      </c>
      <c r="AB452" s="427">
        <v>13</v>
      </c>
      <c r="AC452" s="428" t="s">
        <v>1396</v>
      </c>
      <c r="AD452" s="505">
        <v>95202.2</v>
      </c>
      <c r="AE452" s="431">
        <v>126571.33</v>
      </c>
      <c r="AF452" s="60" t="str">
        <f t="shared" si="68"/>
        <v>MARCELO NAVARRO MODESTO</v>
      </c>
      <c r="AG452" s="60" t="str">
        <f t="shared" si="69"/>
        <v>OK</v>
      </c>
    </row>
    <row r="453" spans="1:33">
      <c r="A453" s="61" t="str">
        <f t="shared" si="63"/>
        <v>LONDRINA [ETAPA 04 - CONDOMINIO ARAGUARI]XLIX14</v>
      </c>
      <c r="B453" s="263" t="s">
        <v>878</v>
      </c>
      <c r="C453" s="337" t="s">
        <v>620</v>
      </c>
      <c r="D453" s="166">
        <v>14</v>
      </c>
      <c r="E453" s="197">
        <v>256.73</v>
      </c>
      <c r="F453" s="166">
        <v>4648</v>
      </c>
      <c r="G453" s="338" t="s">
        <v>1260</v>
      </c>
      <c r="H453" s="40">
        <v>44046</v>
      </c>
      <c r="I453" s="35">
        <v>103399.8</v>
      </c>
      <c r="J453" s="35" t="str">
        <f>IFERROR(VLOOKUP(CONCATENATE(B453,C453,D453,),Inadimplencia!$A$6:$K$110,6,0),"ATIVO")</f>
        <v>ATIVO</v>
      </c>
      <c r="K453" s="35">
        <f t="shared" si="64"/>
        <v>4620.55</v>
      </c>
      <c r="L453" s="325">
        <f t="shared" si="65"/>
        <v>4.4686256646531232E-2</v>
      </c>
      <c r="M453" s="423" t="str">
        <f t="shared" si="66"/>
        <v>ATIVO0</v>
      </c>
      <c r="X453" s="203" t="str">
        <f t="shared" ref="X453:X516" si="70">CONCATENATE(B453,J453)</f>
        <v>LONDRINA [ETAPA 04 - CONDOMINIO ARAGUARI]ATIVO</v>
      </c>
      <c r="Y453" s="203" t="str">
        <f t="shared" ref="Y453:Y516" si="71">CONCATENATE(C453,D453,G453)</f>
        <v>XLIX14GUILHERME RODRIGUES SPOLADOR</v>
      </c>
      <c r="Z453" s="203" t="str">
        <f t="shared" si="67"/>
        <v>XLIX14GUILHERME RODRIGUES SPOLADOR</v>
      </c>
      <c r="AA453" s="430" t="s">
        <v>620</v>
      </c>
      <c r="AB453" s="427">
        <v>14</v>
      </c>
      <c r="AC453" s="428" t="s">
        <v>1260</v>
      </c>
      <c r="AD453" s="505">
        <v>4620.55</v>
      </c>
      <c r="AE453" s="431">
        <v>107006.43000000001</v>
      </c>
      <c r="AF453" s="60" t="str">
        <f t="shared" si="68"/>
        <v>GUILHERME RODRIGUES SPOLADOR</v>
      </c>
      <c r="AG453" s="60" t="str">
        <f t="shared" si="69"/>
        <v>OK</v>
      </c>
    </row>
    <row r="454" spans="1:33">
      <c r="A454" s="61" t="str">
        <f t="shared" ref="A454:A517" si="72">CONCATENATE(B454,C454,D454)</f>
        <v>LONDRINA [ETAPA 04 - CONDOMINIO ARAGUARI]XLIX15</v>
      </c>
      <c r="B454" s="263" t="s">
        <v>878</v>
      </c>
      <c r="C454" s="337" t="s">
        <v>620</v>
      </c>
      <c r="D454" s="73">
        <v>15</v>
      </c>
      <c r="E454" s="315">
        <v>256.73</v>
      </c>
      <c r="F454" s="166">
        <v>4670</v>
      </c>
      <c r="G454" s="74" t="s">
        <v>1261</v>
      </c>
      <c r="H454" s="40">
        <v>44064</v>
      </c>
      <c r="I454" s="35">
        <v>108100.6</v>
      </c>
      <c r="J454" s="35" t="str">
        <f>IFERROR(VLOOKUP(CONCATENATE(B454,C454,D454,),Inadimplencia!$A$6:$K$110,6,0),"ATIVO")</f>
        <v>ATIVO</v>
      </c>
      <c r="K454" s="35">
        <f t="shared" ref="K454:K517" si="73">VLOOKUP(Y454,$Z$5:$AD$520,5,0)</f>
        <v>96420.59</v>
      </c>
      <c r="L454" s="325">
        <f t="shared" ref="L454:L517" si="74">K454/I454</f>
        <v>0.89195240359442951</v>
      </c>
      <c r="M454" s="423" t="str">
        <f t="shared" ref="M454:M517" si="75">CONCATENATE(J454,IF(L454&gt;100%,1,0))</f>
        <v>ATIVO0</v>
      </c>
      <c r="X454" s="203" t="str">
        <f t="shared" si="70"/>
        <v>LONDRINA [ETAPA 04 - CONDOMINIO ARAGUARI]ATIVO</v>
      </c>
      <c r="Y454" s="203" t="str">
        <f t="shared" si="71"/>
        <v>XLIX15VINICIUS NOGUEIRA DE PAULA</v>
      </c>
      <c r="Z454" s="203" t="str">
        <f t="shared" ref="Z454:Z517" si="76">CONCATENATE(AA454,AB454,AC454)</f>
        <v>XLIX15VINICIUS NOGUEIRA DE PAULA</v>
      </c>
      <c r="AA454" s="430" t="s">
        <v>620</v>
      </c>
      <c r="AB454" s="427">
        <v>15</v>
      </c>
      <c r="AC454" s="429" t="s">
        <v>1261</v>
      </c>
      <c r="AD454" s="505">
        <v>96420.59</v>
      </c>
      <c r="AE454" s="431">
        <v>119447.92</v>
      </c>
      <c r="AF454" s="60" t="str">
        <f t="shared" ref="AF454:AF517" si="77">VLOOKUP(AC454,$G$5:$G$520,1,0)</f>
        <v>VINICIUS NOGUEIRA DE PAULA</v>
      </c>
      <c r="AG454" s="60" t="str">
        <f t="shared" ref="AG454:AG517" si="78">IF(AC454=AF454,"OK","NÃO BATE")</f>
        <v>OK</v>
      </c>
    </row>
    <row r="455" spans="1:33">
      <c r="A455" s="61" t="str">
        <f t="shared" si="72"/>
        <v>LONDRINA [ETAPA 04 - CONDOMINIO ARAGUARI]XLIX16</v>
      </c>
      <c r="B455" s="263" t="s">
        <v>878</v>
      </c>
      <c r="C455" s="337" t="s">
        <v>620</v>
      </c>
      <c r="D455" s="166">
        <v>16</v>
      </c>
      <c r="E455" s="197">
        <v>256.73</v>
      </c>
      <c r="F455" s="166"/>
      <c r="G455" s="338" t="s">
        <v>1052</v>
      </c>
      <c r="H455" s="40">
        <v>43691</v>
      </c>
      <c r="I455" s="35">
        <v>108100</v>
      </c>
      <c r="J455" s="35" t="str">
        <f>IFERROR(VLOOKUP(CONCATENATE(B455,C455,D455,),Inadimplencia!$A$6:$K$110,6,0),"ATIVO")</f>
        <v>ATRASO</v>
      </c>
      <c r="K455" s="35">
        <f t="shared" si="73"/>
        <v>108711.35</v>
      </c>
      <c r="L455" s="325">
        <f t="shared" si="74"/>
        <v>1.0056554116558742</v>
      </c>
      <c r="M455" s="423" t="str">
        <f t="shared" si="75"/>
        <v>ATRASO1</v>
      </c>
      <c r="X455" s="203" t="str">
        <f t="shared" si="70"/>
        <v>LONDRINA [ETAPA 04 - CONDOMINIO ARAGUARI]ATRASO</v>
      </c>
      <c r="Y455" s="203" t="str">
        <f t="shared" si="71"/>
        <v>XLIX16WILLIAM EVANGELISTA TEODORO</v>
      </c>
      <c r="Z455" s="203" t="str">
        <f t="shared" si="76"/>
        <v>XLIX16WILLIAM EVANGELISTA TEODORO</v>
      </c>
      <c r="AA455" s="430" t="s">
        <v>620</v>
      </c>
      <c r="AB455" s="427">
        <v>16</v>
      </c>
      <c r="AC455" s="429" t="s">
        <v>1052</v>
      </c>
      <c r="AD455" s="505">
        <v>108711.35</v>
      </c>
      <c r="AE455" s="431">
        <v>133222.83000000002</v>
      </c>
      <c r="AF455" s="60" t="str">
        <f t="shared" si="77"/>
        <v>WILLIAM EVANGELISTA TEODORO</v>
      </c>
      <c r="AG455" s="60" t="str">
        <f t="shared" si="78"/>
        <v>OK</v>
      </c>
    </row>
    <row r="456" spans="1:33">
      <c r="A456" s="61" t="str">
        <f t="shared" si="72"/>
        <v>LONDRINA [ETAPA 04 - CONDOMINIO ARAGUARI]XLIX17</v>
      </c>
      <c r="B456" s="263" t="s">
        <v>878</v>
      </c>
      <c r="C456" s="337" t="s">
        <v>620</v>
      </c>
      <c r="D456" s="73">
        <v>17</v>
      </c>
      <c r="E456" s="315">
        <v>256.73</v>
      </c>
      <c r="F456" s="166">
        <v>4952</v>
      </c>
      <c r="G456" s="74" t="s">
        <v>1389</v>
      </c>
      <c r="H456" s="40">
        <v>44183</v>
      </c>
      <c r="I456" s="35">
        <v>134176.66</v>
      </c>
      <c r="J456" s="35" t="str">
        <f>IFERROR(VLOOKUP(CONCATENATE(B456,C456,D456,),Inadimplencia!$A$6:$K$110,6,0),"ATIVO")</f>
        <v>ATIVO</v>
      </c>
      <c r="K456" s="35">
        <f t="shared" si="73"/>
        <v>89252.71</v>
      </c>
      <c r="L456" s="325">
        <f t="shared" si="74"/>
        <v>0.66518804388184949</v>
      </c>
      <c r="M456" s="423" t="str">
        <f t="shared" si="75"/>
        <v>ATIVO0</v>
      </c>
      <c r="X456" s="203" t="str">
        <f t="shared" si="70"/>
        <v>LONDRINA [ETAPA 04 - CONDOMINIO ARAGUARI]ATIVO</v>
      </c>
      <c r="Y456" s="203" t="str">
        <f t="shared" si="71"/>
        <v>XLIX17BRUNO HENRIQUE FAGUNDES DE SOUZA</v>
      </c>
      <c r="Z456" s="203" t="str">
        <f t="shared" si="76"/>
        <v>XLIX17BRUNO HENRIQUE FAGUNDES DE SOUZA</v>
      </c>
      <c r="AA456" s="430" t="s">
        <v>620</v>
      </c>
      <c r="AB456" s="427">
        <v>17</v>
      </c>
      <c r="AC456" s="428" t="s">
        <v>1389</v>
      </c>
      <c r="AD456" s="505">
        <v>89252.71</v>
      </c>
      <c r="AE456" s="431">
        <v>136636.97</v>
      </c>
      <c r="AF456" s="60" t="str">
        <f t="shared" si="77"/>
        <v>BRUNO HENRIQUE FAGUNDES DE SOUZA</v>
      </c>
      <c r="AG456" s="60" t="str">
        <f t="shared" si="78"/>
        <v>OK</v>
      </c>
    </row>
    <row r="457" spans="1:33">
      <c r="A457" s="61" t="str">
        <f t="shared" si="72"/>
        <v>LONDRINA [ETAPA 04 - CONDOMINIO ARAGUARI]XLIX26</v>
      </c>
      <c r="B457" s="263" t="s">
        <v>878</v>
      </c>
      <c r="C457" s="337" t="s">
        <v>620</v>
      </c>
      <c r="D457" s="166">
        <v>26</v>
      </c>
      <c r="E457" s="197">
        <v>263.97000000000003</v>
      </c>
      <c r="F457" s="166"/>
      <c r="G457" s="338" t="s">
        <v>983</v>
      </c>
      <c r="H457" s="40">
        <v>43636</v>
      </c>
      <c r="I457" s="35">
        <v>117500</v>
      </c>
      <c r="J457" s="35" t="str">
        <f>IFERROR(VLOOKUP(CONCATENATE(B457,C457,D457,),Inadimplencia!$A$6:$K$110,6,0),"ATIVO")</f>
        <v>ATRASO</v>
      </c>
      <c r="K457" s="35">
        <f t="shared" si="73"/>
        <v>14087.15</v>
      </c>
      <c r="L457" s="325">
        <f t="shared" si="74"/>
        <v>0.11989063829787233</v>
      </c>
      <c r="M457" s="423" t="str">
        <f t="shared" si="75"/>
        <v>ATRASO0</v>
      </c>
      <c r="X457" s="203" t="str">
        <f t="shared" si="70"/>
        <v>LONDRINA [ETAPA 04 - CONDOMINIO ARAGUARI]ATRASO</v>
      </c>
      <c r="Y457" s="203" t="str">
        <f t="shared" si="71"/>
        <v>XLIX26MARCOS RIBEIRO MORGAN</v>
      </c>
      <c r="Z457" s="203" t="str">
        <f t="shared" si="76"/>
        <v>XLIX26MARCOS RIBEIRO MORGAN</v>
      </c>
      <c r="AA457" s="430" t="s">
        <v>620</v>
      </c>
      <c r="AB457" s="427">
        <v>26</v>
      </c>
      <c r="AC457" s="428" t="s">
        <v>983</v>
      </c>
      <c r="AD457" s="505">
        <v>14087.15</v>
      </c>
      <c r="AE457" s="431">
        <v>111154.86</v>
      </c>
      <c r="AF457" s="60" t="str">
        <f t="shared" si="77"/>
        <v>MARCOS RIBEIRO MORGAN</v>
      </c>
      <c r="AG457" s="60" t="str">
        <f t="shared" si="78"/>
        <v>OK</v>
      </c>
    </row>
    <row r="458" spans="1:33">
      <c r="A458" s="61" t="str">
        <f t="shared" si="72"/>
        <v>LONDRINA [ETAPA 04 - CONDOMINIO ARAGUARI]XLIX27</v>
      </c>
      <c r="B458" s="263" t="s">
        <v>878</v>
      </c>
      <c r="C458" s="337" t="s">
        <v>620</v>
      </c>
      <c r="D458" s="73">
        <v>27</v>
      </c>
      <c r="E458" s="315">
        <v>263.97000000000003</v>
      </c>
      <c r="F458" s="166">
        <v>3786</v>
      </c>
      <c r="G458" s="74" t="s">
        <v>983</v>
      </c>
      <c r="H458" s="40">
        <v>43867</v>
      </c>
      <c r="I458" s="35">
        <v>117500</v>
      </c>
      <c r="J458" s="35" t="str">
        <f>IFERROR(VLOOKUP(CONCATENATE(B458,C458,D458,),Inadimplencia!$A$6:$K$110,6,0),"ATIVO")</f>
        <v>ATRASO</v>
      </c>
      <c r="K458" s="35">
        <f t="shared" si="73"/>
        <v>77108.5</v>
      </c>
      <c r="L458" s="325">
        <f t="shared" si="74"/>
        <v>0.65624255319148939</v>
      </c>
      <c r="M458" s="423" t="str">
        <f t="shared" si="75"/>
        <v>ATRASO0</v>
      </c>
      <c r="X458" s="203" t="str">
        <f t="shared" si="70"/>
        <v>LONDRINA [ETAPA 04 - CONDOMINIO ARAGUARI]ATRASO</v>
      </c>
      <c r="Y458" s="203" t="str">
        <f t="shared" si="71"/>
        <v>XLIX27MARCOS RIBEIRO MORGAN</v>
      </c>
      <c r="Z458" s="203" t="str">
        <f t="shared" si="76"/>
        <v>XLIX27MARCOS RIBEIRO MORGAN</v>
      </c>
      <c r="AA458" s="430" t="s">
        <v>620</v>
      </c>
      <c r="AB458" s="427">
        <v>27</v>
      </c>
      <c r="AC458" s="428" t="s">
        <v>983</v>
      </c>
      <c r="AD458" s="505">
        <v>77108.5</v>
      </c>
      <c r="AE458" s="431">
        <v>110381.96</v>
      </c>
      <c r="AF458" s="60" t="str">
        <f t="shared" si="77"/>
        <v>MARCOS RIBEIRO MORGAN</v>
      </c>
      <c r="AG458" s="60" t="str">
        <f t="shared" si="78"/>
        <v>OK</v>
      </c>
    </row>
    <row r="459" spans="1:33">
      <c r="A459" s="61" t="str">
        <f t="shared" si="72"/>
        <v>LONDRINA [ETAPA 04 - CONDOMINIO ARAGUARI]XLV1</v>
      </c>
      <c r="B459" s="263" t="s">
        <v>878</v>
      </c>
      <c r="C459" s="337" t="s">
        <v>616</v>
      </c>
      <c r="D459" s="166">
        <v>1</v>
      </c>
      <c r="E459" s="197">
        <v>274.93</v>
      </c>
      <c r="F459" s="166">
        <v>5088</v>
      </c>
      <c r="G459" s="338" t="s">
        <v>1493</v>
      </c>
      <c r="H459" s="40">
        <v>44258</v>
      </c>
      <c r="I459" s="35">
        <v>171834.46</v>
      </c>
      <c r="J459" s="35" t="str">
        <f>IFERROR(VLOOKUP(CONCATENATE(B459,C459,D459,),Inadimplencia!$A$6:$K$110,6,0),"ATIVO")</f>
        <v>ATIVO</v>
      </c>
      <c r="K459" s="35">
        <f t="shared" si="73"/>
        <v>146595.84</v>
      </c>
      <c r="L459" s="325">
        <f t="shared" si="74"/>
        <v>0.85312247613197034</v>
      </c>
      <c r="M459" s="423" t="str">
        <f t="shared" si="75"/>
        <v>ATIVO0</v>
      </c>
      <c r="X459" s="203" t="str">
        <f t="shared" si="70"/>
        <v>LONDRINA [ETAPA 04 - CONDOMINIO ARAGUARI]ATIVO</v>
      </c>
      <c r="Y459" s="203" t="str">
        <f t="shared" si="71"/>
        <v>XLV1HEVELIN MIKA MIYA</v>
      </c>
      <c r="Z459" s="203" t="str">
        <f t="shared" si="76"/>
        <v>XLV1HEVELIN MIKA MIYA</v>
      </c>
      <c r="AA459" s="430" t="s">
        <v>616</v>
      </c>
      <c r="AB459" s="427">
        <v>1</v>
      </c>
      <c r="AC459" s="428" t="s">
        <v>1493</v>
      </c>
      <c r="AD459" s="505">
        <v>146595.84</v>
      </c>
      <c r="AE459" s="431">
        <v>172188.22</v>
      </c>
      <c r="AF459" s="60" t="str">
        <f t="shared" si="77"/>
        <v>HEVELIN MIKA MIYA</v>
      </c>
      <c r="AG459" s="60" t="str">
        <f t="shared" si="78"/>
        <v>OK</v>
      </c>
    </row>
    <row r="460" spans="1:33">
      <c r="A460" s="61" t="str">
        <f t="shared" si="72"/>
        <v>LONDRINA [ETAPA 04 - CONDOMINIO ARAGUARI]XLV2</v>
      </c>
      <c r="B460" s="263" t="s">
        <v>878</v>
      </c>
      <c r="C460" s="337" t="s">
        <v>616</v>
      </c>
      <c r="D460" s="73">
        <v>2</v>
      </c>
      <c r="E460" s="315">
        <v>263.04000000000002</v>
      </c>
      <c r="F460" s="166">
        <v>4993</v>
      </c>
      <c r="G460" s="74" t="s">
        <v>1415</v>
      </c>
      <c r="H460" s="40">
        <v>44222</v>
      </c>
      <c r="I460" s="35">
        <v>159471.6</v>
      </c>
      <c r="J460" s="35" t="str">
        <f>IFERROR(VLOOKUP(CONCATENATE(B460,C460,D460,),Inadimplencia!$A$6:$K$110,6,0),"ATIVO")</f>
        <v>ATIVO</v>
      </c>
      <c r="K460" s="35">
        <f t="shared" si="73"/>
        <v>154867.45000000001</v>
      </c>
      <c r="L460" s="325">
        <f t="shared" si="74"/>
        <v>0.97112871508155685</v>
      </c>
      <c r="M460" s="423" t="str">
        <f t="shared" si="75"/>
        <v>ATIVO0</v>
      </c>
      <c r="X460" s="203" t="str">
        <f t="shared" si="70"/>
        <v>LONDRINA [ETAPA 04 - CONDOMINIO ARAGUARI]ATIVO</v>
      </c>
      <c r="Y460" s="203" t="str">
        <f t="shared" si="71"/>
        <v>XLV2RENATO ZANIN</v>
      </c>
      <c r="Z460" s="203" t="str">
        <f t="shared" si="76"/>
        <v>XLV2RENATO ZANIN</v>
      </c>
      <c r="AA460" s="430" t="s">
        <v>616</v>
      </c>
      <c r="AB460" s="427">
        <v>2</v>
      </c>
      <c r="AC460" s="428" t="s">
        <v>1415</v>
      </c>
      <c r="AD460" s="505">
        <v>154867.45000000001</v>
      </c>
      <c r="AE460" s="431">
        <v>166081.91</v>
      </c>
      <c r="AF460" s="60" t="str">
        <f t="shared" si="77"/>
        <v>RENATO ZANIN</v>
      </c>
      <c r="AG460" s="60" t="str">
        <f t="shared" si="78"/>
        <v>OK</v>
      </c>
    </row>
    <row r="461" spans="1:33">
      <c r="A461" s="61" t="str">
        <f t="shared" si="72"/>
        <v>LONDRINA [ETAPA 04 - CONDOMINIO ARAGUARI]XLV3</v>
      </c>
      <c r="B461" s="263" t="s">
        <v>878</v>
      </c>
      <c r="C461" s="337" t="s">
        <v>616</v>
      </c>
      <c r="D461" s="166">
        <v>3</v>
      </c>
      <c r="E461" s="197">
        <v>268.16000000000003</v>
      </c>
      <c r="F461" s="166">
        <v>5020</v>
      </c>
      <c r="G461" s="338" t="s">
        <v>1479</v>
      </c>
      <c r="H461" s="40">
        <v>44236</v>
      </c>
      <c r="I461" s="35">
        <v>164500.1</v>
      </c>
      <c r="J461" s="35" t="str">
        <f>IFERROR(VLOOKUP(CONCATENATE(B461,C461,D461,),Inadimplencia!$A$6:$K$110,6,0),"ATIVO")</f>
        <v>ATIVO</v>
      </c>
      <c r="K461" s="35">
        <f t="shared" si="73"/>
        <v>136264.6</v>
      </c>
      <c r="L461" s="325">
        <f t="shared" si="74"/>
        <v>0.82835572744332675</v>
      </c>
      <c r="M461" s="423" t="str">
        <f t="shared" si="75"/>
        <v>ATIVO0</v>
      </c>
      <c r="X461" s="203" t="str">
        <f t="shared" si="70"/>
        <v>LONDRINA [ETAPA 04 - CONDOMINIO ARAGUARI]ATIVO</v>
      </c>
      <c r="Y461" s="203" t="str">
        <f t="shared" si="71"/>
        <v>XLV3SILAS ODA</v>
      </c>
      <c r="Z461" s="203" t="str">
        <f t="shared" si="76"/>
        <v>XLV3SILAS ODA</v>
      </c>
      <c r="AA461" s="430" t="s">
        <v>616</v>
      </c>
      <c r="AB461" s="427">
        <v>3</v>
      </c>
      <c r="AC461" s="429" t="s">
        <v>1479</v>
      </c>
      <c r="AD461" s="505">
        <v>136264.6</v>
      </c>
      <c r="AE461" s="431">
        <v>167369.92000000001</v>
      </c>
      <c r="AF461" s="60" t="str">
        <f t="shared" si="77"/>
        <v>SILAS ODA</v>
      </c>
      <c r="AG461" s="60" t="str">
        <f t="shared" si="78"/>
        <v>OK</v>
      </c>
    </row>
    <row r="462" spans="1:33">
      <c r="A462" s="61" t="str">
        <f t="shared" si="72"/>
        <v>LONDRINA [ETAPA 04 - CONDOMINIO ARAGUARI]XLV5</v>
      </c>
      <c r="B462" s="263" t="s">
        <v>878</v>
      </c>
      <c r="C462" s="337" t="s">
        <v>616</v>
      </c>
      <c r="D462" s="73">
        <v>5</v>
      </c>
      <c r="E462" s="315">
        <v>268.16000000000003</v>
      </c>
      <c r="F462" s="166">
        <v>5122</v>
      </c>
      <c r="G462" s="74" t="s">
        <v>1506</v>
      </c>
      <c r="H462" s="40">
        <v>44258</v>
      </c>
      <c r="I462" s="35">
        <v>154160</v>
      </c>
      <c r="J462" s="35" t="str">
        <f>IFERROR(VLOOKUP(CONCATENATE(B462,C462,D462,),Inadimplencia!$A$6:$K$110,6,0),"ATIVO")</f>
        <v>ATIVO</v>
      </c>
      <c r="K462" s="35">
        <f t="shared" si="73"/>
        <v>33000</v>
      </c>
      <c r="L462" s="325">
        <f t="shared" si="74"/>
        <v>0.2140633108458744</v>
      </c>
      <c r="M462" s="423" t="str">
        <f t="shared" si="75"/>
        <v>ATIVO0</v>
      </c>
      <c r="X462" s="203" t="str">
        <f t="shared" si="70"/>
        <v>LONDRINA [ETAPA 04 - CONDOMINIO ARAGUARI]ATIVO</v>
      </c>
      <c r="Y462" s="203" t="str">
        <f t="shared" si="71"/>
        <v>XLV5LUIZ FERNANDO PORTELLO</v>
      </c>
      <c r="Z462" s="203" t="str">
        <f t="shared" si="76"/>
        <v>XLV5LUIZ FERNANDO PORTELLO</v>
      </c>
      <c r="AA462" s="430" t="s">
        <v>616</v>
      </c>
      <c r="AB462" s="427">
        <v>5</v>
      </c>
      <c r="AC462" s="428" t="s">
        <v>1506</v>
      </c>
      <c r="AD462" s="505">
        <v>33000</v>
      </c>
      <c r="AE462" s="431">
        <v>154160</v>
      </c>
      <c r="AF462" s="60" t="str">
        <f t="shared" si="77"/>
        <v>LUIZ FERNANDO PORTELLO</v>
      </c>
      <c r="AG462" s="60" t="str">
        <f t="shared" si="78"/>
        <v>OK</v>
      </c>
    </row>
    <row r="463" spans="1:33">
      <c r="A463" s="61" t="str">
        <f t="shared" si="72"/>
        <v>LONDRINA [ETAPA 04 - CONDOMINIO ARAGUARI]XLV7</v>
      </c>
      <c r="B463" s="263" t="s">
        <v>878</v>
      </c>
      <c r="C463" s="337" t="s">
        <v>616</v>
      </c>
      <c r="D463" s="166">
        <v>7</v>
      </c>
      <c r="E463" s="197">
        <v>268.16000000000003</v>
      </c>
      <c r="F463" s="166">
        <v>5094</v>
      </c>
      <c r="G463" s="338" t="s">
        <v>1494</v>
      </c>
      <c r="H463" s="40">
        <v>44259</v>
      </c>
      <c r="I463" s="35">
        <v>155100</v>
      </c>
      <c r="J463" s="35" t="str">
        <f>IFERROR(VLOOKUP(CONCATENATE(B463,C463,D463,),Inadimplencia!$A$6:$K$110,6,0),"ATIVO")</f>
        <v>ATIVO</v>
      </c>
      <c r="K463" s="35">
        <f t="shared" si="73"/>
        <v>110000</v>
      </c>
      <c r="L463" s="325">
        <f t="shared" si="74"/>
        <v>0.70921985815602839</v>
      </c>
      <c r="M463" s="423" t="str">
        <f t="shared" si="75"/>
        <v>ATIVO0</v>
      </c>
      <c r="X463" s="203" t="str">
        <f t="shared" si="70"/>
        <v>LONDRINA [ETAPA 04 - CONDOMINIO ARAGUARI]ATIVO</v>
      </c>
      <c r="Y463" s="203" t="str">
        <f t="shared" si="71"/>
        <v>XLV7JOSE MARCELO TEIXEIRA COSTA</v>
      </c>
      <c r="Z463" s="203" t="str">
        <f t="shared" si="76"/>
        <v>XLV7JOSE MARCELO TEIXEIRA COSTA</v>
      </c>
      <c r="AA463" s="430" t="s">
        <v>616</v>
      </c>
      <c r="AB463" s="427">
        <v>7</v>
      </c>
      <c r="AC463" s="429" t="s">
        <v>1494</v>
      </c>
      <c r="AD463" s="505">
        <v>110000</v>
      </c>
      <c r="AE463" s="431">
        <v>155100</v>
      </c>
      <c r="AF463" s="60" t="str">
        <f t="shared" si="77"/>
        <v>JOSE MARCELO TEIXEIRA COSTA</v>
      </c>
      <c r="AG463" s="60" t="str">
        <f t="shared" si="78"/>
        <v>OK</v>
      </c>
    </row>
    <row r="464" spans="1:33">
      <c r="A464" s="61" t="str">
        <f t="shared" si="72"/>
        <v>LONDRINA [ETAPA 04 - CONDOMINIO ARAGUARI]XLV8</v>
      </c>
      <c r="B464" s="263" t="s">
        <v>878</v>
      </c>
      <c r="C464" s="337" t="s">
        <v>616</v>
      </c>
      <c r="D464" s="73">
        <v>8</v>
      </c>
      <c r="E464" s="315">
        <v>268.16000000000003</v>
      </c>
      <c r="F464" s="166">
        <v>5117</v>
      </c>
      <c r="G464" s="74" t="s">
        <v>1495</v>
      </c>
      <c r="H464" s="40">
        <v>44266</v>
      </c>
      <c r="I464" s="35">
        <v>143726.1</v>
      </c>
      <c r="J464" s="35" t="str">
        <f>IFERROR(VLOOKUP(CONCATENATE(B464,C464,D464,),Inadimplencia!$A$6:$K$110,6,0),"ATIVO")</f>
        <v>ATIVO</v>
      </c>
      <c r="K464" s="35">
        <f t="shared" si="73"/>
        <v>107289</v>
      </c>
      <c r="L464" s="325">
        <f t="shared" si="74"/>
        <v>0.74648237167779541</v>
      </c>
      <c r="M464" s="423" t="str">
        <f t="shared" si="75"/>
        <v>ATIVO0</v>
      </c>
      <c r="X464" s="203" t="str">
        <f t="shared" si="70"/>
        <v>LONDRINA [ETAPA 04 - CONDOMINIO ARAGUARI]ATIVO</v>
      </c>
      <c r="Y464" s="203" t="str">
        <f t="shared" si="71"/>
        <v>XLV8ROBERTO HIROYUKI HIRAYAMA</v>
      </c>
      <c r="Z464" s="203" t="str">
        <f t="shared" si="76"/>
        <v>XLV8ROBERTO HIROYUKI HIRAYAMA</v>
      </c>
      <c r="AA464" s="430" t="s">
        <v>616</v>
      </c>
      <c r="AB464" s="427">
        <v>8</v>
      </c>
      <c r="AC464" s="429" t="s">
        <v>1495</v>
      </c>
      <c r="AD464" s="505">
        <v>107289</v>
      </c>
      <c r="AE464" s="431">
        <v>143985</v>
      </c>
      <c r="AF464" s="60" t="str">
        <f t="shared" si="77"/>
        <v>ROBERTO HIROYUKI HIRAYAMA</v>
      </c>
      <c r="AG464" s="60" t="str">
        <f t="shared" si="78"/>
        <v>OK</v>
      </c>
    </row>
    <row r="465" spans="1:33">
      <c r="A465" s="61" t="str">
        <f t="shared" si="72"/>
        <v>LONDRINA [ETAPA 04 - CONDOMINIO ARAGUARI]XLV11</v>
      </c>
      <c r="B465" s="263" t="s">
        <v>878</v>
      </c>
      <c r="C465" s="337" t="s">
        <v>616</v>
      </c>
      <c r="D465" s="166">
        <v>11</v>
      </c>
      <c r="E465" s="197">
        <v>268.16000000000003</v>
      </c>
      <c r="F465" s="166">
        <v>3819</v>
      </c>
      <c r="G465" s="338" t="s">
        <v>1149</v>
      </c>
      <c r="H465" s="40">
        <v>43900</v>
      </c>
      <c r="I465" s="35">
        <v>129815.67999999999</v>
      </c>
      <c r="J465" s="35" t="str">
        <f>IFERROR(VLOOKUP(CONCATENATE(B465,C465,D465,),Inadimplencia!$A$6:$K$110,6,0),"ATIVO")</f>
        <v>ATIVO</v>
      </c>
      <c r="K465" s="35">
        <f t="shared" si="73"/>
        <v>125364.38</v>
      </c>
      <c r="L465" s="325">
        <f t="shared" si="74"/>
        <v>0.96571061369474021</v>
      </c>
      <c r="M465" s="423" t="str">
        <f t="shared" si="75"/>
        <v>ATIVO0</v>
      </c>
      <c r="X465" s="203" t="str">
        <f t="shared" si="70"/>
        <v>LONDRINA [ETAPA 04 - CONDOMINIO ARAGUARI]ATIVO</v>
      </c>
      <c r="Y465" s="203" t="str">
        <f t="shared" si="71"/>
        <v>XLV11ALEX CAETANO DA SILVA</v>
      </c>
      <c r="Z465" s="203" t="str">
        <f t="shared" si="76"/>
        <v>XLV11ALEX CAETANO DA SILVA</v>
      </c>
      <c r="AA465" s="430" t="s">
        <v>616</v>
      </c>
      <c r="AB465" s="427">
        <v>11</v>
      </c>
      <c r="AC465" s="429" t="s">
        <v>1149</v>
      </c>
      <c r="AD465" s="505">
        <v>125364.38</v>
      </c>
      <c r="AE465" s="431">
        <v>151826.12</v>
      </c>
      <c r="AF465" s="60" t="str">
        <f t="shared" si="77"/>
        <v>ALEX CAETANO DA SILVA</v>
      </c>
      <c r="AG465" s="60" t="str">
        <f t="shared" si="78"/>
        <v>OK</v>
      </c>
    </row>
    <row r="466" spans="1:33">
      <c r="A466" s="61" t="str">
        <f t="shared" si="72"/>
        <v>LONDRINA [ETAPA 04 - CONDOMINIO ARAGUARI]XLV12</v>
      </c>
      <c r="B466" s="263" t="s">
        <v>878</v>
      </c>
      <c r="C466" s="337" t="s">
        <v>616</v>
      </c>
      <c r="D466" s="73">
        <v>12</v>
      </c>
      <c r="E466" s="315">
        <v>268.16000000000003</v>
      </c>
      <c r="F466" s="166">
        <v>4885</v>
      </c>
      <c r="G466" s="74" t="s">
        <v>1368</v>
      </c>
      <c r="H466" s="40">
        <v>44147</v>
      </c>
      <c r="I466" s="35">
        <v>137604.69</v>
      </c>
      <c r="J466" s="35" t="str">
        <f>IFERROR(VLOOKUP(CONCATENATE(B466,C466,D466,),Inadimplencia!$A$6:$K$110,6,0),"ATIVO")</f>
        <v>ATIVO</v>
      </c>
      <c r="K466" s="35">
        <f t="shared" si="73"/>
        <v>132708.62</v>
      </c>
      <c r="L466" s="325">
        <f t="shared" si="74"/>
        <v>0.96441930867327263</v>
      </c>
      <c r="M466" s="423" t="str">
        <f t="shared" si="75"/>
        <v>ATIVO0</v>
      </c>
      <c r="X466" s="203" t="str">
        <f t="shared" si="70"/>
        <v>LONDRINA [ETAPA 04 - CONDOMINIO ARAGUARI]ATIVO</v>
      </c>
      <c r="Y466" s="203" t="str">
        <f t="shared" si="71"/>
        <v>XLV12ANGELO MOZZAQUATRO</v>
      </c>
      <c r="Z466" s="203" t="str">
        <f t="shared" si="76"/>
        <v>XLV12ANGELO MOZZAQUATRO</v>
      </c>
      <c r="AA466" s="430" t="s">
        <v>616</v>
      </c>
      <c r="AB466" s="427">
        <v>12</v>
      </c>
      <c r="AC466" s="428" t="s">
        <v>1368</v>
      </c>
      <c r="AD466" s="505">
        <v>132708.62</v>
      </c>
      <c r="AE466" s="431">
        <v>148293.07</v>
      </c>
      <c r="AF466" s="60" t="str">
        <f t="shared" si="77"/>
        <v>ANGELO MOZZAQUATRO</v>
      </c>
      <c r="AG466" s="60" t="str">
        <f t="shared" si="78"/>
        <v>OK</v>
      </c>
    </row>
    <row r="467" spans="1:33">
      <c r="A467" s="61" t="str">
        <f t="shared" si="72"/>
        <v>LONDRINA [ETAPA 04 - CONDOMINIO ARAGUARI]XLV13</v>
      </c>
      <c r="B467" s="263" t="s">
        <v>878</v>
      </c>
      <c r="C467" s="337" t="s">
        <v>616</v>
      </c>
      <c r="D467" s="166">
        <v>13</v>
      </c>
      <c r="E467" s="197">
        <v>268.16000000000003</v>
      </c>
      <c r="F467" s="166">
        <v>5047</v>
      </c>
      <c r="G467" s="338" t="s">
        <v>1480</v>
      </c>
      <c r="H467" s="40">
        <v>44235</v>
      </c>
      <c r="I467" s="35">
        <v>138179.9</v>
      </c>
      <c r="J467" s="35" t="str">
        <f>IFERROR(VLOOKUP(CONCATENATE(B467,C467,D467,),Inadimplencia!$A$6:$K$110,6,0),"ATIVO")</f>
        <v>ATIVO</v>
      </c>
      <c r="K467" s="35">
        <f t="shared" si="73"/>
        <v>94228.540000000008</v>
      </c>
      <c r="L467" s="325">
        <f t="shared" si="74"/>
        <v>0.68192653200646414</v>
      </c>
      <c r="M467" s="423" t="str">
        <f t="shared" si="75"/>
        <v>ATIVO0</v>
      </c>
      <c r="X467" s="203" t="str">
        <f t="shared" si="70"/>
        <v>LONDRINA [ETAPA 04 - CONDOMINIO ARAGUARI]ATIVO</v>
      </c>
      <c r="Y467" s="203" t="str">
        <f t="shared" si="71"/>
        <v>XLV13EDUARDO AKIRA HIROTA</v>
      </c>
      <c r="Z467" s="203" t="str">
        <f t="shared" si="76"/>
        <v>XLV13EDUARDO AKIRA HIROTA</v>
      </c>
      <c r="AA467" s="430" t="s">
        <v>616</v>
      </c>
      <c r="AB467" s="427">
        <v>13</v>
      </c>
      <c r="AC467" s="428" t="s">
        <v>1480</v>
      </c>
      <c r="AD467" s="505">
        <v>94228.540000000008</v>
      </c>
      <c r="AE467" s="431">
        <v>138665.21</v>
      </c>
      <c r="AF467" s="60" t="str">
        <f t="shared" si="77"/>
        <v>EDUARDO AKIRA HIROTA</v>
      </c>
      <c r="AG467" s="60" t="str">
        <f t="shared" si="78"/>
        <v>OK</v>
      </c>
    </row>
    <row r="468" spans="1:33">
      <c r="A468" s="61" t="str">
        <f t="shared" si="72"/>
        <v>LONDRINA [ETAPA 04 - CONDOMINIO ARAGUARI]XLV19</v>
      </c>
      <c r="B468" s="263" t="s">
        <v>878</v>
      </c>
      <c r="C468" s="337" t="s">
        <v>616</v>
      </c>
      <c r="D468" s="73">
        <v>19</v>
      </c>
      <c r="E468" s="315">
        <v>295.02999999999997</v>
      </c>
      <c r="F468" s="166">
        <v>4867</v>
      </c>
      <c r="G468" s="74" t="s">
        <v>1369</v>
      </c>
      <c r="H468" s="40">
        <v>44138</v>
      </c>
      <c r="I468" s="35">
        <v>148519.79999999999</v>
      </c>
      <c r="J468" s="35" t="str">
        <f>IFERROR(VLOOKUP(CONCATENATE(B468,C468,D468,),Inadimplencia!$A$6:$K$110,6,0),"ATIVO")</f>
        <v>ATIVO</v>
      </c>
      <c r="K468" s="35">
        <f t="shared" si="73"/>
        <v>132170.57</v>
      </c>
      <c r="L468" s="325">
        <f t="shared" si="74"/>
        <v>0.88991885257049919</v>
      </c>
      <c r="M468" s="423" t="str">
        <f t="shared" si="75"/>
        <v>ATIVO0</v>
      </c>
      <c r="X468" s="203" t="str">
        <f t="shared" si="70"/>
        <v>LONDRINA [ETAPA 04 - CONDOMINIO ARAGUARI]ATIVO</v>
      </c>
      <c r="Y468" s="203" t="str">
        <f t="shared" si="71"/>
        <v>XLV19MATHEUS ASTH DA SILVA</v>
      </c>
      <c r="Z468" s="203" t="str">
        <f t="shared" si="76"/>
        <v>XLV19MATHEUS ASTH DA SILVA</v>
      </c>
      <c r="AA468" s="430" t="s">
        <v>616</v>
      </c>
      <c r="AB468" s="427">
        <v>19</v>
      </c>
      <c r="AC468" s="428" t="s">
        <v>1369</v>
      </c>
      <c r="AD468" s="505">
        <v>132170.57</v>
      </c>
      <c r="AE468" s="431">
        <v>158952.4</v>
      </c>
      <c r="AF468" s="60" t="str">
        <f t="shared" si="77"/>
        <v>MATHEUS ASTH DA SILVA</v>
      </c>
      <c r="AG468" s="60" t="str">
        <f t="shared" si="78"/>
        <v>OK</v>
      </c>
    </row>
    <row r="469" spans="1:33">
      <c r="A469" s="61" t="str">
        <f t="shared" si="72"/>
        <v>LONDRINA [ETAPA 04 - CONDOMINIO ARAGUARI]XLVI1</v>
      </c>
      <c r="B469" s="263" t="s">
        <v>878</v>
      </c>
      <c r="C469" s="337" t="s">
        <v>617</v>
      </c>
      <c r="D469" s="166">
        <v>1</v>
      </c>
      <c r="E469" s="197">
        <v>275.70999999999998</v>
      </c>
      <c r="F469" s="166">
        <v>3149</v>
      </c>
      <c r="G469" s="338" t="s">
        <v>1070</v>
      </c>
      <c r="H469" s="40">
        <v>43761</v>
      </c>
      <c r="I469" s="35">
        <v>194694.97</v>
      </c>
      <c r="J469" s="35" t="str">
        <f>IFERROR(VLOOKUP(CONCATENATE(B469,C469,D469,),Inadimplencia!$A$6:$K$110,6,0),"ATIVO")</f>
        <v>ATIVO</v>
      </c>
      <c r="K469" s="35">
        <f t="shared" si="73"/>
        <v>55401.96</v>
      </c>
      <c r="L469" s="325">
        <f t="shared" si="74"/>
        <v>0.28455773664825545</v>
      </c>
      <c r="M469" s="423" t="str">
        <f t="shared" si="75"/>
        <v>ATIVO0</v>
      </c>
      <c r="X469" s="203" t="str">
        <f t="shared" si="70"/>
        <v>LONDRINA [ETAPA 04 - CONDOMINIO ARAGUARI]ATIVO</v>
      </c>
      <c r="Y469" s="203" t="str">
        <f t="shared" si="71"/>
        <v>XLVI1ROBERTO LUIZ REYS LOPEZ</v>
      </c>
      <c r="Z469" s="203" t="str">
        <f t="shared" si="76"/>
        <v>XLVI1ROBERTO LUIZ REYS LOPEZ</v>
      </c>
      <c r="AA469" s="430" t="s">
        <v>617</v>
      </c>
      <c r="AB469" s="427">
        <v>1</v>
      </c>
      <c r="AC469" s="429" t="s">
        <v>1070</v>
      </c>
      <c r="AD469" s="505">
        <v>55401.96</v>
      </c>
      <c r="AE469" s="431">
        <v>200899.80000000002</v>
      </c>
      <c r="AF469" s="60" t="str">
        <f t="shared" si="77"/>
        <v>ROBERTO LUIZ REYS LOPEZ</v>
      </c>
      <c r="AG469" s="60" t="str">
        <f t="shared" si="78"/>
        <v>OK</v>
      </c>
    </row>
    <row r="470" spans="1:33">
      <c r="A470" s="61" t="str">
        <f t="shared" si="72"/>
        <v>LONDRINA [ETAPA 04 - CONDOMINIO ARAGUARI]XLVI2</v>
      </c>
      <c r="B470" s="263" t="s">
        <v>878</v>
      </c>
      <c r="C470" s="337" t="s">
        <v>617</v>
      </c>
      <c r="D470" s="73">
        <v>2</v>
      </c>
      <c r="E470" s="315">
        <v>275.70999999999998</v>
      </c>
      <c r="F470" s="166">
        <v>4849</v>
      </c>
      <c r="G470" s="74" t="s">
        <v>1355</v>
      </c>
      <c r="H470" s="40">
        <v>44133</v>
      </c>
      <c r="I470" s="35">
        <v>146640</v>
      </c>
      <c r="J470" s="35" t="str">
        <f>IFERROR(VLOOKUP(CONCATENATE(B470,C470,D470,),Inadimplencia!$A$6:$K$110,6,0),"ATIVO")</f>
        <v>ATIVO</v>
      </c>
      <c r="K470" s="35">
        <f t="shared" si="73"/>
        <v>105629.16</v>
      </c>
      <c r="L470" s="325">
        <f t="shared" si="74"/>
        <v>0.72032978723404262</v>
      </c>
      <c r="M470" s="423" t="str">
        <f t="shared" si="75"/>
        <v>ATIVO0</v>
      </c>
      <c r="X470" s="203" t="str">
        <f t="shared" si="70"/>
        <v>LONDRINA [ETAPA 04 - CONDOMINIO ARAGUARI]ATIVO</v>
      </c>
      <c r="Y470" s="203" t="str">
        <f t="shared" si="71"/>
        <v>XLVI2RENATO ZUNTINI MUNIZ MEIBORG</v>
      </c>
      <c r="Z470" s="203" t="str">
        <f t="shared" si="76"/>
        <v>XLVI2RENATO ZUNTINI MUNIZ MEIBORG</v>
      </c>
      <c r="AA470" s="430" t="s">
        <v>617</v>
      </c>
      <c r="AB470" s="427">
        <v>2</v>
      </c>
      <c r="AC470" s="428" t="s">
        <v>1355</v>
      </c>
      <c r="AD470" s="505">
        <v>105629.16</v>
      </c>
      <c r="AE470" s="431">
        <v>150466.07</v>
      </c>
      <c r="AF470" s="60" t="str">
        <f t="shared" si="77"/>
        <v>RENATO ZUNTINI MUNIZ MEIBORG</v>
      </c>
      <c r="AG470" s="60" t="str">
        <f t="shared" si="78"/>
        <v>OK</v>
      </c>
    </row>
    <row r="471" spans="1:33">
      <c r="A471" s="61" t="str">
        <f t="shared" si="72"/>
        <v>LONDRINA [ETAPA 04 - CONDOMINIO ARAGUARI]XLVI3</v>
      </c>
      <c r="B471" s="263" t="s">
        <v>878</v>
      </c>
      <c r="C471" s="337" t="s">
        <v>617</v>
      </c>
      <c r="D471" s="166">
        <v>3</v>
      </c>
      <c r="E471" s="197">
        <v>252.75</v>
      </c>
      <c r="F471" s="166">
        <v>4912</v>
      </c>
      <c r="G471" s="338" t="s">
        <v>1380</v>
      </c>
      <c r="H471" s="40">
        <v>44166</v>
      </c>
      <c r="I471" s="35">
        <v>153043.28</v>
      </c>
      <c r="J471" s="35" t="str">
        <f>IFERROR(VLOOKUP(CONCATENATE(B471,C471,D471,),Inadimplencia!$A$6:$K$110,6,0),"ATIVO")</f>
        <v>ATIVO</v>
      </c>
      <c r="K471" s="35">
        <f t="shared" si="73"/>
        <v>150345.4</v>
      </c>
      <c r="L471" s="325">
        <f t="shared" si="74"/>
        <v>0.98237178398162917</v>
      </c>
      <c r="M471" s="423" t="str">
        <f t="shared" si="75"/>
        <v>ATIVO0</v>
      </c>
      <c r="X471" s="203" t="str">
        <f t="shared" si="70"/>
        <v>LONDRINA [ETAPA 04 - CONDOMINIO ARAGUARI]ATIVO</v>
      </c>
      <c r="Y471" s="203" t="str">
        <f t="shared" si="71"/>
        <v>XLVI3PEDRO LUIS ALVES DE OLIVEIRA</v>
      </c>
      <c r="Z471" s="203" t="str">
        <f t="shared" si="76"/>
        <v>XLVI3PEDRO LUIS ALVES DE OLIVEIRA</v>
      </c>
      <c r="AA471" s="430" t="s">
        <v>617</v>
      </c>
      <c r="AB471" s="427">
        <v>3</v>
      </c>
      <c r="AC471" s="428" t="s">
        <v>1380</v>
      </c>
      <c r="AD471" s="505">
        <v>150345.4</v>
      </c>
      <c r="AE471" s="431">
        <v>162223.09</v>
      </c>
      <c r="AF471" s="60" t="str">
        <f t="shared" si="77"/>
        <v>PEDRO LUIS ALVES DE OLIVEIRA</v>
      </c>
      <c r="AG471" s="60" t="str">
        <f t="shared" si="78"/>
        <v>OK</v>
      </c>
    </row>
    <row r="472" spans="1:33">
      <c r="A472" s="61" t="str">
        <f t="shared" si="72"/>
        <v>LONDRINA [ETAPA 04 - CONDOMINIO ARAGUARI]XLVI4</v>
      </c>
      <c r="B472" s="263" t="s">
        <v>878</v>
      </c>
      <c r="C472" s="337" t="s">
        <v>617</v>
      </c>
      <c r="D472" s="73">
        <v>4</v>
      </c>
      <c r="E472" s="315">
        <v>252.75</v>
      </c>
      <c r="F472" s="166"/>
      <c r="G472" s="74" t="s">
        <v>933</v>
      </c>
      <c r="H472" s="40">
        <v>43514</v>
      </c>
      <c r="I472" s="35">
        <v>136300</v>
      </c>
      <c r="J472" s="35" t="str">
        <f>IFERROR(VLOOKUP(CONCATENATE(B472,C472,D472,),Inadimplencia!$A$6:$K$110,6,0),"ATIVO")</f>
        <v>INADIMPLENTE</v>
      </c>
      <c r="K472" s="35">
        <f t="shared" si="73"/>
        <v>92827.09</v>
      </c>
      <c r="L472" s="325">
        <f t="shared" si="74"/>
        <v>0.68104981658107111</v>
      </c>
      <c r="M472" s="423" t="str">
        <f t="shared" si="75"/>
        <v>INADIMPLENTE0</v>
      </c>
      <c r="X472" s="203" t="str">
        <f t="shared" si="70"/>
        <v>LONDRINA [ETAPA 04 - CONDOMINIO ARAGUARI]INADIMPLENTE</v>
      </c>
      <c r="Y472" s="203" t="str">
        <f t="shared" si="71"/>
        <v>XLVI4PAULO MASSAYOSHI TANNO</v>
      </c>
      <c r="Z472" s="203" t="str">
        <f t="shared" si="76"/>
        <v>XLVI4PAULO MASSAYOSHI TANNO</v>
      </c>
      <c r="AA472" s="430" t="s">
        <v>617</v>
      </c>
      <c r="AB472" s="427">
        <v>4</v>
      </c>
      <c r="AC472" s="429" t="s">
        <v>933</v>
      </c>
      <c r="AD472" s="505">
        <v>92827.09</v>
      </c>
      <c r="AE472" s="431">
        <v>166666.05000000002</v>
      </c>
      <c r="AF472" s="60" t="str">
        <f t="shared" si="77"/>
        <v>PAULO MASSAYOSHI TANNO</v>
      </c>
      <c r="AG472" s="60" t="str">
        <f t="shared" si="78"/>
        <v>OK</v>
      </c>
    </row>
    <row r="473" spans="1:33">
      <c r="A473" s="61" t="str">
        <f t="shared" si="72"/>
        <v>LONDRINA [ETAPA 04 - CONDOMINIO ARAGUARI]XLVI5</v>
      </c>
      <c r="B473" s="263" t="s">
        <v>878</v>
      </c>
      <c r="C473" s="337" t="s">
        <v>617</v>
      </c>
      <c r="D473" s="166">
        <v>5</v>
      </c>
      <c r="E473" s="197">
        <v>252.75</v>
      </c>
      <c r="F473" s="166">
        <v>4683</v>
      </c>
      <c r="G473" s="338" t="s">
        <v>1262</v>
      </c>
      <c r="H473" s="40">
        <v>44057</v>
      </c>
      <c r="I473" s="35">
        <v>137240</v>
      </c>
      <c r="J473" s="35" t="str">
        <f>IFERROR(VLOOKUP(CONCATENATE(B473,C473,D473,),Inadimplencia!$A$6:$K$110,6,0),"ATIVO")</f>
        <v>ATIVO</v>
      </c>
      <c r="K473" s="35">
        <f t="shared" si="73"/>
        <v>139342.47</v>
      </c>
      <c r="L473" s="325">
        <f t="shared" si="74"/>
        <v>1.0153196589915476</v>
      </c>
      <c r="M473" s="423" t="str">
        <f t="shared" si="75"/>
        <v>ATIVO1</v>
      </c>
      <c r="X473" s="203" t="str">
        <f t="shared" si="70"/>
        <v>LONDRINA [ETAPA 04 - CONDOMINIO ARAGUARI]ATIVO</v>
      </c>
      <c r="Y473" s="203" t="str">
        <f t="shared" si="71"/>
        <v>XLVI5GIOVANNA NATALIE RIBEIRO DE CASTRO</v>
      </c>
      <c r="Z473" s="203" t="str">
        <f t="shared" si="76"/>
        <v>XLVI5GIOVANNA NATALIE RIBEIRO DE CASTRO</v>
      </c>
      <c r="AA473" s="430" t="s">
        <v>617</v>
      </c>
      <c r="AB473" s="427">
        <v>5</v>
      </c>
      <c r="AC473" s="429" t="s">
        <v>1262</v>
      </c>
      <c r="AD473" s="505">
        <v>139342.47</v>
      </c>
      <c r="AE473" s="431">
        <v>153632.46</v>
      </c>
      <c r="AF473" s="60" t="str">
        <f t="shared" si="77"/>
        <v>GIOVANNA NATALIE RIBEIRO DE CASTRO</v>
      </c>
      <c r="AG473" s="60" t="str">
        <f t="shared" si="78"/>
        <v>OK</v>
      </c>
    </row>
    <row r="474" spans="1:33">
      <c r="A474" s="61" t="str">
        <f t="shared" si="72"/>
        <v>LONDRINA [ETAPA 04 - CONDOMINIO ARAGUARI]XLVI6</v>
      </c>
      <c r="B474" s="263" t="s">
        <v>878</v>
      </c>
      <c r="C474" s="337" t="s">
        <v>617</v>
      </c>
      <c r="D474" s="73">
        <v>6</v>
      </c>
      <c r="E474" s="315">
        <v>252.75</v>
      </c>
      <c r="F474" s="166">
        <v>4518</v>
      </c>
      <c r="G474" s="74" t="s">
        <v>1232</v>
      </c>
      <c r="H474" s="40">
        <v>44015</v>
      </c>
      <c r="I474" s="35">
        <v>138604.53</v>
      </c>
      <c r="J474" s="35" t="str">
        <f>IFERROR(VLOOKUP(CONCATENATE(B474,C474,D474,),Inadimplencia!$A$6:$K$110,6,0),"ATIVO")</f>
        <v>ATIVO</v>
      </c>
      <c r="K474" s="35">
        <f t="shared" si="73"/>
        <v>105510.90000000001</v>
      </c>
      <c r="L474" s="325">
        <f t="shared" si="74"/>
        <v>0.76123702450417752</v>
      </c>
      <c r="M474" s="423" t="str">
        <f t="shared" si="75"/>
        <v>ATIVO0</v>
      </c>
      <c r="X474" s="203" t="str">
        <f t="shared" si="70"/>
        <v>LONDRINA [ETAPA 04 - CONDOMINIO ARAGUARI]ATIVO</v>
      </c>
      <c r="Y474" s="203" t="str">
        <f t="shared" si="71"/>
        <v>XLVI6RAFAELA MAICHAK DE CARVALHO</v>
      </c>
      <c r="Z474" s="203" t="str">
        <f t="shared" si="76"/>
        <v>XLVI6RAFAELA MAICHAK DE CARVALHO</v>
      </c>
      <c r="AA474" s="430" t="s">
        <v>617</v>
      </c>
      <c r="AB474" s="427">
        <v>6</v>
      </c>
      <c r="AC474" s="428" t="s">
        <v>1232</v>
      </c>
      <c r="AD474" s="505">
        <v>105510.90000000001</v>
      </c>
      <c r="AE474" s="431">
        <v>153757.09</v>
      </c>
      <c r="AF474" s="60" t="str">
        <f t="shared" si="77"/>
        <v>RAFAELA MAICHAK DE CARVALHO</v>
      </c>
      <c r="AG474" s="60" t="str">
        <f t="shared" si="78"/>
        <v>OK</v>
      </c>
    </row>
    <row r="475" spans="1:33">
      <c r="A475" s="61" t="str">
        <f t="shared" si="72"/>
        <v>LONDRINA [ETAPA 04 - CONDOMINIO ARAGUARI]XLVI7</v>
      </c>
      <c r="B475" s="263" t="s">
        <v>878</v>
      </c>
      <c r="C475" s="337" t="s">
        <v>617</v>
      </c>
      <c r="D475" s="166">
        <v>7</v>
      </c>
      <c r="E475" s="197">
        <v>252.75</v>
      </c>
      <c r="F475" s="166">
        <v>4878</v>
      </c>
      <c r="G475" s="338" t="s">
        <v>1365</v>
      </c>
      <c r="H475" s="40">
        <v>44162</v>
      </c>
      <c r="I475" s="35">
        <v>141000</v>
      </c>
      <c r="J475" s="35" t="str">
        <f>IFERROR(VLOOKUP(CONCATENATE(B475,C475,D475,),Inadimplencia!$A$6:$K$110,6,0),"ATIVO")</f>
        <v>ATIVO</v>
      </c>
      <c r="K475" s="35">
        <f t="shared" si="73"/>
        <v>95866.26</v>
      </c>
      <c r="L475" s="325">
        <f t="shared" si="74"/>
        <v>0.67990255319148929</v>
      </c>
      <c r="M475" s="423" t="str">
        <f t="shared" si="75"/>
        <v>ATIVO0</v>
      </c>
      <c r="X475" s="203" t="str">
        <f t="shared" si="70"/>
        <v>LONDRINA [ETAPA 04 - CONDOMINIO ARAGUARI]ATIVO</v>
      </c>
      <c r="Y475" s="203" t="str">
        <f t="shared" si="71"/>
        <v>XLVI7JOAO BATISTA DE LIMA</v>
      </c>
      <c r="Z475" s="203" t="str">
        <f t="shared" si="76"/>
        <v>XLVI7JOAO BATISTA DE LIMA</v>
      </c>
      <c r="AA475" s="430" t="s">
        <v>617</v>
      </c>
      <c r="AB475" s="427">
        <v>7</v>
      </c>
      <c r="AC475" s="428" t="s">
        <v>1365</v>
      </c>
      <c r="AD475" s="505">
        <v>95866.26</v>
      </c>
      <c r="AE475" s="431">
        <v>144438.51</v>
      </c>
      <c r="AF475" s="60" t="str">
        <f t="shared" si="77"/>
        <v>JOAO BATISTA DE LIMA</v>
      </c>
      <c r="AG475" s="60" t="str">
        <f t="shared" si="78"/>
        <v>OK</v>
      </c>
    </row>
    <row r="476" spans="1:33">
      <c r="A476" s="61" t="str">
        <f t="shared" si="72"/>
        <v>LONDRINA [ETAPA 04 - CONDOMINIO ARAGUARI]XLVI8</v>
      </c>
      <c r="B476" s="263" t="s">
        <v>878</v>
      </c>
      <c r="C476" s="337" t="s">
        <v>617</v>
      </c>
      <c r="D476" s="73">
        <v>8</v>
      </c>
      <c r="E476" s="315">
        <v>252.75</v>
      </c>
      <c r="F476" s="166">
        <v>4879</v>
      </c>
      <c r="G476" s="74" t="s">
        <v>1365</v>
      </c>
      <c r="H476" s="40">
        <v>44162</v>
      </c>
      <c r="I476" s="35">
        <v>141000</v>
      </c>
      <c r="J476" s="35" t="str">
        <f>IFERROR(VLOOKUP(CONCATENATE(B476,C476,D476,),Inadimplencia!$A$6:$K$110,6,0),"ATIVO")</f>
        <v>ATIVO</v>
      </c>
      <c r="K476" s="35">
        <f t="shared" si="73"/>
        <v>95866.26</v>
      </c>
      <c r="L476" s="325">
        <f t="shared" si="74"/>
        <v>0.67990255319148929</v>
      </c>
      <c r="M476" s="423" t="str">
        <f t="shared" si="75"/>
        <v>ATIVO0</v>
      </c>
      <c r="X476" s="203" t="str">
        <f t="shared" si="70"/>
        <v>LONDRINA [ETAPA 04 - CONDOMINIO ARAGUARI]ATIVO</v>
      </c>
      <c r="Y476" s="203" t="str">
        <f t="shared" si="71"/>
        <v>XLVI8JOAO BATISTA DE LIMA</v>
      </c>
      <c r="Z476" s="203" t="str">
        <f t="shared" si="76"/>
        <v>XLVI8JOAO BATISTA DE LIMA</v>
      </c>
      <c r="AA476" s="430" t="s">
        <v>617</v>
      </c>
      <c r="AB476" s="427">
        <v>8</v>
      </c>
      <c r="AC476" s="428" t="s">
        <v>1365</v>
      </c>
      <c r="AD476" s="505">
        <v>95866.26</v>
      </c>
      <c r="AE476" s="431">
        <v>144438.51</v>
      </c>
      <c r="AF476" s="60" t="str">
        <f t="shared" si="77"/>
        <v>JOAO BATISTA DE LIMA</v>
      </c>
      <c r="AG476" s="60" t="str">
        <f t="shared" si="78"/>
        <v>OK</v>
      </c>
    </row>
    <row r="477" spans="1:33">
      <c r="A477" s="61" t="str">
        <f t="shared" si="72"/>
        <v>LONDRINA [ETAPA 04 - CONDOMINIO ARAGUARI]XLVI9</v>
      </c>
      <c r="B477" s="263" t="s">
        <v>878</v>
      </c>
      <c r="C477" s="337" t="s">
        <v>617</v>
      </c>
      <c r="D477" s="166">
        <v>9</v>
      </c>
      <c r="E477" s="197">
        <v>252.75</v>
      </c>
      <c r="F477" s="166">
        <v>4880</v>
      </c>
      <c r="G477" s="338" t="s">
        <v>1365</v>
      </c>
      <c r="H477" s="40">
        <v>44162</v>
      </c>
      <c r="I477" s="35">
        <v>141000</v>
      </c>
      <c r="J477" s="35" t="str">
        <f>IFERROR(VLOOKUP(CONCATENATE(B477,C477,D477,),Inadimplencia!$A$6:$K$110,6,0),"ATIVO")</f>
        <v>ATIVO</v>
      </c>
      <c r="K477" s="35">
        <f t="shared" si="73"/>
        <v>95866.26</v>
      </c>
      <c r="L477" s="325">
        <f t="shared" si="74"/>
        <v>0.67990255319148929</v>
      </c>
      <c r="M477" s="423" t="str">
        <f t="shared" si="75"/>
        <v>ATIVO0</v>
      </c>
      <c r="X477" s="203" t="str">
        <f t="shared" si="70"/>
        <v>LONDRINA [ETAPA 04 - CONDOMINIO ARAGUARI]ATIVO</v>
      </c>
      <c r="Y477" s="203" t="str">
        <f t="shared" si="71"/>
        <v>XLVI9JOAO BATISTA DE LIMA</v>
      </c>
      <c r="Z477" s="203" t="str">
        <f t="shared" si="76"/>
        <v>XLVI9JOAO BATISTA DE LIMA</v>
      </c>
      <c r="AA477" s="430" t="s">
        <v>617</v>
      </c>
      <c r="AB477" s="427">
        <v>9</v>
      </c>
      <c r="AC477" s="429" t="s">
        <v>1365</v>
      </c>
      <c r="AD477" s="505">
        <v>95866.26</v>
      </c>
      <c r="AE477" s="431">
        <v>144438.51</v>
      </c>
      <c r="AF477" s="60" t="str">
        <f t="shared" si="77"/>
        <v>JOAO BATISTA DE LIMA</v>
      </c>
      <c r="AG477" s="60" t="str">
        <f t="shared" si="78"/>
        <v>OK</v>
      </c>
    </row>
    <row r="478" spans="1:33">
      <c r="A478" s="61" t="str">
        <f t="shared" si="72"/>
        <v>LONDRINA [ETAPA 04 - CONDOMINIO ARAGUARI]XLVI10</v>
      </c>
      <c r="B478" s="263" t="s">
        <v>878</v>
      </c>
      <c r="C478" s="337" t="s">
        <v>617</v>
      </c>
      <c r="D478" s="73">
        <v>10</v>
      </c>
      <c r="E478" s="315">
        <v>252.75</v>
      </c>
      <c r="F478" s="166">
        <v>4882</v>
      </c>
      <c r="G478" s="74" t="s">
        <v>1365</v>
      </c>
      <c r="H478" s="40">
        <v>44162</v>
      </c>
      <c r="I478" s="35">
        <v>141000</v>
      </c>
      <c r="J478" s="35" t="str">
        <f>IFERROR(VLOOKUP(CONCATENATE(B478,C478,D478,),Inadimplencia!$A$6:$K$110,6,0),"ATIVO")</f>
        <v>ATIVO</v>
      </c>
      <c r="K478" s="35">
        <f t="shared" si="73"/>
        <v>95866.26</v>
      </c>
      <c r="L478" s="325">
        <f t="shared" si="74"/>
        <v>0.67990255319148929</v>
      </c>
      <c r="M478" s="423" t="str">
        <f t="shared" si="75"/>
        <v>ATIVO0</v>
      </c>
      <c r="X478" s="203" t="str">
        <f t="shared" si="70"/>
        <v>LONDRINA [ETAPA 04 - CONDOMINIO ARAGUARI]ATIVO</v>
      </c>
      <c r="Y478" s="203" t="str">
        <f t="shared" si="71"/>
        <v>XLVI10JOAO BATISTA DE LIMA</v>
      </c>
      <c r="Z478" s="203" t="str">
        <f t="shared" si="76"/>
        <v>XLVI10JOAO BATISTA DE LIMA</v>
      </c>
      <c r="AA478" s="430" t="s">
        <v>617</v>
      </c>
      <c r="AB478" s="427">
        <v>10</v>
      </c>
      <c r="AC478" s="428" t="s">
        <v>1365</v>
      </c>
      <c r="AD478" s="505">
        <v>95866.26</v>
      </c>
      <c r="AE478" s="431">
        <v>144438.51</v>
      </c>
      <c r="AF478" s="60" t="str">
        <f t="shared" si="77"/>
        <v>JOAO BATISTA DE LIMA</v>
      </c>
      <c r="AG478" s="60" t="str">
        <f t="shared" si="78"/>
        <v>OK</v>
      </c>
    </row>
    <row r="479" spans="1:33">
      <c r="A479" s="61" t="str">
        <f t="shared" si="72"/>
        <v>LONDRINA [ETAPA 04 - CONDOMINIO ARAGUARI]XLVI11</v>
      </c>
      <c r="B479" s="263" t="s">
        <v>878</v>
      </c>
      <c r="C479" s="337" t="s">
        <v>617</v>
      </c>
      <c r="D479" s="166">
        <v>11</v>
      </c>
      <c r="E479" s="197">
        <v>252.75</v>
      </c>
      <c r="F479" s="166">
        <v>5003</v>
      </c>
      <c r="G479" s="338" t="s">
        <v>1416</v>
      </c>
      <c r="H479" s="40">
        <v>44215</v>
      </c>
      <c r="I479" s="35">
        <v>159800</v>
      </c>
      <c r="J479" s="35" t="str">
        <f>IFERROR(VLOOKUP(CONCATENATE(B479,C479,D479,),Inadimplencia!$A$6:$K$110,6,0),"ATIVO")</f>
        <v>ATIVO</v>
      </c>
      <c r="K479" s="35">
        <f t="shared" si="73"/>
        <v>155691.53</v>
      </c>
      <c r="L479" s="325">
        <f t="shared" si="74"/>
        <v>0.97428992490613264</v>
      </c>
      <c r="M479" s="423" t="str">
        <f t="shared" si="75"/>
        <v>ATIVO0</v>
      </c>
      <c r="X479" s="203" t="str">
        <f t="shared" si="70"/>
        <v>LONDRINA [ETAPA 04 - CONDOMINIO ARAGUARI]ATIVO</v>
      </c>
      <c r="Y479" s="203" t="str">
        <f t="shared" si="71"/>
        <v>XLVI11ROBSON SAKAMOTO BATILANI</v>
      </c>
      <c r="Z479" s="203" t="str">
        <f t="shared" si="76"/>
        <v>XLVI11ROBSON SAKAMOTO BATILANI</v>
      </c>
      <c r="AA479" s="430" t="s">
        <v>617</v>
      </c>
      <c r="AB479" s="427">
        <v>11</v>
      </c>
      <c r="AC479" s="428" t="s">
        <v>1416</v>
      </c>
      <c r="AD479" s="505">
        <v>155691.53</v>
      </c>
      <c r="AE479" s="431">
        <v>166190.98000000001</v>
      </c>
      <c r="AF479" s="60" t="str">
        <f t="shared" si="77"/>
        <v>ROBSON SAKAMOTO BATILANI</v>
      </c>
      <c r="AG479" s="60" t="str">
        <f t="shared" si="78"/>
        <v>OK</v>
      </c>
    </row>
    <row r="480" spans="1:33">
      <c r="A480" s="61" t="str">
        <f t="shared" si="72"/>
        <v>LONDRINA [ETAPA 04 - CONDOMINIO ARAGUARI]XLVI12</v>
      </c>
      <c r="B480" s="263" t="s">
        <v>878</v>
      </c>
      <c r="C480" s="337" t="s">
        <v>617</v>
      </c>
      <c r="D480" s="73">
        <v>12</v>
      </c>
      <c r="E480" s="315">
        <v>252.75</v>
      </c>
      <c r="F480" s="166">
        <v>4977</v>
      </c>
      <c r="G480" s="74" t="s">
        <v>1417</v>
      </c>
      <c r="H480" s="40">
        <v>44208</v>
      </c>
      <c r="I480" s="35">
        <v>160694.46</v>
      </c>
      <c r="J480" s="35" t="str">
        <f>IFERROR(VLOOKUP(CONCATENATE(B480,C480,D480,),Inadimplencia!$A$6:$K$110,6,0),"ATIVO")</f>
        <v>ATIVO</v>
      </c>
      <c r="K480" s="35">
        <f t="shared" si="73"/>
        <v>157618.30000000002</v>
      </c>
      <c r="L480" s="325">
        <f t="shared" si="74"/>
        <v>0.98085708741919309</v>
      </c>
      <c r="M480" s="423" t="str">
        <f t="shared" si="75"/>
        <v>ATIVO0</v>
      </c>
      <c r="X480" s="203" t="str">
        <f t="shared" si="70"/>
        <v>LONDRINA [ETAPA 04 - CONDOMINIO ARAGUARI]ATIVO</v>
      </c>
      <c r="Y480" s="203" t="str">
        <f t="shared" si="71"/>
        <v>XLVI12ALESSANDRO LUIS LEITE</v>
      </c>
      <c r="Z480" s="203" t="str">
        <f t="shared" si="76"/>
        <v>XLVI12ALESSANDRO LUIS LEITE</v>
      </c>
      <c r="AA480" s="430" t="s">
        <v>617</v>
      </c>
      <c r="AB480" s="427">
        <v>12</v>
      </c>
      <c r="AC480" s="429" t="s">
        <v>1417</v>
      </c>
      <c r="AD480" s="505">
        <v>157618.30000000002</v>
      </c>
      <c r="AE480" s="431">
        <v>167370.67000000001</v>
      </c>
      <c r="AF480" s="60" t="str">
        <f t="shared" si="77"/>
        <v>ALESSANDRO LUIS LEITE</v>
      </c>
      <c r="AG480" s="60" t="str">
        <f t="shared" si="78"/>
        <v>OK</v>
      </c>
    </row>
    <row r="481" spans="1:33">
      <c r="A481" s="61" t="str">
        <f t="shared" si="72"/>
        <v>LONDRINA [ETAPA 04 - CONDOMINIO ARAGUARI]XLVI13</v>
      </c>
      <c r="B481" s="263" t="s">
        <v>878</v>
      </c>
      <c r="C481" s="337" t="s">
        <v>617</v>
      </c>
      <c r="D481" s="166">
        <v>13</v>
      </c>
      <c r="E481" s="197">
        <v>252.75</v>
      </c>
      <c r="F481" s="166">
        <v>5008</v>
      </c>
      <c r="G481" s="338" t="s">
        <v>1481</v>
      </c>
      <c r="H481" s="40">
        <v>44228</v>
      </c>
      <c r="I481" s="35">
        <v>155874.56</v>
      </c>
      <c r="J481" s="35" t="str">
        <f>IFERROR(VLOOKUP(CONCATENATE(B481,C481,D481,),Inadimplencia!$A$6:$K$110,6,0),"ATIVO")</f>
        <v>ATIVO</v>
      </c>
      <c r="K481" s="35">
        <f t="shared" si="73"/>
        <v>150640.34</v>
      </c>
      <c r="L481" s="325">
        <f t="shared" si="74"/>
        <v>0.96642030617440078</v>
      </c>
      <c r="M481" s="423" t="str">
        <f t="shared" si="75"/>
        <v>ATIVO0</v>
      </c>
      <c r="X481" s="203" t="str">
        <f t="shared" si="70"/>
        <v>LONDRINA [ETAPA 04 - CONDOMINIO ARAGUARI]ATIVO</v>
      </c>
      <c r="Y481" s="203" t="str">
        <f t="shared" si="71"/>
        <v>XLVI13ELIZEU ABEL TRINDADE</v>
      </c>
      <c r="Z481" s="203" t="str">
        <f t="shared" si="76"/>
        <v>XLVI13ELIZEU ABEL TRINDADE</v>
      </c>
      <c r="AA481" s="430" t="s">
        <v>617</v>
      </c>
      <c r="AB481" s="427">
        <v>13</v>
      </c>
      <c r="AC481" s="429" t="s">
        <v>1481</v>
      </c>
      <c r="AD481" s="505">
        <v>150640.34</v>
      </c>
      <c r="AE481" s="431">
        <v>159084.16</v>
      </c>
      <c r="AF481" s="60" t="str">
        <f t="shared" si="77"/>
        <v>ELIZEU ABEL TRINDADE</v>
      </c>
      <c r="AG481" s="60" t="str">
        <f t="shared" si="78"/>
        <v>OK</v>
      </c>
    </row>
    <row r="482" spans="1:33">
      <c r="A482" s="61" t="str">
        <f t="shared" si="72"/>
        <v>LONDRINA [ETAPA 04 - CONDOMINIO ARAGUARI]XLVI14</v>
      </c>
      <c r="B482" s="263" t="s">
        <v>878</v>
      </c>
      <c r="C482" s="337" t="s">
        <v>617</v>
      </c>
      <c r="D482" s="73">
        <v>14</v>
      </c>
      <c r="E482" s="315">
        <v>252.75</v>
      </c>
      <c r="F482" s="166">
        <v>5044</v>
      </c>
      <c r="G482" s="74" t="s">
        <v>1482</v>
      </c>
      <c r="H482" s="40">
        <v>44238</v>
      </c>
      <c r="I482" s="35">
        <v>160694.75</v>
      </c>
      <c r="J482" s="35" t="str">
        <f>IFERROR(VLOOKUP(CONCATENATE(B482,C482,D482,),Inadimplencia!$A$6:$K$110,6,0),"ATIVO")</f>
        <v>ATIVO</v>
      </c>
      <c r="K482" s="35">
        <f t="shared" si="73"/>
        <v>156086.04</v>
      </c>
      <c r="L482" s="325">
        <f t="shared" si="74"/>
        <v>0.9713200960205608</v>
      </c>
      <c r="M482" s="423" t="str">
        <f t="shared" si="75"/>
        <v>ATIVO0</v>
      </c>
      <c r="X482" s="203" t="str">
        <f t="shared" si="70"/>
        <v>LONDRINA [ETAPA 04 - CONDOMINIO ARAGUARI]ATIVO</v>
      </c>
      <c r="Y482" s="203" t="str">
        <f t="shared" si="71"/>
        <v>XLVI14RODRIGO CLIVATI SCERBO</v>
      </c>
      <c r="Z482" s="203" t="str">
        <f t="shared" si="76"/>
        <v>XLVI14RODRIGO CLIVATI SCERBO</v>
      </c>
      <c r="AA482" s="430" t="s">
        <v>617</v>
      </c>
      <c r="AB482" s="427">
        <v>14</v>
      </c>
      <c r="AC482" s="428" t="s">
        <v>1482</v>
      </c>
      <c r="AD482" s="505">
        <v>156086.04</v>
      </c>
      <c r="AE482" s="431">
        <v>164215.37</v>
      </c>
      <c r="AF482" s="60" t="str">
        <f t="shared" si="77"/>
        <v>RODRIGO CLIVATI SCERBO</v>
      </c>
      <c r="AG482" s="60" t="str">
        <f t="shared" si="78"/>
        <v>OK</v>
      </c>
    </row>
    <row r="483" spans="1:33">
      <c r="A483" s="61" t="str">
        <f t="shared" si="72"/>
        <v>LONDRINA [ETAPA 04 - CONDOMINIO ARAGUARI]XLVI21</v>
      </c>
      <c r="B483" s="263" t="s">
        <v>878</v>
      </c>
      <c r="C483" s="337" t="s">
        <v>617</v>
      </c>
      <c r="D483" s="166">
        <v>21</v>
      </c>
      <c r="E483" s="197">
        <v>252.75</v>
      </c>
      <c r="F483" s="166">
        <v>5046</v>
      </c>
      <c r="G483" s="338" t="s">
        <v>1483</v>
      </c>
      <c r="H483" s="40">
        <v>44245</v>
      </c>
      <c r="I483" s="35">
        <v>156039.79999999999</v>
      </c>
      <c r="J483" s="35" t="str">
        <f>IFERROR(VLOOKUP(CONCATENATE(B483,C483,D483,),Inadimplencia!$A$6:$K$110,6,0),"ATIVO")</f>
        <v>ATIVO</v>
      </c>
      <c r="K483" s="35">
        <f t="shared" si="73"/>
        <v>147135.98000000001</v>
      </c>
      <c r="L483" s="325">
        <f t="shared" si="74"/>
        <v>0.94293878869365388</v>
      </c>
      <c r="M483" s="423" t="str">
        <f t="shared" si="75"/>
        <v>ATIVO0</v>
      </c>
      <c r="X483" s="203" t="str">
        <f t="shared" si="70"/>
        <v>LONDRINA [ETAPA 04 - CONDOMINIO ARAGUARI]ATIVO</v>
      </c>
      <c r="Y483" s="203" t="str">
        <f t="shared" si="71"/>
        <v>XLVI21RENAN CAMPANA MARTINS</v>
      </c>
      <c r="Z483" s="203" t="str">
        <f t="shared" si="76"/>
        <v>XLVI21RENAN CAMPANA MARTINS</v>
      </c>
      <c r="AA483" s="430" t="s">
        <v>617</v>
      </c>
      <c r="AB483" s="427">
        <v>21</v>
      </c>
      <c r="AC483" s="428" t="s">
        <v>1483</v>
      </c>
      <c r="AD483" s="505">
        <v>147135.98000000001</v>
      </c>
      <c r="AE483" s="431">
        <v>158912.48000000001</v>
      </c>
      <c r="AF483" s="60" t="str">
        <f t="shared" si="77"/>
        <v>RENAN CAMPANA MARTINS</v>
      </c>
      <c r="AG483" s="60" t="str">
        <f t="shared" si="78"/>
        <v>OK</v>
      </c>
    </row>
    <row r="484" spans="1:33">
      <c r="A484" s="61" t="str">
        <f t="shared" si="72"/>
        <v>LONDRINA [ETAPA 04 - CONDOMINIO ARAGUARI]XLVI22</v>
      </c>
      <c r="B484" s="263" t="s">
        <v>878</v>
      </c>
      <c r="C484" s="337" t="s">
        <v>617</v>
      </c>
      <c r="D484" s="73">
        <v>22</v>
      </c>
      <c r="E484" s="315">
        <v>252.75</v>
      </c>
      <c r="F484" s="166">
        <v>5119</v>
      </c>
      <c r="G484" s="74" t="s">
        <v>1488</v>
      </c>
      <c r="H484" s="40">
        <v>44273</v>
      </c>
      <c r="I484" s="35">
        <v>199751.74</v>
      </c>
      <c r="J484" s="35" t="str">
        <f>IFERROR(VLOOKUP(CONCATENATE(B484,C484,D484,),Inadimplencia!$A$6:$K$110,6,0),"ATIVO")</f>
        <v>ATIVO</v>
      </c>
      <c r="K484" s="35">
        <f t="shared" si="73"/>
        <v>194979.4</v>
      </c>
      <c r="L484" s="325">
        <f t="shared" si="74"/>
        <v>0.97610864365937444</v>
      </c>
      <c r="M484" s="423" t="str">
        <f t="shared" si="75"/>
        <v>ATIVO0</v>
      </c>
      <c r="X484" s="203" t="str">
        <f t="shared" si="70"/>
        <v>LONDRINA [ETAPA 04 - CONDOMINIO ARAGUARI]ATIVO</v>
      </c>
      <c r="Y484" s="203" t="str">
        <f t="shared" si="71"/>
        <v>XLVI22LUCAS DONIZETTI BUENO DE CAMARGO</v>
      </c>
      <c r="Z484" s="203" t="str">
        <f t="shared" si="76"/>
        <v>XLVI22LUCAS DONIZETTI BUENO DE CAMARGO</v>
      </c>
      <c r="AA484" s="430" t="s">
        <v>617</v>
      </c>
      <c r="AB484" s="427">
        <v>22</v>
      </c>
      <c r="AC484" s="428" t="s">
        <v>1488</v>
      </c>
      <c r="AD484" s="505">
        <v>194979.4</v>
      </c>
      <c r="AE484" s="431">
        <v>200291.9</v>
      </c>
      <c r="AF484" s="60" t="str">
        <f t="shared" si="77"/>
        <v>LUCAS DONIZETTI BUENO DE CAMARGO</v>
      </c>
      <c r="AG484" s="60" t="str">
        <f t="shared" si="78"/>
        <v>OK</v>
      </c>
    </row>
    <row r="485" spans="1:33">
      <c r="A485" s="61" t="str">
        <f t="shared" si="72"/>
        <v>LONDRINA [ETAPA 04 - CONDOMINIO ARAGUARI]XLVII1</v>
      </c>
      <c r="B485" s="263" t="s">
        <v>878</v>
      </c>
      <c r="C485" s="337" t="s">
        <v>618</v>
      </c>
      <c r="D485" s="166">
        <v>1</v>
      </c>
      <c r="E485" s="197">
        <v>351.33</v>
      </c>
      <c r="F485" s="166">
        <v>5109</v>
      </c>
      <c r="G485" s="338" t="s">
        <v>1496</v>
      </c>
      <c r="H485" s="40">
        <v>44256</v>
      </c>
      <c r="I485" s="35">
        <v>227157.61</v>
      </c>
      <c r="J485" s="35" t="str">
        <f>IFERROR(VLOOKUP(CONCATENATE(B485,C485,D485,),Inadimplencia!$A$6:$K$110,6,0),"ATIVO")</f>
        <v>ATIVO</v>
      </c>
      <c r="K485" s="35">
        <f t="shared" si="73"/>
        <v>219101.71</v>
      </c>
      <c r="L485" s="325">
        <f t="shared" si="74"/>
        <v>0.96453607695555521</v>
      </c>
      <c r="M485" s="423" t="str">
        <f t="shared" si="75"/>
        <v>ATIVO0</v>
      </c>
      <c r="X485" s="203" t="str">
        <f t="shared" si="70"/>
        <v>LONDRINA [ETAPA 04 - CONDOMINIO ARAGUARI]ATIVO</v>
      </c>
      <c r="Y485" s="203" t="str">
        <f t="shared" si="71"/>
        <v>XLVII1LAURA PEREIRA DE OLIVEIRA</v>
      </c>
      <c r="Z485" s="203" t="str">
        <f t="shared" si="76"/>
        <v>XLVII1LAURA PEREIRA DE OLIVEIRA</v>
      </c>
      <c r="AA485" s="430" t="s">
        <v>618</v>
      </c>
      <c r="AB485" s="427">
        <v>1</v>
      </c>
      <c r="AC485" s="429" t="s">
        <v>1496</v>
      </c>
      <c r="AD485" s="505">
        <v>219101.71</v>
      </c>
      <c r="AE485" s="431">
        <v>228768.02000000002</v>
      </c>
      <c r="AF485" s="60" t="str">
        <f t="shared" si="77"/>
        <v>LAURA PEREIRA DE OLIVEIRA</v>
      </c>
      <c r="AG485" s="60" t="str">
        <f t="shared" si="78"/>
        <v>OK</v>
      </c>
    </row>
    <row r="486" spans="1:33">
      <c r="A486" s="61" t="str">
        <f t="shared" si="72"/>
        <v>LONDRINA [ETAPA 04 - CONDOMINIO ARAGUARI]XLVII2</v>
      </c>
      <c r="B486" s="263" t="s">
        <v>878</v>
      </c>
      <c r="C486" s="337" t="s">
        <v>618</v>
      </c>
      <c r="D486" s="73">
        <v>2</v>
      </c>
      <c r="E486" s="315">
        <v>261.33999999999997</v>
      </c>
      <c r="F486" s="166">
        <v>4829</v>
      </c>
      <c r="G486" s="74" t="s">
        <v>1343</v>
      </c>
      <c r="H486" s="40">
        <v>44113</v>
      </c>
      <c r="I486" s="35">
        <v>143312.4</v>
      </c>
      <c r="J486" s="35" t="str">
        <f>IFERROR(VLOOKUP(CONCATENATE(B486,C486,D486,),Inadimplencia!$A$6:$K$110,6,0),"ATIVO")</f>
        <v>ATIVO</v>
      </c>
      <c r="K486" s="35">
        <f t="shared" si="73"/>
        <v>119478.75</v>
      </c>
      <c r="L486" s="325">
        <f t="shared" si="74"/>
        <v>0.83369443258224696</v>
      </c>
      <c r="M486" s="423" t="str">
        <f t="shared" si="75"/>
        <v>ATIVO0</v>
      </c>
      <c r="X486" s="203" t="str">
        <f t="shared" si="70"/>
        <v>LONDRINA [ETAPA 04 - CONDOMINIO ARAGUARI]ATIVO</v>
      </c>
      <c r="Y486" s="203" t="str">
        <f t="shared" si="71"/>
        <v>XLVII2ROMILDA PEREIRA PINHO</v>
      </c>
      <c r="Z486" s="203" t="str">
        <f t="shared" si="76"/>
        <v>XLVII2ROMILDA PEREIRA PINHO</v>
      </c>
      <c r="AA486" s="430" t="s">
        <v>618</v>
      </c>
      <c r="AB486" s="427">
        <v>2</v>
      </c>
      <c r="AC486" s="428" t="s">
        <v>1343</v>
      </c>
      <c r="AD486" s="505">
        <v>119478.75</v>
      </c>
      <c r="AE486" s="431">
        <v>148424.18</v>
      </c>
      <c r="AF486" s="60" t="str">
        <f t="shared" si="77"/>
        <v>ROMILDA PEREIRA PINHO</v>
      </c>
      <c r="AG486" s="60" t="str">
        <f t="shared" si="78"/>
        <v>OK</v>
      </c>
    </row>
    <row r="487" spans="1:33">
      <c r="A487" s="61" t="str">
        <f t="shared" si="72"/>
        <v>LONDRINA [ETAPA 04 - CONDOMINIO ARAGUARI]XLVII3</v>
      </c>
      <c r="B487" s="263" t="s">
        <v>878</v>
      </c>
      <c r="C487" s="337" t="s">
        <v>618</v>
      </c>
      <c r="D487" s="166">
        <v>3</v>
      </c>
      <c r="E487" s="197">
        <v>261.33999999999997</v>
      </c>
      <c r="F487" s="166">
        <v>4830</v>
      </c>
      <c r="G487" s="338" t="s">
        <v>1343</v>
      </c>
      <c r="H487" s="40">
        <v>44113</v>
      </c>
      <c r="I487" s="35">
        <v>143312.4</v>
      </c>
      <c r="J487" s="35" t="str">
        <f>IFERROR(VLOOKUP(CONCATENATE(B487,C487,D487,),Inadimplencia!$A$6:$K$110,6,0),"ATIVO")</f>
        <v>ATIVO</v>
      </c>
      <c r="K487" s="35">
        <f t="shared" si="73"/>
        <v>119478.75</v>
      </c>
      <c r="L487" s="325">
        <f t="shared" si="74"/>
        <v>0.83369443258224696</v>
      </c>
      <c r="M487" s="423" t="str">
        <f t="shared" si="75"/>
        <v>ATIVO0</v>
      </c>
      <c r="X487" s="203" t="str">
        <f t="shared" si="70"/>
        <v>LONDRINA [ETAPA 04 - CONDOMINIO ARAGUARI]ATIVO</v>
      </c>
      <c r="Y487" s="203" t="str">
        <f t="shared" si="71"/>
        <v>XLVII3ROMILDA PEREIRA PINHO</v>
      </c>
      <c r="Z487" s="203" t="str">
        <f t="shared" si="76"/>
        <v>XLVII3ROMILDA PEREIRA PINHO</v>
      </c>
      <c r="AA487" s="430" t="s">
        <v>618</v>
      </c>
      <c r="AB487" s="427">
        <v>3</v>
      </c>
      <c r="AC487" s="428" t="s">
        <v>1343</v>
      </c>
      <c r="AD487" s="505">
        <v>119478.75</v>
      </c>
      <c r="AE487" s="431">
        <v>148422.16</v>
      </c>
      <c r="AF487" s="60" t="str">
        <f t="shared" si="77"/>
        <v>ROMILDA PEREIRA PINHO</v>
      </c>
      <c r="AG487" s="60" t="str">
        <f t="shared" si="78"/>
        <v>OK</v>
      </c>
    </row>
    <row r="488" spans="1:33">
      <c r="A488" s="61" t="str">
        <f t="shared" si="72"/>
        <v>LONDRINA [ETAPA 04 - CONDOMINIO ARAGUARI]XLVII4</v>
      </c>
      <c r="B488" s="263" t="s">
        <v>878</v>
      </c>
      <c r="C488" s="337" t="s">
        <v>618</v>
      </c>
      <c r="D488" s="73">
        <v>4</v>
      </c>
      <c r="E488" s="315">
        <v>261.33999999999997</v>
      </c>
      <c r="F488" s="166">
        <v>3738</v>
      </c>
      <c r="G488" s="74" t="s">
        <v>1140</v>
      </c>
      <c r="H488" s="40">
        <v>43864</v>
      </c>
      <c r="I488" s="35">
        <v>151818.43</v>
      </c>
      <c r="J488" s="35" t="str">
        <f>IFERROR(VLOOKUP(CONCATENATE(B488,C488,D488,),Inadimplencia!$A$6:$K$110,6,0),"ATIVO")</f>
        <v>ATIVO</v>
      </c>
      <c r="K488" s="35">
        <f t="shared" si="73"/>
        <v>149449.34</v>
      </c>
      <c r="L488" s="325">
        <f t="shared" si="74"/>
        <v>0.98439524107843823</v>
      </c>
      <c r="M488" s="423" t="str">
        <f t="shared" si="75"/>
        <v>ATIVO0</v>
      </c>
      <c r="X488" s="203" t="str">
        <f t="shared" si="70"/>
        <v>LONDRINA [ETAPA 04 - CONDOMINIO ARAGUARI]ATIVO</v>
      </c>
      <c r="Y488" s="203" t="str">
        <f t="shared" si="71"/>
        <v>XLVII4NATANY CARDOZO RODRIGUES</v>
      </c>
      <c r="Z488" s="203" t="str">
        <f t="shared" si="76"/>
        <v>XLVII4NATANY CARDOZO RODRIGUES</v>
      </c>
      <c r="AA488" s="430" t="s">
        <v>618</v>
      </c>
      <c r="AB488" s="427">
        <v>4</v>
      </c>
      <c r="AC488" s="428" t="s">
        <v>1140</v>
      </c>
      <c r="AD488" s="505">
        <v>149449.34</v>
      </c>
      <c r="AE488" s="431">
        <v>179748.27</v>
      </c>
      <c r="AF488" s="60" t="str">
        <f t="shared" si="77"/>
        <v>NATANY CARDOZO RODRIGUES</v>
      </c>
      <c r="AG488" s="60" t="str">
        <f t="shared" si="78"/>
        <v>OK</v>
      </c>
    </row>
    <row r="489" spans="1:33">
      <c r="A489" s="61" t="str">
        <f t="shared" si="72"/>
        <v>LONDRINA [ETAPA 04 - CONDOMINIO ARAGUARI]XLVII6</v>
      </c>
      <c r="B489" s="263" t="s">
        <v>878</v>
      </c>
      <c r="C489" s="337" t="s">
        <v>618</v>
      </c>
      <c r="D489" s="166">
        <v>6</v>
      </c>
      <c r="E489" s="197">
        <v>257.64</v>
      </c>
      <c r="F489" s="166">
        <v>4783</v>
      </c>
      <c r="G489" s="338" t="s">
        <v>1325</v>
      </c>
      <c r="H489" s="40">
        <v>44099</v>
      </c>
      <c r="I489" s="35">
        <v>143934.10999999999</v>
      </c>
      <c r="J489" s="35" t="str">
        <f>IFERROR(VLOOKUP(CONCATENATE(B489,C489,D489,),Inadimplencia!$A$6:$K$110,6,0),"ATIVO")</f>
        <v>ATIVO</v>
      </c>
      <c r="K489" s="35">
        <f t="shared" si="73"/>
        <v>63708.75</v>
      </c>
      <c r="L489" s="325">
        <f t="shared" si="74"/>
        <v>0.44262440640373574</v>
      </c>
      <c r="M489" s="423" t="str">
        <f t="shared" si="75"/>
        <v>ATIVO0</v>
      </c>
      <c r="X489" s="203" t="str">
        <f t="shared" si="70"/>
        <v>LONDRINA [ETAPA 04 - CONDOMINIO ARAGUARI]ATIVO</v>
      </c>
      <c r="Y489" s="203" t="str">
        <f t="shared" si="71"/>
        <v>XLVII6LUIZ NOGUEIRA MONTEIRO NETTO</v>
      </c>
      <c r="Z489" s="203" t="str">
        <f t="shared" si="76"/>
        <v>XLVII6LUIZ NOGUEIRA MONTEIRO NETTO</v>
      </c>
      <c r="AA489" s="430" t="s">
        <v>618</v>
      </c>
      <c r="AB489" s="427">
        <v>6</v>
      </c>
      <c r="AC489" s="429" t="s">
        <v>1325</v>
      </c>
      <c r="AD489" s="505">
        <v>63708.75</v>
      </c>
      <c r="AE489" s="431">
        <v>146825.23000000001</v>
      </c>
      <c r="AF489" s="60" t="str">
        <f t="shared" si="77"/>
        <v>LUIZ NOGUEIRA MONTEIRO NETTO</v>
      </c>
      <c r="AG489" s="60" t="str">
        <f t="shared" si="78"/>
        <v>OK</v>
      </c>
    </row>
    <row r="490" spans="1:33">
      <c r="A490" s="61" t="str">
        <f t="shared" si="72"/>
        <v>LONDRINA [ETAPA 04 - CONDOMINIO ARAGUARI]XLVII7</v>
      </c>
      <c r="B490" s="263" t="s">
        <v>878</v>
      </c>
      <c r="C490" s="337" t="s">
        <v>618</v>
      </c>
      <c r="D490" s="73">
        <v>7</v>
      </c>
      <c r="E490" s="315">
        <v>257.64</v>
      </c>
      <c r="F490" s="166">
        <v>4886</v>
      </c>
      <c r="G490" s="74" t="s">
        <v>1370</v>
      </c>
      <c r="H490" s="40">
        <v>44153</v>
      </c>
      <c r="I490" s="35">
        <v>158648.32999999999</v>
      </c>
      <c r="J490" s="35" t="str">
        <f>IFERROR(VLOOKUP(CONCATENATE(B490,C490,D490,),Inadimplencia!$A$6:$K$110,6,0),"ATIVO")</f>
        <v>ATIVO</v>
      </c>
      <c r="K490" s="35">
        <f t="shared" si="73"/>
        <v>119347.91</v>
      </c>
      <c r="L490" s="325">
        <f t="shared" si="74"/>
        <v>0.75227964895691002</v>
      </c>
      <c r="M490" s="423" t="str">
        <f t="shared" si="75"/>
        <v>ATIVO0</v>
      </c>
      <c r="X490" s="203" t="str">
        <f t="shared" si="70"/>
        <v>LONDRINA [ETAPA 04 - CONDOMINIO ARAGUARI]ATIVO</v>
      </c>
      <c r="Y490" s="203" t="str">
        <f t="shared" si="71"/>
        <v>XLVII7DAVID CANDIDO DO NASCIMENTO</v>
      </c>
      <c r="Z490" s="203" t="str">
        <f t="shared" si="76"/>
        <v>XLVII7DAVID CANDIDO DO NASCIMENTO</v>
      </c>
      <c r="AA490" s="430" t="s">
        <v>618</v>
      </c>
      <c r="AB490" s="427">
        <v>7</v>
      </c>
      <c r="AC490" s="428" t="s">
        <v>1370</v>
      </c>
      <c r="AD490" s="505">
        <v>119347.91</v>
      </c>
      <c r="AE490" s="431">
        <v>158749.89000000001</v>
      </c>
      <c r="AF490" s="60" t="str">
        <f t="shared" si="77"/>
        <v>DAVID CANDIDO DO NASCIMENTO</v>
      </c>
      <c r="AG490" s="60" t="str">
        <f t="shared" si="78"/>
        <v>OK</v>
      </c>
    </row>
    <row r="491" spans="1:33">
      <c r="A491" s="61" t="str">
        <f t="shared" si="72"/>
        <v>LONDRINA [ETAPA 04 - CONDOMINIO ARAGUARI]XLVII8</v>
      </c>
      <c r="B491" s="263" t="s">
        <v>878</v>
      </c>
      <c r="C491" s="337" t="s">
        <v>618</v>
      </c>
      <c r="D491" s="166">
        <v>8</v>
      </c>
      <c r="E491" s="197">
        <v>257.64</v>
      </c>
      <c r="F491" s="166">
        <v>4912</v>
      </c>
      <c r="G491" s="338" t="s">
        <v>1381</v>
      </c>
      <c r="H491" s="40">
        <v>44166</v>
      </c>
      <c r="I491" s="35">
        <v>155100.79999999999</v>
      </c>
      <c r="J491" s="35" t="str">
        <f>IFERROR(VLOOKUP(CONCATENATE(B491,C491,D491,),Inadimplencia!$A$6:$K$110,6,0),"ATIVO")</f>
        <v>ATIVO</v>
      </c>
      <c r="K491" s="35">
        <f t="shared" si="73"/>
        <v>107812.83</v>
      </c>
      <c r="L491" s="325">
        <f t="shared" si="74"/>
        <v>0.69511459644308737</v>
      </c>
      <c r="M491" s="423" t="str">
        <f t="shared" si="75"/>
        <v>ATIVO0</v>
      </c>
      <c r="X491" s="203" t="str">
        <f t="shared" si="70"/>
        <v>LONDRINA [ETAPA 04 - CONDOMINIO ARAGUARI]ATIVO</v>
      </c>
      <c r="Y491" s="203" t="str">
        <f t="shared" si="71"/>
        <v>XLVII8FLAVIO GONCALVES DA COSTA</v>
      </c>
      <c r="Z491" s="203" t="str">
        <f t="shared" si="76"/>
        <v>XLVII8FLAVIO GONCALVES DA COSTA</v>
      </c>
      <c r="AA491" s="430" t="s">
        <v>618</v>
      </c>
      <c r="AB491" s="427">
        <v>8</v>
      </c>
      <c r="AC491" s="429" t="s">
        <v>1381</v>
      </c>
      <c r="AD491" s="505">
        <v>107812.83</v>
      </c>
      <c r="AE491" s="431">
        <v>164082.78</v>
      </c>
      <c r="AF491" s="60" t="str">
        <f t="shared" si="77"/>
        <v>FLAVIO GONCALVES DA COSTA</v>
      </c>
      <c r="AG491" s="60" t="str">
        <f t="shared" si="78"/>
        <v>OK</v>
      </c>
    </row>
    <row r="492" spans="1:33">
      <c r="A492" s="61" t="str">
        <f t="shared" si="72"/>
        <v>LONDRINA [ETAPA 04 - CONDOMINIO ARAGUARI]XLVII9</v>
      </c>
      <c r="B492" s="263" t="s">
        <v>878</v>
      </c>
      <c r="C492" s="337" t="s">
        <v>618</v>
      </c>
      <c r="D492" s="73">
        <v>9</v>
      </c>
      <c r="E492" s="315">
        <v>257.64</v>
      </c>
      <c r="F492" s="166">
        <v>2958</v>
      </c>
      <c r="G492" s="74" t="s">
        <v>1065</v>
      </c>
      <c r="H492" s="40">
        <v>43717</v>
      </c>
      <c r="I492" s="35">
        <v>141000.6</v>
      </c>
      <c r="J492" s="35" t="str">
        <f>IFERROR(VLOOKUP(CONCATENATE(B492,C492,D492,),Inadimplencia!$A$6:$K$110,6,0),"ATIVO")</f>
        <v>ATIVO</v>
      </c>
      <c r="K492" s="35">
        <f t="shared" si="73"/>
        <v>133901.54</v>
      </c>
      <c r="L492" s="325">
        <f t="shared" si="74"/>
        <v>0.94965227098324401</v>
      </c>
      <c r="M492" s="423" t="str">
        <f t="shared" si="75"/>
        <v>ATIVO0</v>
      </c>
      <c r="X492" s="203" t="str">
        <f t="shared" si="70"/>
        <v>LONDRINA [ETAPA 04 - CONDOMINIO ARAGUARI]ATIVO</v>
      </c>
      <c r="Y492" s="203" t="str">
        <f t="shared" si="71"/>
        <v>XLVII9BRUNO CESAR BOZELLI</v>
      </c>
      <c r="Z492" s="203" t="str">
        <f t="shared" si="76"/>
        <v>XLVII9BRUNO CESAR BOZELLI</v>
      </c>
      <c r="AA492" s="430" t="s">
        <v>618</v>
      </c>
      <c r="AB492" s="427">
        <v>9</v>
      </c>
      <c r="AC492" s="429" t="s">
        <v>1065</v>
      </c>
      <c r="AD492" s="505">
        <v>133901.54</v>
      </c>
      <c r="AE492" s="431">
        <v>174272.71</v>
      </c>
      <c r="AF492" s="60" t="str">
        <f t="shared" si="77"/>
        <v>BRUNO CESAR BOZELLI</v>
      </c>
      <c r="AG492" s="60" t="str">
        <f t="shared" si="78"/>
        <v>OK</v>
      </c>
    </row>
    <row r="493" spans="1:33">
      <c r="A493" s="61" t="str">
        <f t="shared" si="72"/>
        <v>LONDRINA [ETAPA 04 - CONDOMINIO ARAGUARI]XLVII10</v>
      </c>
      <c r="B493" s="263" t="s">
        <v>878</v>
      </c>
      <c r="C493" s="337" t="s">
        <v>618</v>
      </c>
      <c r="D493" s="166">
        <v>10</v>
      </c>
      <c r="E493" s="197">
        <v>311.27999999999997</v>
      </c>
      <c r="F493" s="166">
        <v>4924</v>
      </c>
      <c r="G493" s="338" t="s">
        <v>1382</v>
      </c>
      <c r="H493" s="40">
        <v>44176</v>
      </c>
      <c r="I493" s="35">
        <v>191677.63</v>
      </c>
      <c r="J493" s="35" t="str">
        <f>IFERROR(VLOOKUP(CONCATENATE(B493,C493,D493,),Inadimplencia!$A$6:$K$110,6,0),"ATIVO")</f>
        <v>ATIVO</v>
      </c>
      <c r="K493" s="35">
        <f t="shared" si="73"/>
        <v>89100.22</v>
      </c>
      <c r="L493" s="325">
        <f t="shared" si="74"/>
        <v>0.46484412395958774</v>
      </c>
      <c r="M493" s="423" t="str">
        <f t="shared" si="75"/>
        <v>ATIVO0</v>
      </c>
      <c r="X493" s="203" t="str">
        <f t="shared" si="70"/>
        <v>LONDRINA [ETAPA 04 - CONDOMINIO ARAGUARI]ATIVO</v>
      </c>
      <c r="Y493" s="203" t="str">
        <f t="shared" si="71"/>
        <v>XLVII10VANESSA VALERO MOREIRA</v>
      </c>
      <c r="Z493" s="203" t="str">
        <f t="shared" si="76"/>
        <v>XLVII10VANESSA VALERO MOREIRA</v>
      </c>
      <c r="AA493" s="430" t="s">
        <v>618</v>
      </c>
      <c r="AB493" s="427">
        <v>10</v>
      </c>
      <c r="AC493" s="428" t="s">
        <v>1382</v>
      </c>
      <c r="AD493" s="505">
        <v>89100.22</v>
      </c>
      <c r="AE493" s="431">
        <v>202260.59</v>
      </c>
      <c r="AF493" s="60" t="str">
        <f t="shared" si="77"/>
        <v>VANESSA VALERO MOREIRA</v>
      </c>
      <c r="AG493" s="60" t="str">
        <f t="shared" si="78"/>
        <v>OK</v>
      </c>
    </row>
    <row r="494" spans="1:33">
      <c r="A494" s="61" t="str">
        <f t="shared" si="72"/>
        <v>LONDRINA [ETAPA 04 - CONDOMINIO ARAGUARI]XLVII19</v>
      </c>
      <c r="B494" s="263" t="s">
        <v>878</v>
      </c>
      <c r="C494" s="337" t="s">
        <v>618</v>
      </c>
      <c r="D494" s="73">
        <v>19</v>
      </c>
      <c r="E494" s="315">
        <v>253.57</v>
      </c>
      <c r="F494" s="166">
        <v>4948</v>
      </c>
      <c r="G494" s="74" t="s">
        <v>1390</v>
      </c>
      <c r="H494" s="40">
        <v>44174</v>
      </c>
      <c r="I494" s="35">
        <v>156141.54</v>
      </c>
      <c r="J494" s="35" t="str">
        <f>IFERROR(VLOOKUP(CONCATENATE(B494,C494,D494,),Inadimplencia!$A$6:$K$110,6,0),"ATIVO")</f>
        <v>ATIVO</v>
      </c>
      <c r="K494" s="35">
        <f t="shared" si="73"/>
        <v>153872.6</v>
      </c>
      <c r="L494" s="325">
        <f t="shared" si="74"/>
        <v>0.98546869718333763</v>
      </c>
      <c r="M494" s="423" t="str">
        <f t="shared" si="75"/>
        <v>ATIVO0</v>
      </c>
      <c r="X494" s="203" t="str">
        <f t="shared" si="70"/>
        <v>LONDRINA [ETAPA 04 - CONDOMINIO ARAGUARI]ATIVO</v>
      </c>
      <c r="Y494" s="203" t="str">
        <f t="shared" si="71"/>
        <v>XLVII19MARIANY SOUZA CARVALHO</v>
      </c>
      <c r="Z494" s="203" t="str">
        <f t="shared" si="76"/>
        <v>XLVII19MARIANY SOUZA CARVALHO</v>
      </c>
      <c r="AA494" s="430" t="s">
        <v>618</v>
      </c>
      <c r="AB494" s="427">
        <v>19</v>
      </c>
      <c r="AC494" s="428" t="s">
        <v>1390</v>
      </c>
      <c r="AD494" s="505">
        <v>153872.6</v>
      </c>
      <c r="AE494" s="431">
        <v>165946.1</v>
      </c>
      <c r="AF494" s="60" t="str">
        <f t="shared" si="77"/>
        <v>MARIANY SOUZA CARVALHO</v>
      </c>
      <c r="AG494" s="60" t="str">
        <f t="shared" si="78"/>
        <v>OK</v>
      </c>
    </row>
    <row r="495" spans="1:33">
      <c r="A495" s="61" t="str">
        <f t="shared" si="72"/>
        <v>LONDRINA [ETAPA 04 - CONDOMINIO ARAGUARI]XLVII20</v>
      </c>
      <c r="B495" s="263" t="s">
        <v>878</v>
      </c>
      <c r="C495" s="337" t="s">
        <v>618</v>
      </c>
      <c r="D495" s="166">
        <v>20</v>
      </c>
      <c r="E495" s="197">
        <v>253.57</v>
      </c>
      <c r="F495" s="166">
        <v>4913</v>
      </c>
      <c r="G495" s="338" t="s">
        <v>1383</v>
      </c>
      <c r="H495" s="40">
        <v>44166</v>
      </c>
      <c r="I495" s="35">
        <v>152280</v>
      </c>
      <c r="J495" s="35" t="str">
        <f>IFERROR(VLOOKUP(CONCATENATE(B495,C495,D495,),Inadimplencia!$A$6:$K$110,6,0),"ATIVO")</f>
        <v>ATIVO</v>
      </c>
      <c r="K495" s="35">
        <f t="shared" si="73"/>
        <v>141507.5</v>
      </c>
      <c r="L495" s="325">
        <f t="shared" si="74"/>
        <v>0.92925860257420545</v>
      </c>
      <c r="M495" s="423" t="str">
        <f t="shared" si="75"/>
        <v>ATIVO0</v>
      </c>
      <c r="X495" s="203" t="str">
        <f t="shared" si="70"/>
        <v>LONDRINA [ETAPA 04 - CONDOMINIO ARAGUARI]ATIVO</v>
      </c>
      <c r="Y495" s="203" t="str">
        <f t="shared" si="71"/>
        <v>XLVII20DANIEL REBOLO</v>
      </c>
      <c r="Z495" s="203" t="str">
        <f t="shared" si="76"/>
        <v>XLVII20DANIEL REBOLO</v>
      </c>
      <c r="AA495" s="430" t="s">
        <v>618</v>
      </c>
      <c r="AB495" s="427">
        <v>20</v>
      </c>
      <c r="AC495" s="429" t="s">
        <v>1383</v>
      </c>
      <c r="AD495" s="505">
        <v>141507.5</v>
      </c>
      <c r="AE495" s="431">
        <v>161087.92000000001</v>
      </c>
      <c r="AF495" s="60" t="str">
        <f t="shared" si="77"/>
        <v>DANIEL REBOLO</v>
      </c>
      <c r="AG495" s="60" t="str">
        <f t="shared" si="78"/>
        <v>OK</v>
      </c>
    </row>
    <row r="496" spans="1:33">
      <c r="A496" s="61" t="str">
        <f t="shared" si="72"/>
        <v>LONDRINA [ETAPA 04 - CONDOMINIO ARAGUARI]XLVII22</v>
      </c>
      <c r="B496" s="263" t="s">
        <v>878</v>
      </c>
      <c r="C496" s="337" t="s">
        <v>618</v>
      </c>
      <c r="D496" s="73">
        <v>22</v>
      </c>
      <c r="E496" s="315">
        <v>253.57</v>
      </c>
      <c r="F496" s="166">
        <v>4739</v>
      </c>
      <c r="G496" s="74" t="s">
        <v>1263</v>
      </c>
      <c r="H496" s="40">
        <v>44062</v>
      </c>
      <c r="I496" s="35">
        <v>147303.56</v>
      </c>
      <c r="J496" s="35" t="str">
        <f>IFERROR(VLOOKUP(CONCATENATE(B496,C496,D496,),Inadimplencia!$A$6:$K$110,6,0),"ATIVO")</f>
        <v>ATIVO</v>
      </c>
      <c r="K496" s="35">
        <f t="shared" si="73"/>
        <v>121034.34</v>
      </c>
      <c r="L496" s="325">
        <f t="shared" si="74"/>
        <v>0.82166608872182045</v>
      </c>
      <c r="M496" s="423" t="str">
        <f t="shared" si="75"/>
        <v>ATIVO0</v>
      </c>
      <c r="X496" s="203" t="str">
        <f t="shared" si="70"/>
        <v>LONDRINA [ETAPA 04 - CONDOMINIO ARAGUARI]ATIVO</v>
      </c>
      <c r="Y496" s="203" t="str">
        <f t="shared" si="71"/>
        <v>XLVII22KAUANA TORRES DE SOUSA</v>
      </c>
      <c r="Z496" s="203" t="str">
        <f t="shared" si="76"/>
        <v>XLVII22KAUANA TORRES DE SOUSA</v>
      </c>
      <c r="AA496" s="430" t="s">
        <v>618</v>
      </c>
      <c r="AB496" s="427">
        <v>22</v>
      </c>
      <c r="AC496" s="428" t="s">
        <v>1263</v>
      </c>
      <c r="AD496" s="505">
        <v>121034.34</v>
      </c>
      <c r="AE496" s="431">
        <v>162076.48000000001</v>
      </c>
      <c r="AF496" s="60" t="str">
        <f t="shared" si="77"/>
        <v>KAUANA TORRES DE SOUSA</v>
      </c>
      <c r="AG496" s="60" t="str">
        <f t="shared" si="78"/>
        <v>OK</v>
      </c>
    </row>
    <row r="497" spans="1:33">
      <c r="A497" s="61" t="str">
        <f t="shared" si="72"/>
        <v>LONDRINA [ETAPA 04 - CONDOMINIO ARAGUARI]XLVII23</v>
      </c>
      <c r="B497" s="263" t="s">
        <v>878</v>
      </c>
      <c r="C497" s="337" t="s">
        <v>618</v>
      </c>
      <c r="D497" s="166">
        <v>23</v>
      </c>
      <c r="E497" s="197">
        <v>251.38</v>
      </c>
      <c r="F497" s="166">
        <v>4736</v>
      </c>
      <c r="G497" s="338" t="s">
        <v>1264</v>
      </c>
      <c r="H497" s="40">
        <v>44064</v>
      </c>
      <c r="I497" s="35">
        <v>145700</v>
      </c>
      <c r="J497" s="35" t="str">
        <f>IFERROR(VLOOKUP(CONCATENATE(B497,C497,D497,),Inadimplencia!$A$6:$K$110,6,0),"ATIVO")</f>
        <v>ATIVO</v>
      </c>
      <c r="K497" s="35">
        <f t="shared" si="73"/>
        <v>144630.12</v>
      </c>
      <c r="L497" s="325">
        <f t="shared" si="74"/>
        <v>0.99265696636925183</v>
      </c>
      <c r="M497" s="423" t="str">
        <f t="shared" si="75"/>
        <v>ATIVO0</v>
      </c>
      <c r="X497" s="203" t="str">
        <f t="shared" si="70"/>
        <v>LONDRINA [ETAPA 04 - CONDOMINIO ARAGUARI]ATIVO</v>
      </c>
      <c r="Y497" s="203" t="str">
        <f t="shared" si="71"/>
        <v>XLVII23MARCO ANTONIO DE OLIVEIRA</v>
      </c>
      <c r="Z497" s="203" t="str">
        <f t="shared" si="76"/>
        <v>XLVII23MARCO ANTONIO DE OLIVEIRA</v>
      </c>
      <c r="AA497" s="430" t="s">
        <v>618</v>
      </c>
      <c r="AB497" s="427">
        <v>23</v>
      </c>
      <c r="AC497" s="428" t="s">
        <v>1264</v>
      </c>
      <c r="AD497" s="505">
        <v>144630.12</v>
      </c>
      <c r="AE497" s="431">
        <v>162722.23999999999</v>
      </c>
      <c r="AF497" s="60" t="str">
        <f t="shared" si="77"/>
        <v>MARCO ANTONIO DE OLIVEIRA</v>
      </c>
      <c r="AG497" s="60" t="str">
        <f t="shared" si="78"/>
        <v>OK</v>
      </c>
    </row>
    <row r="498" spans="1:33">
      <c r="A498" s="61" t="str">
        <f t="shared" si="72"/>
        <v>LONDRINA [ETAPA 04 - CONDOMINIO ARAGUARI]XLVII24</v>
      </c>
      <c r="B498" s="263" t="s">
        <v>878</v>
      </c>
      <c r="C498" s="337" t="s">
        <v>618</v>
      </c>
      <c r="D498" s="73">
        <v>24</v>
      </c>
      <c r="E498" s="315">
        <v>254.49</v>
      </c>
      <c r="F498" s="166">
        <v>4671</v>
      </c>
      <c r="G498" s="74" t="s">
        <v>1276</v>
      </c>
      <c r="H498" s="40">
        <v>44057</v>
      </c>
      <c r="I498" s="35">
        <v>140530.9</v>
      </c>
      <c r="J498" s="35" t="str">
        <f>IFERROR(VLOOKUP(CONCATENATE(B498,C498,D498,),Inadimplencia!$A$6:$K$110,6,0),"ATIVO")</f>
        <v>ATIVO</v>
      </c>
      <c r="K498" s="35">
        <f t="shared" si="73"/>
        <v>143133.9</v>
      </c>
      <c r="L498" s="325">
        <f t="shared" si="74"/>
        <v>1.0185226167341133</v>
      </c>
      <c r="M498" s="423" t="str">
        <f t="shared" si="75"/>
        <v>ATIVO1</v>
      </c>
      <c r="X498" s="203" t="str">
        <f t="shared" si="70"/>
        <v>LONDRINA [ETAPA 04 - CONDOMINIO ARAGUARI]ATIVO</v>
      </c>
      <c r="Y498" s="203" t="str">
        <f t="shared" si="71"/>
        <v>XLVII24SIMEIRE ANTONIELI DOS SANTOS FALEIROS</v>
      </c>
      <c r="Z498" s="203" t="str">
        <f t="shared" si="76"/>
        <v>XLVII24SIMEIRE ANTONIELI DOS SANTOS FALEIROS</v>
      </c>
      <c r="AA498" s="430" t="s">
        <v>618</v>
      </c>
      <c r="AB498" s="427">
        <v>24</v>
      </c>
      <c r="AC498" s="428" t="s">
        <v>1276</v>
      </c>
      <c r="AD498" s="505">
        <v>143133.9</v>
      </c>
      <c r="AE498" s="431">
        <v>157779.51999999999</v>
      </c>
      <c r="AF498" s="60" t="str">
        <f t="shared" si="77"/>
        <v>SIMEIRE ANTONIELI DOS SANTOS FALEIROS</v>
      </c>
      <c r="AG498" s="60" t="str">
        <f t="shared" si="78"/>
        <v>OK</v>
      </c>
    </row>
    <row r="499" spans="1:33">
      <c r="A499" s="61" t="str">
        <f t="shared" si="72"/>
        <v>LONDRINA [ETAPA 04 - CONDOMINIO ARAGUARI]XLVII25</v>
      </c>
      <c r="B499" s="263" t="s">
        <v>878</v>
      </c>
      <c r="C499" s="337" t="s">
        <v>618</v>
      </c>
      <c r="D499" s="166">
        <v>25</v>
      </c>
      <c r="E499" s="197">
        <v>254.49</v>
      </c>
      <c r="F499" s="166">
        <v>4811</v>
      </c>
      <c r="G499" s="338" t="s">
        <v>1344</v>
      </c>
      <c r="H499" s="40">
        <v>44105</v>
      </c>
      <c r="I499" s="35">
        <v>140999.6</v>
      </c>
      <c r="J499" s="35" t="str">
        <f>IFERROR(VLOOKUP(CONCATENATE(B499,C499,D499,),Inadimplencia!$A$6:$K$110,6,0),"ATIVO")</f>
        <v>ATIVO</v>
      </c>
      <c r="K499" s="35">
        <f t="shared" si="73"/>
        <v>133775.64000000001</v>
      </c>
      <c r="L499" s="325">
        <f t="shared" si="74"/>
        <v>0.94876609579034277</v>
      </c>
      <c r="M499" s="423" t="str">
        <f t="shared" si="75"/>
        <v>ATIVO0</v>
      </c>
      <c r="X499" s="203" t="str">
        <f t="shared" si="70"/>
        <v>LONDRINA [ETAPA 04 - CONDOMINIO ARAGUARI]ATIVO</v>
      </c>
      <c r="Y499" s="203" t="str">
        <f t="shared" si="71"/>
        <v>XLVII25ARIEL LUCCHESI DELIBERADOR</v>
      </c>
      <c r="Z499" s="203" t="str">
        <f t="shared" si="76"/>
        <v>XLVII25ARIEL LUCCHESI DELIBERADOR</v>
      </c>
      <c r="AA499" s="430" t="s">
        <v>618</v>
      </c>
      <c r="AB499" s="427">
        <v>25</v>
      </c>
      <c r="AC499" s="429" t="s">
        <v>1344</v>
      </c>
      <c r="AD499" s="505">
        <v>133775.64000000001</v>
      </c>
      <c r="AE499" s="431">
        <v>153896.37</v>
      </c>
      <c r="AF499" s="60" t="str">
        <f t="shared" si="77"/>
        <v>ARIEL LUCCHESI DELIBERADOR</v>
      </c>
      <c r="AG499" s="60" t="str">
        <f t="shared" si="78"/>
        <v>OK</v>
      </c>
    </row>
    <row r="500" spans="1:33">
      <c r="A500" s="61" t="str">
        <f t="shared" si="72"/>
        <v>LONDRINA [ETAPA 04 - CONDOMINIO ARAGUARI]XLVIII3</v>
      </c>
      <c r="B500" s="263" t="s">
        <v>878</v>
      </c>
      <c r="C500" s="337" t="s">
        <v>619</v>
      </c>
      <c r="D500" s="166">
        <v>3</v>
      </c>
      <c r="E500" s="197">
        <v>254.31</v>
      </c>
      <c r="F500" s="166">
        <v>3228</v>
      </c>
      <c r="G500" s="74" t="s">
        <v>1109</v>
      </c>
      <c r="H500" s="40">
        <v>43777</v>
      </c>
      <c r="I500" s="35">
        <v>122200</v>
      </c>
      <c r="J500" s="35" t="str">
        <f>IFERROR(VLOOKUP(CONCATENATE(B500,C500,D500,),Inadimplencia!$A$6:$K$110,6,0),"ATIVO")</f>
        <v>ATIVO</v>
      </c>
      <c r="K500" s="35">
        <f t="shared" si="73"/>
        <v>117151.62</v>
      </c>
      <c r="L500" s="325">
        <f t="shared" si="74"/>
        <v>0.95868756137479538</v>
      </c>
      <c r="M500" s="423" t="str">
        <f t="shared" si="75"/>
        <v>ATIVO0</v>
      </c>
      <c r="X500" s="203" t="str">
        <f t="shared" si="70"/>
        <v>LONDRINA [ETAPA 04 - CONDOMINIO ARAGUARI]ATIVO</v>
      </c>
      <c r="Y500" s="203" t="str">
        <f t="shared" si="71"/>
        <v>XLVIII3LUCCAS PACHECO SILVEIRA</v>
      </c>
      <c r="Z500" s="203" t="str">
        <f t="shared" si="76"/>
        <v>XLVIII3LUCCAS PACHECO SILVEIRA</v>
      </c>
      <c r="AA500" s="430" t="s">
        <v>619</v>
      </c>
      <c r="AB500" s="427">
        <v>3</v>
      </c>
      <c r="AC500" s="428" t="s">
        <v>1109</v>
      </c>
      <c r="AD500" s="505">
        <v>117151.62</v>
      </c>
      <c r="AE500" s="431">
        <v>150336.26</v>
      </c>
      <c r="AF500" s="60" t="str">
        <f t="shared" si="77"/>
        <v>LUCCAS PACHECO SILVEIRA</v>
      </c>
      <c r="AG500" s="60" t="str">
        <f t="shared" si="78"/>
        <v>OK</v>
      </c>
    </row>
    <row r="501" spans="1:33">
      <c r="A501" s="61" t="str">
        <f t="shared" si="72"/>
        <v>LONDRINA [ETAPA 04 - CONDOMINIO ARAGUARI]XLVIII4</v>
      </c>
      <c r="B501" s="263" t="s">
        <v>878</v>
      </c>
      <c r="C501" s="337" t="s">
        <v>619</v>
      </c>
      <c r="D501" s="73">
        <v>4</v>
      </c>
      <c r="E501" s="197">
        <v>254.31</v>
      </c>
      <c r="F501" s="166">
        <v>7045</v>
      </c>
      <c r="G501" s="338" t="s">
        <v>938</v>
      </c>
      <c r="H501" s="40">
        <v>43532</v>
      </c>
      <c r="I501" s="35">
        <v>121102.67</v>
      </c>
      <c r="J501" s="35" t="str">
        <f>IFERROR(VLOOKUP(CONCATENATE(B501,C501,D501,),Inadimplencia!$A$6:$K$110,6,0),"ATIVO")</f>
        <v>ATIVO</v>
      </c>
      <c r="K501" s="35">
        <f t="shared" si="73"/>
        <v>16299.54</v>
      </c>
      <c r="L501" s="325">
        <f t="shared" si="74"/>
        <v>0.13459273854160278</v>
      </c>
      <c r="M501" s="423" t="str">
        <f t="shared" si="75"/>
        <v>ATIVO0</v>
      </c>
      <c r="X501" s="203" t="str">
        <f t="shared" si="70"/>
        <v>LONDRINA [ETAPA 04 - CONDOMINIO ARAGUARI]ATIVO</v>
      </c>
      <c r="Y501" s="203" t="str">
        <f t="shared" si="71"/>
        <v>XLVIII4BRUNO ADRIANO DA SILVA</v>
      </c>
      <c r="Z501" s="203" t="str">
        <f t="shared" si="76"/>
        <v>XLVIII4BRUNO ADRIANO DA SILVA</v>
      </c>
      <c r="AA501" s="430" t="s">
        <v>619</v>
      </c>
      <c r="AB501" s="427">
        <v>4</v>
      </c>
      <c r="AC501" s="428" t="s">
        <v>938</v>
      </c>
      <c r="AD501" s="505">
        <v>16299.54</v>
      </c>
      <c r="AE501" s="431">
        <v>124983.57</v>
      </c>
      <c r="AF501" s="60" t="str">
        <f t="shared" si="77"/>
        <v>BRUNO ADRIANO DA SILVA</v>
      </c>
      <c r="AG501" s="60" t="str">
        <f t="shared" si="78"/>
        <v>OK</v>
      </c>
    </row>
    <row r="502" spans="1:33">
      <c r="A502" s="61" t="str">
        <f t="shared" si="72"/>
        <v>LONDRINA [ETAPA 04 - CONDOMINIO ARAGUARI]XLVIII6</v>
      </c>
      <c r="B502" s="263" t="s">
        <v>878</v>
      </c>
      <c r="C502" s="337" t="s">
        <v>619</v>
      </c>
      <c r="D502" s="166">
        <v>6</v>
      </c>
      <c r="E502" s="197">
        <v>256.60000000000002</v>
      </c>
      <c r="F502" s="166">
        <v>3226</v>
      </c>
      <c r="G502" s="74" t="s">
        <v>88</v>
      </c>
      <c r="H502" s="40">
        <v>43774</v>
      </c>
      <c r="I502" s="35">
        <v>122200</v>
      </c>
      <c r="J502" s="35" t="str">
        <f>IFERROR(VLOOKUP(CONCATENATE(B502,C502,D502,),Inadimplencia!$A$6:$K$110,6,0),"ATIVO")</f>
        <v>ATIVO</v>
      </c>
      <c r="K502" s="35">
        <f t="shared" si="73"/>
        <v>73407</v>
      </c>
      <c r="L502" s="325">
        <f t="shared" si="74"/>
        <v>0.60071194762684121</v>
      </c>
      <c r="M502" s="423" t="str">
        <f t="shared" si="75"/>
        <v>ATIVO0</v>
      </c>
      <c r="X502" s="203" t="str">
        <f t="shared" si="70"/>
        <v>LONDRINA [ETAPA 04 - CONDOMINIO ARAGUARI]ATIVO</v>
      </c>
      <c r="Y502" s="203" t="str">
        <f t="shared" si="71"/>
        <v>XLVIII6BRUNO FERREIRA DA SILVA</v>
      </c>
      <c r="Z502" s="203" t="str">
        <f t="shared" si="76"/>
        <v>XLVIII6BRUNO FERREIRA DA SILVA</v>
      </c>
      <c r="AA502" s="430" t="s">
        <v>619</v>
      </c>
      <c r="AB502" s="427">
        <v>6</v>
      </c>
      <c r="AC502" s="429" t="s">
        <v>88</v>
      </c>
      <c r="AD502" s="505">
        <v>73407</v>
      </c>
      <c r="AE502" s="431">
        <v>128451.5</v>
      </c>
      <c r="AF502" s="60" t="str">
        <f t="shared" si="77"/>
        <v>BRUNO FERREIRA DA SILVA</v>
      </c>
      <c r="AG502" s="60" t="str">
        <f t="shared" si="78"/>
        <v>OK</v>
      </c>
    </row>
    <row r="503" spans="1:33">
      <c r="A503" s="61" t="str">
        <f t="shared" si="72"/>
        <v>LONDRINA [ETAPA 04 - CONDOMINIO ARAGUARI]XLVIII7</v>
      </c>
      <c r="B503" s="263" t="s">
        <v>878</v>
      </c>
      <c r="C503" s="337" t="s">
        <v>619</v>
      </c>
      <c r="D503" s="73">
        <v>7</v>
      </c>
      <c r="E503" s="197">
        <v>256.60000000000002</v>
      </c>
      <c r="F503" s="166">
        <v>3697</v>
      </c>
      <c r="G503" s="338" t="s">
        <v>1120</v>
      </c>
      <c r="H503" s="40">
        <v>43844</v>
      </c>
      <c r="I503" s="35">
        <v>135700</v>
      </c>
      <c r="J503" s="35" t="str">
        <f>IFERROR(VLOOKUP(CONCATENATE(B503,C503,D503,),Inadimplencia!$A$6:$K$110,6,0),"ATIVO")</f>
        <v>ATIVO</v>
      </c>
      <c r="K503" s="35">
        <f t="shared" si="73"/>
        <v>122837.92</v>
      </c>
      <c r="L503" s="325">
        <f t="shared" si="74"/>
        <v>0.90521680176860719</v>
      </c>
      <c r="M503" s="423" t="str">
        <f t="shared" si="75"/>
        <v>ATIVO0</v>
      </c>
      <c r="X503" s="203" t="str">
        <f t="shared" si="70"/>
        <v>LONDRINA [ETAPA 04 - CONDOMINIO ARAGUARI]ATIVO</v>
      </c>
      <c r="Y503" s="203" t="str">
        <f t="shared" si="71"/>
        <v>XLVIII7VAGNER RODRIGO CREPALDI</v>
      </c>
      <c r="Z503" s="203" t="str">
        <f t="shared" si="76"/>
        <v>XLVIII7VAGNER RODRIGO CREPALDI</v>
      </c>
      <c r="AA503" s="430" t="s">
        <v>619</v>
      </c>
      <c r="AB503" s="427">
        <v>7</v>
      </c>
      <c r="AC503" s="428" t="s">
        <v>1120</v>
      </c>
      <c r="AD503" s="505">
        <v>122837.92</v>
      </c>
      <c r="AE503" s="431">
        <v>147965.16</v>
      </c>
      <c r="AF503" s="60" t="str">
        <f t="shared" si="77"/>
        <v>VAGNER RODRIGO CREPALDI</v>
      </c>
      <c r="AG503" s="60" t="str">
        <f t="shared" si="78"/>
        <v>OK</v>
      </c>
    </row>
    <row r="504" spans="1:33">
      <c r="A504" s="61" t="str">
        <f t="shared" si="72"/>
        <v>LONDRINA [ETAPA 04 - CONDOMINIO ARAGUARI]XLVIII8</v>
      </c>
      <c r="B504" s="263" t="s">
        <v>878</v>
      </c>
      <c r="C504" s="337" t="s">
        <v>619</v>
      </c>
      <c r="D504" s="166">
        <v>8</v>
      </c>
      <c r="E504" s="197">
        <v>256.60000000000002</v>
      </c>
      <c r="F504" s="166">
        <v>6873</v>
      </c>
      <c r="G504" s="74" t="s">
        <v>902</v>
      </c>
      <c r="H504" s="40">
        <v>43487</v>
      </c>
      <c r="I504" s="35">
        <v>127838.12</v>
      </c>
      <c r="J504" s="35" t="str">
        <f>IFERROR(VLOOKUP(CONCATENATE(B504,C504,D504,),Inadimplencia!$A$6:$K$110,6,0),"ATIVO")</f>
        <v>ATIVO</v>
      </c>
      <c r="K504" s="35">
        <f t="shared" si="73"/>
        <v>55196.04</v>
      </c>
      <c r="L504" s="325">
        <f t="shared" si="74"/>
        <v>0.43176511043810722</v>
      </c>
      <c r="M504" s="423" t="str">
        <f t="shared" si="75"/>
        <v>ATIVO0</v>
      </c>
      <c r="X504" s="203" t="str">
        <f t="shared" si="70"/>
        <v>LONDRINA [ETAPA 04 - CONDOMINIO ARAGUARI]ATIVO</v>
      </c>
      <c r="Y504" s="203" t="str">
        <f t="shared" si="71"/>
        <v>XLVIII8RAPHAEL AUGUSTO FERREIRA</v>
      </c>
      <c r="Z504" s="203" t="str">
        <f t="shared" si="76"/>
        <v>XLVIII8RAPHAEL AUGUSTO FERREIRA</v>
      </c>
      <c r="AA504" s="430" t="s">
        <v>619</v>
      </c>
      <c r="AB504" s="427">
        <v>8</v>
      </c>
      <c r="AC504" s="429" t="s">
        <v>902</v>
      </c>
      <c r="AD504" s="505">
        <v>55196.04</v>
      </c>
      <c r="AE504" s="431">
        <v>140240.11000000002</v>
      </c>
      <c r="AF504" s="60" t="str">
        <f t="shared" si="77"/>
        <v>RAPHAEL AUGUSTO FERREIRA</v>
      </c>
      <c r="AG504" s="60" t="str">
        <f t="shared" si="78"/>
        <v>OK</v>
      </c>
    </row>
    <row r="505" spans="1:33">
      <c r="A505" s="61" t="str">
        <f t="shared" si="72"/>
        <v>LONDRINA [ETAPA 04 - CONDOMINIO ARAGUARI]XLVIII9</v>
      </c>
      <c r="B505" s="263" t="s">
        <v>878</v>
      </c>
      <c r="C505" s="337" t="s">
        <v>619</v>
      </c>
      <c r="D505" s="166">
        <v>9</v>
      </c>
      <c r="E505" s="197">
        <v>256.60000000000002</v>
      </c>
      <c r="F505" s="166"/>
      <c r="G505" s="338" t="s">
        <v>1051</v>
      </c>
      <c r="H505" s="40">
        <v>43678</v>
      </c>
      <c r="I505" s="35">
        <v>122199.6</v>
      </c>
      <c r="J505" s="35" t="str">
        <f>IFERROR(VLOOKUP(CONCATENATE(B505,C505,D505,),Inadimplencia!$A$6:$K$110,6,0),"ATIVO")</f>
        <v>ATIVO</v>
      </c>
      <c r="K505" s="35">
        <f t="shared" si="73"/>
        <v>117091.15000000001</v>
      </c>
      <c r="L505" s="325">
        <f t="shared" si="74"/>
        <v>0.95819585334158219</v>
      </c>
      <c r="M505" s="423" t="str">
        <f t="shared" si="75"/>
        <v>ATIVO0</v>
      </c>
      <c r="X505" s="203" t="str">
        <f t="shared" si="70"/>
        <v>LONDRINA [ETAPA 04 - CONDOMINIO ARAGUARI]ATIVO</v>
      </c>
      <c r="Y505" s="203" t="str">
        <f t="shared" si="71"/>
        <v>XLVIII9DERIQUE APARECIDO BORTHOLAZZI</v>
      </c>
      <c r="Z505" s="203" t="str">
        <f t="shared" si="76"/>
        <v>XLVIII9DERIQUE APARECIDO BORTHOLAZZI</v>
      </c>
      <c r="AA505" s="430" t="s">
        <v>619</v>
      </c>
      <c r="AB505" s="427">
        <v>9</v>
      </c>
      <c r="AC505" s="428" t="s">
        <v>1051</v>
      </c>
      <c r="AD505" s="505">
        <v>117091.15000000001</v>
      </c>
      <c r="AE505" s="431">
        <v>152429.88</v>
      </c>
      <c r="AF505" s="60" t="str">
        <f t="shared" si="77"/>
        <v>DERIQUE APARECIDO BORTHOLAZZI</v>
      </c>
      <c r="AG505" s="60" t="str">
        <f t="shared" si="78"/>
        <v>OK</v>
      </c>
    </row>
    <row r="506" spans="1:33">
      <c r="A506" s="61" t="str">
        <f t="shared" si="72"/>
        <v>LONDRINA [ETAPA 04 - CONDOMINIO ARAGUARI]XLVIII10</v>
      </c>
      <c r="B506" s="263" t="s">
        <v>878</v>
      </c>
      <c r="C506" s="337" t="s">
        <v>619</v>
      </c>
      <c r="D506" s="73">
        <v>10</v>
      </c>
      <c r="E506" s="197">
        <v>256.60000000000002</v>
      </c>
      <c r="F506" s="166">
        <v>4947</v>
      </c>
      <c r="G506" s="74" t="s">
        <v>1391</v>
      </c>
      <c r="H506" s="40">
        <v>44172</v>
      </c>
      <c r="I506" s="35">
        <v>129532</v>
      </c>
      <c r="J506" s="35" t="str">
        <f>IFERROR(VLOOKUP(CONCATENATE(B506,C506,D506,),Inadimplencia!$A$6:$K$110,6,0),"ATIVO")</f>
        <v>ATIVO</v>
      </c>
      <c r="K506" s="35">
        <f t="shared" si="73"/>
        <v>92083.34</v>
      </c>
      <c r="L506" s="325">
        <f t="shared" si="74"/>
        <v>0.71089259796806958</v>
      </c>
      <c r="M506" s="423" t="str">
        <f t="shared" si="75"/>
        <v>ATIVO0</v>
      </c>
      <c r="X506" s="203" t="str">
        <f t="shared" si="70"/>
        <v>LONDRINA [ETAPA 04 - CONDOMINIO ARAGUARI]ATIVO</v>
      </c>
      <c r="Y506" s="203" t="str">
        <f t="shared" si="71"/>
        <v>XLVIII10DIEGO FRANCISCO PAES</v>
      </c>
      <c r="Z506" s="203" t="str">
        <f t="shared" si="76"/>
        <v>XLVIII10DIEGO FRANCISCO PAES</v>
      </c>
      <c r="AA506" s="430" t="s">
        <v>619</v>
      </c>
      <c r="AB506" s="427">
        <v>10</v>
      </c>
      <c r="AC506" s="428" t="s">
        <v>1391</v>
      </c>
      <c r="AD506" s="505">
        <v>92083.34</v>
      </c>
      <c r="AE506" s="431">
        <v>132070.58000000002</v>
      </c>
      <c r="AF506" s="60" t="str">
        <f t="shared" si="77"/>
        <v>DIEGO FRANCISCO PAES</v>
      </c>
      <c r="AG506" s="60" t="str">
        <f t="shared" si="78"/>
        <v>OK</v>
      </c>
    </row>
    <row r="507" spans="1:33">
      <c r="A507" s="61" t="str">
        <f t="shared" si="72"/>
        <v>LONDRINA [ETAPA 04 - CONDOMINIO ARAGUARI]XLVIII11</v>
      </c>
      <c r="B507" s="263" t="s">
        <v>878</v>
      </c>
      <c r="C507" s="337" t="s">
        <v>619</v>
      </c>
      <c r="D507" s="73">
        <v>11</v>
      </c>
      <c r="E507" s="197">
        <v>256.60000000000002</v>
      </c>
      <c r="F507" s="166">
        <v>3700</v>
      </c>
      <c r="G507" s="338" t="s">
        <v>1121</v>
      </c>
      <c r="H507" s="40">
        <v>43839</v>
      </c>
      <c r="I507" s="35">
        <v>122200.2</v>
      </c>
      <c r="J507" s="35" t="str">
        <f>IFERROR(VLOOKUP(CONCATENATE(B507,C507,D507,),Inadimplencia!$A$6:$K$110,6,0),"ATIVO")</f>
        <v>ATIVO</v>
      </c>
      <c r="K507" s="35">
        <f t="shared" si="73"/>
        <v>83224.69</v>
      </c>
      <c r="L507" s="325">
        <f t="shared" si="74"/>
        <v>0.6810519950049182</v>
      </c>
      <c r="M507" s="423" t="str">
        <f t="shared" si="75"/>
        <v>ATIVO0</v>
      </c>
      <c r="X507" s="203" t="str">
        <f t="shared" si="70"/>
        <v>LONDRINA [ETAPA 04 - CONDOMINIO ARAGUARI]ATIVO</v>
      </c>
      <c r="Y507" s="203" t="str">
        <f t="shared" si="71"/>
        <v>XLVIII11EMERSON FERREIRA DA CUNHA</v>
      </c>
      <c r="Z507" s="203" t="str">
        <f t="shared" si="76"/>
        <v>XLVIII11EMERSON FERREIRA DA CUNHA</v>
      </c>
      <c r="AA507" s="430" t="s">
        <v>619</v>
      </c>
      <c r="AB507" s="427">
        <v>11</v>
      </c>
      <c r="AC507" s="429" t="s">
        <v>1121</v>
      </c>
      <c r="AD507" s="505">
        <v>83224.69</v>
      </c>
      <c r="AE507" s="431">
        <v>141927.23000000001</v>
      </c>
      <c r="AF507" s="60" t="str">
        <f t="shared" si="77"/>
        <v>EMERSON FERREIRA DA CUNHA</v>
      </c>
      <c r="AG507" s="60" t="str">
        <f t="shared" si="78"/>
        <v>OK</v>
      </c>
    </row>
    <row r="508" spans="1:33">
      <c r="A508" s="61" t="str">
        <f t="shared" si="72"/>
        <v>LONDRINA [ETAPA 04 - CONDOMINIO ARAGUARI]XLVIII12</v>
      </c>
      <c r="B508" s="263" t="s">
        <v>878</v>
      </c>
      <c r="C508" s="337" t="s">
        <v>619</v>
      </c>
      <c r="D508" s="166">
        <v>12</v>
      </c>
      <c r="E508" s="197">
        <v>256.60000000000002</v>
      </c>
      <c r="F508" s="166">
        <v>4951</v>
      </c>
      <c r="G508" s="74" t="s">
        <v>1392</v>
      </c>
      <c r="H508" s="40">
        <v>44179</v>
      </c>
      <c r="I508" s="35">
        <v>130567.98</v>
      </c>
      <c r="J508" s="35" t="str">
        <f>IFERROR(VLOOKUP(CONCATENATE(B508,C508,D508,),Inadimplencia!$A$6:$K$110,6,0),"ATIVO")</f>
        <v>ATIVO</v>
      </c>
      <c r="K508" s="35">
        <f t="shared" si="73"/>
        <v>79786.5</v>
      </c>
      <c r="L508" s="325">
        <f t="shared" si="74"/>
        <v>0.61107248499976796</v>
      </c>
      <c r="M508" s="423" t="str">
        <f t="shared" si="75"/>
        <v>ATIVO0</v>
      </c>
      <c r="X508" s="203" t="str">
        <f t="shared" si="70"/>
        <v>LONDRINA [ETAPA 04 - CONDOMINIO ARAGUARI]ATIVO</v>
      </c>
      <c r="Y508" s="203" t="str">
        <f t="shared" si="71"/>
        <v>XLVIII12JOAO HENRIQUE ALVES</v>
      </c>
      <c r="Z508" s="203" t="str">
        <f t="shared" si="76"/>
        <v>XLVIII12JOAO HENRIQUE ALVES</v>
      </c>
      <c r="AA508" s="430" t="s">
        <v>619</v>
      </c>
      <c r="AB508" s="427">
        <v>12</v>
      </c>
      <c r="AC508" s="428" t="s">
        <v>1392</v>
      </c>
      <c r="AD508" s="505">
        <v>79786.5</v>
      </c>
      <c r="AE508" s="431">
        <v>132791.69</v>
      </c>
      <c r="AF508" s="60" t="str">
        <f t="shared" si="77"/>
        <v>JOAO HENRIQUE ALVES</v>
      </c>
      <c r="AG508" s="60" t="str">
        <f t="shared" si="78"/>
        <v>OK</v>
      </c>
    </row>
    <row r="509" spans="1:33">
      <c r="A509" s="61" t="str">
        <f t="shared" si="72"/>
        <v>LONDRINA [ETAPA 04 - CONDOMINIO ARAGUARI]XLVIII13</v>
      </c>
      <c r="B509" s="263" t="s">
        <v>878</v>
      </c>
      <c r="C509" s="337" t="s">
        <v>619</v>
      </c>
      <c r="D509" s="166">
        <v>13</v>
      </c>
      <c r="E509" s="197">
        <v>256.60000000000002</v>
      </c>
      <c r="F509" s="166">
        <v>6788</v>
      </c>
      <c r="G509" s="338" t="s">
        <v>873</v>
      </c>
      <c r="H509" s="40">
        <v>43439</v>
      </c>
      <c r="I509" s="35">
        <v>122668.19</v>
      </c>
      <c r="J509" s="35" t="str">
        <f>IFERROR(VLOOKUP(CONCATENATE(B509,C509,D509,),Inadimplencia!$A$6:$K$110,6,0),"ATIVO")</f>
        <v>ATIVO</v>
      </c>
      <c r="K509" s="35">
        <f t="shared" si="73"/>
        <v>108701.42</v>
      </c>
      <c r="L509" s="325">
        <f t="shared" si="74"/>
        <v>0.88614187590116067</v>
      </c>
      <c r="M509" s="423" t="str">
        <f t="shared" si="75"/>
        <v>ATIVO0</v>
      </c>
      <c r="X509" s="203" t="str">
        <f t="shared" si="70"/>
        <v>LONDRINA [ETAPA 04 - CONDOMINIO ARAGUARI]ATIVO</v>
      </c>
      <c r="Y509" s="203" t="str">
        <f t="shared" si="71"/>
        <v>XLVIII13ANTONIO DONIZETI GARCIA</v>
      </c>
      <c r="Z509" s="203" t="str">
        <f t="shared" si="76"/>
        <v>XLVIII13ANTONIO DONIZETI GARCIA</v>
      </c>
      <c r="AA509" s="430" t="s">
        <v>619</v>
      </c>
      <c r="AB509" s="427">
        <v>13</v>
      </c>
      <c r="AC509" s="429" t="s">
        <v>873</v>
      </c>
      <c r="AD509" s="505">
        <v>108701.42</v>
      </c>
      <c r="AE509" s="431">
        <v>162584.49</v>
      </c>
      <c r="AF509" s="60" t="str">
        <f t="shared" si="77"/>
        <v>ANTONIO DONIZETI GARCIA</v>
      </c>
      <c r="AG509" s="60" t="str">
        <f t="shared" si="78"/>
        <v>OK</v>
      </c>
    </row>
    <row r="510" spans="1:33">
      <c r="A510" s="61" t="str">
        <f t="shared" si="72"/>
        <v>LONDRINA [ETAPA 04 - CONDOMINIO ARAGUARI]XLVIII14</v>
      </c>
      <c r="B510" s="263" t="s">
        <v>878</v>
      </c>
      <c r="C510" s="337" t="s">
        <v>619</v>
      </c>
      <c r="D510" s="73">
        <v>14</v>
      </c>
      <c r="E510" s="197">
        <v>256.60000000000002</v>
      </c>
      <c r="F510" s="166">
        <v>6789</v>
      </c>
      <c r="G510" s="74" t="s">
        <v>872</v>
      </c>
      <c r="H510" s="40">
        <v>43439</v>
      </c>
      <c r="I510" s="35">
        <v>122668.19</v>
      </c>
      <c r="J510" s="35" t="str">
        <f>IFERROR(VLOOKUP(CONCATENATE(B510,C510,D510,),Inadimplencia!$A$6:$K$110,6,0),"ATIVO")</f>
        <v>ATIVO</v>
      </c>
      <c r="K510" s="35">
        <f t="shared" si="73"/>
        <v>108701.42</v>
      </c>
      <c r="L510" s="325">
        <f t="shared" si="74"/>
        <v>0.88614187590116067</v>
      </c>
      <c r="M510" s="423" t="str">
        <f t="shared" si="75"/>
        <v>ATIVO0</v>
      </c>
      <c r="X510" s="203" t="str">
        <f t="shared" si="70"/>
        <v>LONDRINA [ETAPA 04 - CONDOMINIO ARAGUARI]ATIVO</v>
      </c>
      <c r="Y510" s="203" t="str">
        <f t="shared" si="71"/>
        <v>XLVIII14AILTON HORACIO GARCIA</v>
      </c>
      <c r="Z510" s="203" t="str">
        <f t="shared" si="76"/>
        <v>XLVIII14AILTON HORACIO GARCIA</v>
      </c>
      <c r="AA510" s="430" t="s">
        <v>619</v>
      </c>
      <c r="AB510" s="427">
        <v>14</v>
      </c>
      <c r="AC510" s="428" t="s">
        <v>872</v>
      </c>
      <c r="AD510" s="505">
        <v>108701.42</v>
      </c>
      <c r="AE510" s="431">
        <v>162537.75</v>
      </c>
      <c r="AF510" s="60" t="str">
        <f t="shared" si="77"/>
        <v>AILTON HORACIO GARCIA</v>
      </c>
      <c r="AG510" s="60" t="str">
        <f t="shared" si="78"/>
        <v>OK</v>
      </c>
    </row>
    <row r="511" spans="1:33">
      <c r="A511" s="61" t="str">
        <f t="shared" si="72"/>
        <v>LONDRINA [ETAPA 04 - CONDOMINIO ARAGUARI]XLVIII15</v>
      </c>
      <c r="B511" s="263" t="s">
        <v>878</v>
      </c>
      <c r="C511" s="337" t="s">
        <v>619</v>
      </c>
      <c r="D511" s="166">
        <v>15</v>
      </c>
      <c r="E511" s="197">
        <v>256.60000000000002</v>
      </c>
      <c r="F511" s="166">
        <v>4938</v>
      </c>
      <c r="G511" s="74" t="s">
        <v>1384</v>
      </c>
      <c r="H511" s="40">
        <v>44176</v>
      </c>
      <c r="I511" s="35">
        <v>129532</v>
      </c>
      <c r="J511" s="35" t="str">
        <f>IFERROR(VLOOKUP(CONCATENATE(B511,C511,D511,),Inadimplencia!$A$6:$K$110,6,0),"ATIVO")</f>
        <v>ATIVO</v>
      </c>
      <c r="K511" s="35">
        <f t="shared" si="73"/>
        <v>83252.680000000008</v>
      </c>
      <c r="L511" s="325">
        <f t="shared" si="74"/>
        <v>0.6427190192384894</v>
      </c>
      <c r="M511" s="423" t="str">
        <f t="shared" si="75"/>
        <v>ATIVO0</v>
      </c>
      <c r="X511" s="203" t="str">
        <f t="shared" si="70"/>
        <v>LONDRINA [ETAPA 04 - CONDOMINIO ARAGUARI]ATIVO</v>
      </c>
      <c r="Y511" s="203" t="str">
        <f t="shared" si="71"/>
        <v>XLVIII15ANDERSON NOVAES CORDEIRO</v>
      </c>
      <c r="Z511" s="203" t="str">
        <f t="shared" si="76"/>
        <v>XLVIII15ANDERSON NOVAES CORDEIRO</v>
      </c>
      <c r="AA511" s="430" t="s">
        <v>619</v>
      </c>
      <c r="AB511" s="427">
        <v>15</v>
      </c>
      <c r="AC511" s="428" t="s">
        <v>1384</v>
      </c>
      <c r="AD511" s="505">
        <v>83252.680000000008</v>
      </c>
      <c r="AE511" s="431">
        <v>131827.46</v>
      </c>
      <c r="AF511" s="60" t="str">
        <f t="shared" si="77"/>
        <v>ANDERSON NOVAES CORDEIRO</v>
      </c>
      <c r="AG511" s="60" t="str">
        <f t="shared" si="78"/>
        <v>OK</v>
      </c>
    </row>
    <row r="512" spans="1:33">
      <c r="A512" s="61" t="str">
        <f t="shared" si="72"/>
        <v>LONDRINA [ETAPA 04 - CONDOMINIO ARAGUARI]XLVIII16</v>
      </c>
      <c r="B512" s="263" t="s">
        <v>878</v>
      </c>
      <c r="C512" s="337" t="s">
        <v>619</v>
      </c>
      <c r="D512" s="73">
        <v>16</v>
      </c>
      <c r="E512" s="197">
        <v>256.60000000000002</v>
      </c>
      <c r="F512" s="166">
        <v>4868</v>
      </c>
      <c r="G512" s="74" t="s">
        <v>1371</v>
      </c>
      <c r="H512" s="40">
        <v>44147</v>
      </c>
      <c r="I512" s="35">
        <v>129532.6</v>
      </c>
      <c r="J512" s="35" t="str">
        <f>IFERROR(VLOOKUP(CONCATENATE(B512,C512,D512,),Inadimplencia!$A$6:$K$110,6,0),"ATIVO")</f>
        <v>ATIVO</v>
      </c>
      <c r="K512" s="35">
        <f t="shared" si="73"/>
        <v>125500.32</v>
      </c>
      <c r="L512" s="325">
        <f t="shared" si="74"/>
        <v>0.96887053915385013</v>
      </c>
      <c r="M512" s="423" t="str">
        <f t="shared" si="75"/>
        <v>ATIVO0</v>
      </c>
      <c r="X512" s="203" t="str">
        <f t="shared" si="70"/>
        <v>LONDRINA [ETAPA 04 - CONDOMINIO ARAGUARI]ATIVO</v>
      </c>
      <c r="Y512" s="203" t="str">
        <f t="shared" si="71"/>
        <v>XLVIII16CARLOS HENRIQUE ANDRADE BARBOSA</v>
      </c>
      <c r="Z512" s="203" t="str">
        <f t="shared" si="76"/>
        <v>XLVIII16CARLOS HENRIQUE ANDRADE BARBOSA</v>
      </c>
      <c r="AA512" s="430" t="s">
        <v>619</v>
      </c>
      <c r="AB512" s="427">
        <v>16</v>
      </c>
      <c r="AC512" s="429" t="s">
        <v>1371</v>
      </c>
      <c r="AD512" s="505">
        <v>125500.32</v>
      </c>
      <c r="AE512" s="431">
        <v>139328.41</v>
      </c>
      <c r="AF512" s="60" t="str">
        <f t="shared" si="77"/>
        <v>CARLOS HENRIQUE ANDRADE BARBOSA</v>
      </c>
      <c r="AG512" s="60" t="str">
        <f t="shared" si="78"/>
        <v>OK</v>
      </c>
    </row>
    <row r="513" spans="1:33">
      <c r="A513" s="61" t="str">
        <f t="shared" si="72"/>
        <v>LONDRINA [ETAPA 04 - CONDOMINIO ARAGUARI]XLVIII17</v>
      </c>
      <c r="B513" s="263" t="s">
        <v>878</v>
      </c>
      <c r="C513" s="337" t="s">
        <v>619</v>
      </c>
      <c r="D513" s="73">
        <v>17</v>
      </c>
      <c r="E513" s="197">
        <v>256.60000000000002</v>
      </c>
      <c r="F513" s="166">
        <v>4950</v>
      </c>
      <c r="G513" s="338" t="s">
        <v>1393</v>
      </c>
      <c r="H513" s="40">
        <v>44174</v>
      </c>
      <c r="I513" s="35">
        <v>129532</v>
      </c>
      <c r="J513" s="35" t="str">
        <f>IFERROR(VLOOKUP(CONCATENATE(B513,C513,D513,),Inadimplencia!$A$6:$K$110,6,0),"ATIVO")</f>
        <v>ATIVO</v>
      </c>
      <c r="K513" s="35">
        <f t="shared" si="73"/>
        <v>128426.22</v>
      </c>
      <c r="L513" s="325">
        <f t="shared" si="74"/>
        <v>0.99146326776395022</v>
      </c>
      <c r="M513" s="423" t="str">
        <f t="shared" si="75"/>
        <v>ATIVO0</v>
      </c>
      <c r="X513" s="203" t="str">
        <f t="shared" si="70"/>
        <v>LONDRINA [ETAPA 04 - CONDOMINIO ARAGUARI]ATIVO</v>
      </c>
      <c r="Y513" s="203" t="str">
        <f t="shared" si="71"/>
        <v>XLVIII17RONALDO ALEXANDRE FERIATO</v>
      </c>
      <c r="Z513" s="203" t="str">
        <f t="shared" si="76"/>
        <v>XLVIII17RONALDO ALEXANDRE FERIATO</v>
      </c>
      <c r="AA513" s="430" t="s">
        <v>619</v>
      </c>
      <c r="AB513" s="427">
        <v>17</v>
      </c>
      <c r="AC513" s="428" t="s">
        <v>1393</v>
      </c>
      <c r="AD513" s="505">
        <v>128426.22</v>
      </c>
      <c r="AE513" s="431">
        <v>137343.76999999999</v>
      </c>
      <c r="AF513" s="60" t="str">
        <f t="shared" si="77"/>
        <v>RONALDO ALEXANDRE FERIATO</v>
      </c>
      <c r="AG513" s="60" t="str">
        <f t="shared" si="78"/>
        <v>OK</v>
      </c>
    </row>
    <row r="514" spans="1:33">
      <c r="A514" s="61" t="str">
        <f t="shared" si="72"/>
        <v>LONDRINA [ETAPA 04 - CONDOMINIO ARAGUARI]XLVIII18</v>
      </c>
      <c r="B514" s="263" t="s">
        <v>878</v>
      </c>
      <c r="C514" s="337" t="s">
        <v>619</v>
      </c>
      <c r="D514" s="166">
        <v>18</v>
      </c>
      <c r="E514" s="197">
        <v>256.60000000000002</v>
      </c>
      <c r="F514" s="166">
        <v>4848</v>
      </c>
      <c r="G514" s="74" t="s">
        <v>1356</v>
      </c>
      <c r="H514" s="40" t="s">
        <v>1353</v>
      </c>
      <c r="I514" s="35">
        <v>129531.9</v>
      </c>
      <c r="J514" s="35" t="str">
        <f>IFERROR(VLOOKUP(CONCATENATE(B514,C514,D514,),Inadimplencia!$A$6:$K$110,6,0),"ATIVO")</f>
        <v>ATIVO</v>
      </c>
      <c r="K514" s="35">
        <f t="shared" si="73"/>
        <v>88872.35</v>
      </c>
      <c r="L514" s="325">
        <f t="shared" si="74"/>
        <v>0.686103963579628</v>
      </c>
      <c r="M514" s="423" t="str">
        <f t="shared" si="75"/>
        <v>ATIVO0</v>
      </c>
      <c r="X514" s="203" t="str">
        <f t="shared" si="70"/>
        <v>LONDRINA [ETAPA 04 - CONDOMINIO ARAGUARI]ATIVO</v>
      </c>
      <c r="Y514" s="203" t="str">
        <f t="shared" si="71"/>
        <v>XLVIII18ADRIANO RODRIGO MOLEIRO</v>
      </c>
      <c r="Z514" s="203" t="str">
        <f t="shared" si="76"/>
        <v>XLVIII18ADRIANO RODRIGO MOLEIRO</v>
      </c>
      <c r="AA514" s="430" t="s">
        <v>619</v>
      </c>
      <c r="AB514" s="427">
        <v>18</v>
      </c>
      <c r="AC514" s="429" t="s">
        <v>1356</v>
      </c>
      <c r="AD514" s="505">
        <v>88872.35</v>
      </c>
      <c r="AE514" s="431">
        <v>133311.11000000002</v>
      </c>
      <c r="AF514" s="60" t="str">
        <f t="shared" si="77"/>
        <v>ADRIANO RODRIGO MOLEIRO</v>
      </c>
      <c r="AG514" s="60" t="str">
        <f t="shared" si="78"/>
        <v>OK</v>
      </c>
    </row>
    <row r="515" spans="1:33">
      <c r="A515" s="61" t="str">
        <f t="shared" si="72"/>
        <v>LONDRINA [ETAPA 04 - CONDOMINIO ARAGUARI]XLVIII19</v>
      </c>
      <c r="B515" s="263" t="s">
        <v>878</v>
      </c>
      <c r="C515" s="337" t="s">
        <v>619</v>
      </c>
      <c r="D515" s="166">
        <v>19</v>
      </c>
      <c r="E515" s="197">
        <v>330.17</v>
      </c>
      <c r="F515" s="166">
        <v>4974</v>
      </c>
      <c r="G515" s="74" t="s">
        <v>1418</v>
      </c>
      <c r="H515" s="40">
        <v>44210</v>
      </c>
      <c r="I515" s="35">
        <v>188570.43</v>
      </c>
      <c r="J515" s="35" t="str">
        <f>IFERROR(VLOOKUP(CONCATENATE(B515,C515,D515,),Inadimplencia!$A$6:$K$110,6,0),"ATIVO")</f>
        <v>ATIVO</v>
      </c>
      <c r="K515" s="35">
        <f t="shared" si="73"/>
        <v>173789.28</v>
      </c>
      <c r="L515" s="325">
        <f t="shared" si="74"/>
        <v>0.92161469855056277</v>
      </c>
      <c r="M515" s="423" t="str">
        <f t="shared" si="75"/>
        <v>ATIVO0</v>
      </c>
      <c r="X515" s="203" t="str">
        <f t="shared" si="70"/>
        <v>LONDRINA [ETAPA 04 - CONDOMINIO ARAGUARI]ATIVO</v>
      </c>
      <c r="Y515" s="203" t="str">
        <f t="shared" si="71"/>
        <v>XLVIII19MARCELO MIRANDA FERREIRA</v>
      </c>
      <c r="Z515" s="203" t="str">
        <f t="shared" si="76"/>
        <v>XLVIII19MARCELO MIRANDA FERREIRA</v>
      </c>
      <c r="AA515" s="430" t="s">
        <v>619</v>
      </c>
      <c r="AB515" s="427">
        <v>19</v>
      </c>
      <c r="AC515" s="428" t="s">
        <v>1418</v>
      </c>
      <c r="AD515" s="505">
        <v>173789.28</v>
      </c>
      <c r="AE515" s="431">
        <v>195961</v>
      </c>
      <c r="AF515" s="60" t="str">
        <f t="shared" si="77"/>
        <v>MARCELO MIRANDA FERREIRA</v>
      </c>
      <c r="AG515" s="60" t="str">
        <f t="shared" si="78"/>
        <v>OK</v>
      </c>
    </row>
    <row r="516" spans="1:33">
      <c r="A516" s="61" t="str">
        <f t="shared" si="72"/>
        <v>LONDRINA [ETAPA 04 - CONDOMINIO ARAGUARI]XLVIII21</v>
      </c>
      <c r="B516" s="263" t="s">
        <v>878</v>
      </c>
      <c r="C516" s="337" t="s">
        <v>619</v>
      </c>
      <c r="D516" s="73">
        <v>21</v>
      </c>
      <c r="E516" s="197">
        <v>250.07</v>
      </c>
      <c r="F516" s="166">
        <v>4680</v>
      </c>
      <c r="G516" s="74" t="s">
        <v>1254</v>
      </c>
      <c r="H516" s="40">
        <v>44050</v>
      </c>
      <c r="I516" s="35">
        <v>126507.02</v>
      </c>
      <c r="J516" s="35" t="str">
        <f>IFERROR(VLOOKUP(CONCATENATE(B516,C516,D516,),Inadimplencia!$A$6:$K$110,6,0),"ATIVO")</f>
        <v>ATIVO</v>
      </c>
      <c r="K516" s="35">
        <f t="shared" si="73"/>
        <v>128755.48</v>
      </c>
      <c r="L516" s="325">
        <f t="shared" si="74"/>
        <v>1.0177734010333972</v>
      </c>
      <c r="M516" s="423" t="str">
        <f t="shared" si="75"/>
        <v>ATIVO1</v>
      </c>
      <c r="X516" s="203" t="str">
        <f t="shared" si="70"/>
        <v>LONDRINA [ETAPA 04 - CONDOMINIO ARAGUARI]ATIVO</v>
      </c>
      <c r="Y516" s="203" t="str">
        <f t="shared" si="71"/>
        <v>XLVIII21RODOLFO ALEXANDRE HILDEBRANDT</v>
      </c>
      <c r="Z516" s="203" t="str">
        <f t="shared" si="76"/>
        <v>XLVIII21RODOLFO ALEXANDRE HILDEBRANDT</v>
      </c>
      <c r="AA516" s="430" t="s">
        <v>619</v>
      </c>
      <c r="AB516" s="427">
        <v>21</v>
      </c>
      <c r="AC516" s="428" t="s">
        <v>1254</v>
      </c>
      <c r="AD516" s="505">
        <v>128755.48</v>
      </c>
      <c r="AE516" s="431">
        <v>141580.47</v>
      </c>
      <c r="AF516" s="60" t="str">
        <f t="shared" si="77"/>
        <v>RODOLFO ALEXANDRE HILDEBRANDT</v>
      </c>
      <c r="AG516" s="60" t="str">
        <f t="shared" si="78"/>
        <v>OK</v>
      </c>
    </row>
    <row r="517" spans="1:33">
      <c r="A517" s="61" t="str">
        <f t="shared" si="72"/>
        <v>LONDRINA [ETAPA 04 - CONDOMINIO ARAGUARI]XLVIII31</v>
      </c>
      <c r="B517" s="263" t="s">
        <v>878</v>
      </c>
      <c r="C517" s="337" t="s">
        <v>619</v>
      </c>
      <c r="D517" s="73">
        <v>31</v>
      </c>
      <c r="E517" s="197">
        <v>250.07</v>
      </c>
      <c r="F517" s="166">
        <v>5014</v>
      </c>
      <c r="G517" s="74" t="s">
        <v>1484</v>
      </c>
      <c r="H517" s="40">
        <v>44230</v>
      </c>
      <c r="I517" s="35">
        <v>148211.69</v>
      </c>
      <c r="J517" s="35" t="str">
        <f>IFERROR(VLOOKUP(CONCATENATE(B517,C517,D517,),Inadimplencia!$A$6:$K$110,6,0),"ATIVO")</f>
        <v>ATIVO</v>
      </c>
      <c r="K517" s="35">
        <f t="shared" si="73"/>
        <v>143460.26</v>
      </c>
      <c r="L517" s="325">
        <f t="shared" si="74"/>
        <v>0.96794159758923204</v>
      </c>
      <c r="M517" s="423" t="str">
        <f t="shared" si="75"/>
        <v>ATIVO0</v>
      </c>
      <c r="X517" s="203" t="str">
        <f t="shared" ref="X517:X520" si="79">CONCATENATE(B517,J517)</f>
        <v>LONDRINA [ETAPA 04 - CONDOMINIO ARAGUARI]ATIVO</v>
      </c>
      <c r="Y517" s="203" t="str">
        <f t="shared" ref="Y517:Y520" si="80">CONCATENATE(C517,D517,G517)</f>
        <v>XLVIII31RAFAEL STELLATO LIU</v>
      </c>
      <c r="Z517" s="203" t="str">
        <f t="shared" si="76"/>
        <v>XLVIII31RAFAEL STELLATO LIU</v>
      </c>
      <c r="AA517" s="430" t="s">
        <v>619</v>
      </c>
      <c r="AB517" s="427">
        <v>31</v>
      </c>
      <c r="AC517" s="429" t="s">
        <v>1484</v>
      </c>
      <c r="AD517" s="505">
        <v>143460.26</v>
      </c>
      <c r="AE517" s="431">
        <v>151454.07</v>
      </c>
      <c r="AF517" s="60" t="str">
        <f t="shared" si="77"/>
        <v>RAFAEL STELLATO LIU</v>
      </c>
      <c r="AG517" s="60" t="str">
        <f t="shared" si="78"/>
        <v>OK</v>
      </c>
    </row>
    <row r="518" spans="1:33">
      <c r="A518" s="61" t="str">
        <f t="shared" ref="A518:A520" si="81">CONCATENATE(B518,C518,D518)</f>
        <v>LONDRINA [ETAPA 04 - CONDOMINIO ARAGUARI]XLVIII32</v>
      </c>
      <c r="B518" s="263" t="s">
        <v>878</v>
      </c>
      <c r="C518" s="337" t="s">
        <v>619</v>
      </c>
      <c r="D518" s="166">
        <v>32</v>
      </c>
      <c r="E518" s="197">
        <v>250.07</v>
      </c>
      <c r="F518" s="166">
        <v>5125</v>
      </c>
      <c r="G518" s="338" t="s">
        <v>1489</v>
      </c>
      <c r="H518" s="40">
        <v>44280</v>
      </c>
      <c r="I518" s="35">
        <v>150000</v>
      </c>
      <c r="J518" s="35" t="str">
        <f>IFERROR(VLOOKUP(CONCATENATE(B518,C518,D518,),Inadimplencia!$A$6:$K$110,6,0),"ATIVO")</f>
        <v>ATIVO</v>
      </c>
      <c r="K518" s="35">
        <f t="shared" ref="K518:K520" si="82">VLOOKUP(Y518,$Z$5:$AD$520,5,0)</f>
        <v>153300</v>
      </c>
      <c r="L518" s="325">
        <f t="shared" ref="L518:L520" si="83">K518/I518</f>
        <v>1.022</v>
      </c>
      <c r="M518" s="423" t="str">
        <f t="shared" ref="M518:M520" si="84">CONCATENATE(J518,IF(L518&gt;100%,1,0))</f>
        <v>ATIVO1</v>
      </c>
      <c r="X518" s="203" t="str">
        <f t="shared" si="79"/>
        <v>LONDRINA [ETAPA 04 - CONDOMINIO ARAGUARI]ATIVO</v>
      </c>
      <c r="Y518" s="203" t="str">
        <f t="shared" si="80"/>
        <v>XLVIII32GISELE MIYUKI KAWABATA</v>
      </c>
      <c r="Z518" s="203" t="str">
        <f t="shared" ref="Z518:Z520" si="85">CONCATENATE(AA518,AB518,AC518)</f>
        <v>XLVIII32GISELE MIYUKI KAWABATA</v>
      </c>
      <c r="AA518" s="430" t="s">
        <v>619</v>
      </c>
      <c r="AB518" s="427">
        <v>32</v>
      </c>
      <c r="AC518" s="428" t="s">
        <v>1489</v>
      </c>
      <c r="AD518" s="505">
        <v>153300</v>
      </c>
      <c r="AE518" s="431">
        <v>153300</v>
      </c>
      <c r="AF518" s="60" t="str">
        <f t="shared" ref="AF518:AF520" si="86">VLOOKUP(AC518,$G$5:$G$520,1,0)</f>
        <v>GISELE MIYUKI KAWABATA</v>
      </c>
      <c r="AG518" s="60" t="str">
        <f t="shared" ref="AG518:AG520" si="87">IF(AC518=AF518,"OK","NÃO BATE")</f>
        <v>OK</v>
      </c>
    </row>
    <row r="519" spans="1:33">
      <c r="A519" s="61" t="str">
        <f t="shared" si="81"/>
        <v>LONDRINA [ETAPA 04 - CONDOMINIO ARAGUARI]XLVIII33</v>
      </c>
      <c r="B519" s="263" t="s">
        <v>878</v>
      </c>
      <c r="C519" s="337" t="s">
        <v>619</v>
      </c>
      <c r="D519" s="166">
        <v>33</v>
      </c>
      <c r="E519" s="197">
        <v>250.07</v>
      </c>
      <c r="F519" s="166">
        <v>4862</v>
      </c>
      <c r="G519" s="74" t="s">
        <v>1372</v>
      </c>
      <c r="H519" s="40">
        <v>44141</v>
      </c>
      <c r="I519" s="35">
        <v>131599.9</v>
      </c>
      <c r="J519" s="35" t="str">
        <f>IFERROR(VLOOKUP(CONCATENATE(B519,C519,D519,),Inadimplencia!$A$6:$K$110,6,0),"ATIVO")</f>
        <v>ATIVO</v>
      </c>
      <c r="K519" s="35">
        <f t="shared" si="82"/>
        <v>37309.950000000004</v>
      </c>
      <c r="L519" s="325">
        <f t="shared" si="83"/>
        <v>0.28351047379215338</v>
      </c>
      <c r="M519" s="423" t="str">
        <f t="shared" si="84"/>
        <v>ATIVO0</v>
      </c>
      <c r="X519" s="203" t="str">
        <f t="shared" si="79"/>
        <v>LONDRINA [ETAPA 04 - CONDOMINIO ARAGUARI]ATIVO</v>
      </c>
      <c r="Y519" s="203" t="str">
        <f t="shared" si="80"/>
        <v>XLVIII33RAUL RANGEL DE OLIVEIRA</v>
      </c>
      <c r="Z519" s="203" t="str">
        <f t="shared" si="85"/>
        <v>XLVIII33RAUL RANGEL DE OLIVEIRA</v>
      </c>
      <c r="AA519" s="430" t="s">
        <v>619</v>
      </c>
      <c r="AB519" s="427">
        <v>33</v>
      </c>
      <c r="AC519" s="429" t="s">
        <v>1372</v>
      </c>
      <c r="AD519" s="505">
        <v>37309.950000000004</v>
      </c>
      <c r="AE519" s="431">
        <v>132938.58000000002</v>
      </c>
      <c r="AF519" s="60" t="str">
        <f t="shared" si="86"/>
        <v>RAUL RANGEL DE OLIVEIRA</v>
      </c>
      <c r="AG519" s="60" t="str">
        <f t="shared" si="87"/>
        <v>OK</v>
      </c>
    </row>
    <row r="520" spans="1:33">
      <c r="A520" s="61" t="str">
        <f t="shared" si="81"/>
        <v>LONDRINA [ETAPA 04 - CONDOMINIO ARAGUARI]XLVIII36</v>
      </c>
      <c r="B520" s="263" t="s">
        <v>878</v>
      </c>
      <c r="C520" s="337" t="s">
        <v>619</v>
      </c>
      <c r="D520" s="73">
        <v>36</v>
      </c>
      <c r="E520" s="197">
        <v>254.95</v>
      </c>
      <c r="F520" s="166">
        <v>5124</v>
      </c>
      <c r="G520" s="74" t="s">
        <v>1497</v>
      </c>
      <c r="H520" s="40">
        <v>44256</v>
      </c>
      <c r="I520" s="35">
        <v>151104.97</v>
      </c>
      <c r="J520" s="35" t="str">
        <f>IFERROR(VLOOKUP(CONCATENATE(B520,C520,D520,),Inadimplencia!$A$6:$K$110,6,0),"ATIVO")</f>
        <v>ATIVO</v>
      </c>
      <c r="K520" s="35">
        <f t="shared" si="82"/>
        <v>146206.03</v>
      </c>
      <c r="L520" s="325">
        <f t="shared" si="83"/>
        <v>0.96757922654694939</v>
      </c>
      <c r="M520" s="423" t="str">
        <f t="shared" si="84"/>
        <v>ATIVO0</v>
      </c>
      <c r="X520" s="203" t="str">
        <f t="shared" si="79"/>
        <v>LONDRINA [ETAPA 04 - CONDOMINIO ARAGUARI]ATIVO</v>
      </c>
      <c r="Y520" s="203" t="str">
        <f t="shared" si="80"/>
        <v>XLVIII36RENATA PACHECO ABREU</v>
      </c>
      <c r="Z520" s="203" t="str">
        <f t="shared" si="85"/>
        <v>XLVIII36RENATA PACHECO ABREU</v>
      </c>
      <c r="AA520" s="430" t="s">
        <v>619</v>
      </c>
      <c r="AB520" s="427">
        <v>36</v>
      </c>
      <c r="AC520" s="428" t="s">
        <v>1497</v>
      </c>
      <c r="AD520" s="505">
        <v>146206.03</v>
      </c>
      <c r="AE520" s="431">
        <v>152636.01999999999</v>
      </c>
      <c r="AF520" s="60" t="str">
        <f t="shared" si="86"/>
        <v>RENATA PACHECO ABREU</v>
      </c>
      <c r="AG520" s="60" t="str">
        <f t="shared" si="87"/>
        <v>OK</v>
      </c>
    </row>
    <row r="521" spans="1:33">
      <c r="A521" s="5"/>
      <c r="C521" s="5"/>
      <c r="D521" s="5"/>
      <c r="E521" s="5"/>
      <c r="F521" s="5"/>
      <c r="G521" s="519"/>
      <c r="H521" s="228"/>
      <c r="I521" s="59"/>
      <c r="J521" s="59"/>
      <c r="K521" s="59"/>
      <c r="L521" s="59"/>
      <c r="M521" s="5"/>
    </row>
    <row r="522" spans="1:33">
      <c r="A522" s="5"/>
      <c r="C522" s="5"/>
      <c r="D522" s="5"/>
      <c r="E522" s="5"/>
      <c r="F522" s="5"/>
      <c r="G522" s="519"/>
      <c r="H522" s="228"/>
      <c r="I522" s="59"/>
      <c r="J522" s="59"/>
      <c r="K522" s="59"/>
      <c r="L522" s="520"/>
      <c r="M522" s="5"/>
    </row>
    <row r="523" spans="1:33">
      <c r="A523" s="5"/>
      <c r="C523" s="5"/>
      <c r="D523" s="5"/>
      <c r="E523" s="5"/>
      <c r="F523" s="5"/>
      <c r="G523" s="519"/>
      <c r="H523" s="228"/>
      <c r="I523" s="59"/>
      <c r="J523" s="59"/>
      <c r="K523" s="59"/>
      <c r="L523" s="520"/>
      <c r="M523" s="5"/>
    </row>
    <row r="524" spans="1:33">
      <c r="A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33">
      <c r="A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1:33">
      <c r="A526" s="5"/>
      <c r="C526" s="5"/>
      <c r="D526" s="5"/>
      <c r="E526" s="5"/>
      <c r="F526" s="5"/>
      <c r="G526" s="5"/>
      <c r="H526" s="5"/>
      <c r="L526" s="9"/>
      <c r="M526" s="5"/>
      <c r="X526" s="203"/>
      <c r="Y526" s="203"/>
      <c r="Z526" s="203"/>
      <c r="AA526" s="129"/>
      <c r="AB526" s="128"/>
      <c r="AC526" s="60"/>
      <c r="AD526" s="193"/>
      <c r="AE526" s="231"/>
    </row>
    <row r="527" spans="1:33">
      <c r="X527" s="203" t="str">
        <f>CONCATENATE(B527,J527)</f>
        <v/>
      </c>
      <c r="Y527" s="203"/>
      <c r="Z527" s="203"/>
      <c r="AA527" s="129"/>
      <c r="AB527" s="128"/>
      <c r="AC527" s="60"/>
      <c r="AD527" s="193"/>
      <c r="AE527" s="231"/>
    </row>
    <row r="528" spans="1:33" ht="30">
      <c r="B528" s="1" t="s">
        <v>3</v>
      </c>
      <c r="C528" s="2" t="s">
        <v>22</v>
      </c>
      <c r="D528" s="2" t="s">
        <v>23</v>
      </c>
      <c r="E528" s="4"/>
      <c r="F528" s="2"/>
      <c r="G528" s="1" t="s">
        <v>6</v>
      </c>
      <c r="H528" s="3" t="s">
        <v>9</v>
      </c>
      <c r="I528" s="4" t="s">
        <v>10</v>
      </c>
      <c r="J528" s="4" t="s">
        <v>7</v>
      </c>
      <c r="K528" s="4" t="s">
        <v>552</v>
      </c>
      <c r="X528" s="129"/>
      <c r="Y528" s="129"/>
      <c r="Z528" s="129"/>
      <c r="AA528" s="129"/>
      <c r="AB528" s="128"/>
      <c r="AC528" s="60"/>
      <c r="AD528" s="193"/>
      <c r="AE528" s="231"/>
      <c r="AF528" s="5"/>
      <c r="AG528" s="5"/>
    </row>
    <row r="529" spans="1:33">
      <c r="B529" s="32" t="s">
        <v>34</v>
      </c>
      <c r="C529" s="33" t="s">
        <v>505</v>
      </c>
      <c r="D529" s="36">
        <v>33</v>
      </c>
      <c r="E529" s="154"/>
      <c r="F529" s="36">
        <v>2480</v>
      </c>
      <c r="G529" s="34" t="s">
        <v>63</v>
      </c>
      <c r="H529" s="40">
        <v>41435</v>
      </c>
      <c r="I529" s="35">
        <v>95942.6</v>
      </c>
      <c r="J529" s="35" t="s">
        <v>793</v>
      </c>
      <c r="K529" s="153">
        <v>43383</v>
      </c>
      <c r="X529" s="129"/>
      <c r="Y529" s="129"/>
      <c r="Z529" s="129"/>
      <c r="AA529" s="129"/>
      <c r="AB529" s="128"/>
      <c r="AC529" s="60"/>
      <c r="AD529" s="193"/>
      <c r="AE529" s="231"/>
      <c r="AF529" s="5"/>
      <c r="AG529" s="5"/>
    </row>
    <row r="530" spans="1:33">
      <c r="B530" s="32" t="s">
        <v>34</v>
      </c>
      <c r="C530" s="33" t="s">
        <v>507</v>
      </c>
      <c r="D530" s="36">
        <v>22</v>
      </c>
      <c r="E530" s="154"/>
      <c r="F530" s="36"/>
      <c r="G530" s="34" t="s">
        <v>304</v>
      </c>
      <c r="H530" s="40">
        <v>41445</v>
      </c>
      <c r="I530" s="35">
        <v>98461.43</v>
      </c>
      <c r="J530" s="35" t="s">
        <v>793</v>
      </c>
      <c r="K530" s="153"/>
      <c r="X530" s="129"/>
      <c r="Y530" s="129"/>
      <c r="Z530" s="129"/>
      <c r="AA530" s="129"/>
      <c r="AB530" s="128"/>
      <c r="AC530" s="60"/>
      <c r="AD530" s="193"/>
      <c r="AE530" s="231"/>
      <c r="AF530" s="5"/>
      <c r="AG530" s="5"/>
    </row>
    <row r="531" spans="1:33">
      <c r="B531" s="32" t="s">
        <v>38</v>
      </c>
      <c r="C531" s="33" t="s">
        <v>511</v>
      </c>
      <c r="D531" s="36">
        <v>25</v>
      </c>
      <c r="E531" s="154"/>
      <c r="F531" s="36">
        <v>2425</v>
      </c>
      <c r="G531" s="34" t="s">
        <v>205</v>
      </c>
      <c r="H531" s="40">
        <v>41445</v>
      </c>
      <c r="I531" s="35">
        <v>75671.88</v>
      </c>
      <c r="J531" s="35" t="s">
        <v>793</v>
      </c>
      <c r="K531" s="154"/>
      <c r="X531" s="129"/>
      <c r="Y531" s="129"/>
      <c r="Z531" s="129"/>
      <c r="AA531" s="129"/>
      <c r="AB531" s="128"/>
      <c r="AC531" s="60"/>
      <c r="AD531" s="193"/>
      <c r="AE531" s="231"/>
      <c r="AF531" s="5"/>
      <c r="AG531" s="5"/>
    </row>
    <row r="532" spans="1:33">
      <c r="B532" s="32" t="s">
        <v>35</v>
      </c>
      <c r="C532" s="33" t="s">
        <v>513</v>
      </c>
      <c r="D532" s="36">
        <v>29</v>
      </c>
      <c r="E532" s="154"/>
      <c r="F532" s="36">
        <v>2310</v>
      </c>
      <c r="G532" s="34" t="s">
        <v>412</v>
      </c>
      <c r="H532" s="40">
        <v>41439</v>
      </c>
      <c r="I532" s="35">
        <v>100283.43</v>
      </c>
      <c r="J532" s="35" t="s">
        <v>793</v>
      </c>
      <c r="K532" s="153"/>
      <c r="X532" s="129"/>
      <c r="Y532" s="129"/>
      <c r="Z532" s="129"/>
      <c r="AA532" s="129"/>
      <c r="AB532" s="128"/>
      <c r="AC532" s="60"/>
      <c r="AD532" s="193"/>
      <c r="AE532" s="231"/>
      <c r="AF532" s="5"/>
      <c r="AG532" s="5"/>
    </row>
    <row r="533" spans="1:33">
      <c r="B533" s="32" t="s">
        <v>35</v>
      </c>
      <c r="C533" s="33" t="s">
        <v>513</v>
      </c>
      <c r="D533" s="36">
        <v>46</v>
      </c>
      <c r="E533" s="154"/>
      <c r="F533" s="36"/>
      <c r="G533" s="34" t="s">
        <v>111</v>
      </c>
      <c r="H533" s="40">
        <v>41579</v>
      </c>
      <c r="I533" s="35">
        <v>128681.69</v>
      </c>
      <c r="J533" s="35" t="s">
        <v>793</v>
      </c>
      <c r="K533" s="153"/>
      <c r="X533" s="129"/>
      <c r="Y533" s="129"/>
      <c r="Z533" s="129"/>
      <c r="AA533" s="129"/>
      <c r="AB533" s="128"/>
      <c r="AC533" s="60"/>
      <c r="AD533" s="193"/>
      <c r="AE533" s="231"/>
      <c r="AF533" s="5"/>
      <c r="AG533" s="5"/>
    </row>
    <row r="534" spans="1:33">
      <c r="B534" s="32" t="s">
        <v>35</v>
      </c>
      <c r="C534" s="33" t="s">
        <v>515</v>
      </c>
      <c r="D534" s="36">
        <v>14</v>
      </c>
      <c r="E534" s="154"/>
      <c r="F534" s="36"/>
      <c r="G534" s="34" t="s">
        <v>343</v>
      </c>
      <c r="H534" s="40" t="s">
        <v>491</v>
      </c>
      <c r="I534" s="35">
        <v>99838.57</v>
      </c>
      <c r="J534" s="35" t="s">
        <v>793</v>
      </c>
      <c r="K534" s="153"/>
      <c r="X534" s="129"/>
      <c r="Y534" s="129"/>
      <c r="Z534" s="129"/>
      <c r="AA534" s="129"/>
      <c r="AB534" s="128"/>
      <c r="AC534" s="60"/>
      <c r="AD534" s="193"/>
      <c r="AE534" s="231"/>
      <c r="AF534" s="5"/>
      <c r="AG534" s="5"/>
    </row>
    <row r="535" spans="1:33">
      <c r="B535" s="32" t="s">
        <v>35</v>
      </c>
      <c r="C535" s="33" t="s">
        <v>515</v>
      </c>
      <c r="D535" s="36">
        <v>18</v>
      </c>
      <c r="E535" s="154"/>
      <c r="F535" s="36"/>
      <c r="G535" s="34" t="s">
        <v>319</v>
      </c>
      <c r="H535" s="40" t="s">
        <v>494</v>
      </c>
      <c r="I535" s="35">
        <v>99838.57</v>
      </c>
      <c r="J535" s="35" t="s">
        <v>793</v>
      </c>
      <c r="K535" s="153"/>
      <c r="X535" s="129"/>
      <c r="Y535" s="129"/>
      <c r="Z535" s="129"/>
      <c r="AA535" s="129"/>
      <c r="AB535" s="128"/>
      <c r="AC535" s="60"/>
      <c r="AD535" s="193"/>
      <c r="AE535" s="231"/>
      <c r="AF535" s="5"/>
      <c r="AG535" s="5"/>
    </row>
    <row r="536" spans="1:33">
      <c r="B536" s="32" t="s">
        <v>35</v>
      </c>
      <c r="C536" s="33" t="s">
        <v>517</v>
      </c>
      <c r="D536" s="36">
        <v>38</v>
      </c>
      <c r="E536" s="154"/>
      <c r="F536" s="36">
        <v>3536</v>
      </c>
      <c r="G536" s="34" t="s">
        <v>480</v>
      </c>
      <c r="H536" s="40">
        <v>41649</v>
      </c>
      <c r="I536" s="35">
        <v>101442.08</v>
      </c>
      <c r="J536" s="35" t="s">
        <v>793</v>
      </c>
      <c r="K536" s="153">
        <v>43396</v>
      </c>
      <c r="X536" s="129"/>
      <c r="Y536" s="129"/>
      <c r="Z536" s="129"/>
      <c r="AA536" s="129"/>
      <c r="AB536" s="128"/>
      <c r="AC536" s="60"/>
      <c r="AD536" s="193"/>
      <c r="AE536" s="231"/>
      <c r="AF536" s="5"/>
      <c r="AG536" s="5"/>
    </row>
    <row r="537" spans="1:33">
      <c r="B537" s="32" t="s">
        <v>35</v>
      </c>
      <c r="C537" s="33" t="s">
        <v>517</v>
      </c>
      <c r="D537" s="36">
        <v>45</v>
      </c>
      <c r="E537" s="154"/>
      <c r="F537" s="36"/>
      <c r="G537" s="34" t="s">
        <v>285</v>
      </c>
      <c r="H537" s="40" t="s">
        <v>489</v>
      </c>
      <c r="I537" s="35">
        <v>96723.839999999997</v>
      </c>
      <c r="J537" s="35" t="s">
        <v>793</v>
      </c>
      <c r="K537" s="153"/>
      <c r="X537" s="129"/>
      <c r="Y537" s="129"/>
      <c r="Z537" s="129"/>
      <c r="AA537" s="129"/>
      <c r="AB537" s="128"/>
      <c r="AC537" s="60"/>
      <c r="AD537" s="193"/>
      <c r="AE537" s="231"/>
      <c r="AF537" s="5"/>
      <c r="AG537" s="5"/>
    </row>
    <row r="538" spans="1:33">
      <c r="B538" s="32" t="s">
        <v>35</v>
      </c>
      <c r="C538" s="33" t="s">
        <v>518</v>
      </c>
      <c r="D538" s="36">
        <v>15</v>
      </c>
      <c r="E538" s="154"/>
      <c r="F538" s="36"/>
      <c r="G538" s="34" t="s">
        <v>442</v>
      </c>
      <c r="H538" s="40" t="s">
        <v>501</v>
      </c>
      <c r="I538" s="35">
        <v>133560.07999999999</v>
      </c>
      <c r="J538" s="35" t="s">
        <v>793</v>
      </c>
      <c r="K538" s="153"/>
      <c r="X538" s="129"/>
      <c r="Y538" s="129"/>
      <c r="Z538" s="129"/>
      <c r="AA538" s="129"/>
      <c r="AB538" s="128"/>
      <c r="AC538" s="60"/>
      <c r="AD538" s="193"/>
      <c r="AE538" s="231"/>
      <c r="AF538" s="5"/>
      <c r="AG538" s="5"/>
    </row>
    <row r="539" spans="1:33">
      <c r="B539" s="32" t="s">
        <v>35</v>
      </c>
      <c r="C539" s="33" t="s">
        <v>520</v>
      </c>
      <c r="D539" s="36">
        <v>3</v>
      </c>
      <c r="E539" s="154"/>
      <c r="F539" s="36"/>
      <c r="G539" s="34" t="s">
        <v>396</v>
      </c>
      <c r="H539" s="40" t="s">
        <v>500</v>
      </c>
      <c r="I539" s="35">
        <v>96269.16</v>
      </c>
      <c r="J539" s="35" t="s">
        <v>793</v>
      </c>
      <c r="K539" s="153"/>
      <c r="X539" s="129"/>
      <c r="Y539" s="129"/>
      <c r="Z539" s="129"/>
      <c r="AA539" s="129"/>
      <c r="AB539" s="128"/>
      <c r="AC539" s="60"/>
      <c r="AD539" s="193"/>
      <c r="AE539" s="231"/>
      <c r="AF539" s="5"/>
      <c r="AG539" s="5"/>
    </row>
    <row r="540" spans="1:33">
      <c r="B540" s="32" t="s">
        <v>36</v>
      </c>
      <c r="C540" s="33" t="s">
        <v>521</v>
      </c>
      <c r="D540" s="36">
        <v>5</v>
      </c>
      <c r="E540" s="154"/>
      <c r="F540" s="36">
        <v>3850</v>
      </c>
      <c r="G540" s="34" t="s">
        <v>469</v>
      </c>
      <c r="H540" s="40">
        <v>41852</v>
      </c>
      <c r="I540" s="35">
        <v>96662.68</v>
      </c>
      <c r="J540" s="35" t="s">
        <v>793</v>
      </c>
      <c r="K540" s="153"/>
      <c r="X540" s="129"/>
      <c r="Y540" s="129"/>
      <c r="Z540" s="129"/>
      <c r="AA540" s="129"/>
      <c r="AB540" s="128"/>
      <c r="AC540" s="60"/>
      <c r="AD540" s="193"/>
      <c r="AE540" s="231"/>
      <c r="AF540" s="5"/>
      <c r="AG540" s="5"/>
    </row>
    <row r="541" spans="1:33">
      <c r="B541" s="32" t="s">
        <v>33</v>
      </c>
      <c r="C541" s="33" t="s">
        <v>527</v>
      </c>
      <c r="D541" s="36">
        <v>6</v>
      </c>
      <c r="E541" s="154"/>
      <c r="F541" s="36"/>
      <c r="G541" s="34" t="s">
        <v>482</v>
      </c>
      <c r="H541" s="40" t="s">
        <v>502</v>
      </c>
      <c r="I541" s="35">
        <v>124167.92</v>
      </c>
      <c r="J541" s="35" t="s">
        <v>793</v>
      </c>
      <c r="K541" s="153"/>
      <c r="X541" s="129"/>
      <c r="Y541" s="129"/>
      <c r="Z541" s="129"/>
      <c r="AA541" s="129"/>
      <c r="AB541" s="128"/>
      <c r="AC541" s="60"/>
      <c r="AD541" s="193"/>
      <c r="AE541" s="231"/>
      <c r="AF541" s="5"/>
      <c r="AG541" s="5"/>
    </row>
    <row r="542" spans="1:33">
      <c r="A542" s="86"/>
      <c r="B542" s="32" t="s">
        <v>33</v>
      </c>
      <c r="C542" s="33" t="s">
        <v>528</v>
      </c>
      <c r="D542" s="36">
        <v>22</v>
      </c>
      <c r="E542" s="154"/>
      <c r="F542" s="36"/>
      <c r="G542" s="34" t="s">
        <v>270</v>
      </c>
      <c r="H542" s="40" t="s">
        <v>499</v>
      </c>
      <c r="I542" s="35">
        <v>125020</v>
      </c>
      <c r="J542" s="35" t="s">
        <v>793</v>
      </c>
      <c r="K542" s="153"/>
      <c r="X542" s="129"/>
      <c r="Y542" s="129"/>
      <c r="Z542" s="129"/>
      <c r="AA542" s="129"/>
      <c r="AB542" s="128"/>
      <c r="AC542" s="60"/>
      <c r="AD542" s="193"/>
      <c r="AE542" s="231"/>
      <c r="AF542" s="5"/>
      <c r="AG542" s="5"/>
    </row>
    <row r="543" spans="1:33">
      <c r="A543" s="86"/>
      <c r="B543" s="32" t="s">
        <v>33</v>
      </c>
      <c r="C543" s="33" t="s">
        <v>531</v>
      </c>
      <c r="D543" s="36">
        <v>33</v>
      </c>
      <c r="E543" s="154"/>
      <c r="F543" s="36"/>
      <c r="G543" s="34" t="s">
        <v>88</v>
      </c>
      <c r="H543" s="40" t="s">
        <v>495</v>
      </c>
      <c r="I543" s="35">
        <v>136999.6</v>
      </c>
      <c r="J543" s="35" t="s">
        <v>793</v>
      </c>
      <c r="K543" s="153"/>
      <c r="X543" s="129"/>
      <c r="Y543" s="129"/>
      <c r="Z543" s="129"/>
      <c r="AA543" s="129"/>
      <c r="AB543" s="128"/>
      <c r="AC543" s="60"/>
      <c r="AD543" s="193"/>
      <c r="AE543" s="231"/>
      <c r="AF543" s="5"/>
      <c r="AG543" s="5"/>
    </row>
    <row r="544" spans="1:33">
      <c r="B544" s="32" t="s">
        <v>33</v>
      </c>
      <c r="C544" s="33" t="s">
        <v>524</v>
      </c>
      <c r="D544" s="36">
        <v>8</v>
      </c>
      <c r="E544" s="154"/>
      <c r="F544" s="36">
        <v>5130</v>
      </c>
      <c r="G544" s="34" t="s">
        <v>144</v>
      </c>
      <c r="H544" s="40">
        <v>42431</v>
      </c>
      <c r="I544" s="35">
        <v>118709.2</v>
      </c>
      <c r="J544" s="35" t="s">
        <v>793</v>
      </c>
      <c r="K544" s="153">
        <v>43262</v>
      </c>
      <c r="X544" s="129"/>
      <c r="Y544" s="129"/>
      <c r="Z544" s="129"/>
      <c r="AA544" s="129"/>
      <c r="AB544" s="128"/>
      <c r="AC544" s="60"/>
      <c r="AD544" s="193"/>
      <c r="AE544" s="231"/>
      <c r="AF544" s="5"/>
      <c r="AG544" s="5"/>
    </row>
    <row r="545" spans="2:33">
      <c r="B545" s="32" t="s">
        <v>33</v>
      </c>
      <c r="C545" s="33" t="s">
        <v>525</v>
      </c>
      <c r="D545" s="36">
        <v>10</v>
      </c>
      <c r="E545" s="154"/>
      <c r="F545" s="36">
        <v>5235</v>
      </c>
      <c r="G545" s="34" t="s">
        <v>42</v>
      </c>
      <c r="H545" s="40">
        <v>42522</v>
      </c>
      <c r="I545" s="35">
        <v>135900.07999999999</v>
      </c>
      <c r="J545" s="35" t="s">
        <v>793</v>
      </c>
      <c r="K545" s="153">
        <v>43262</v>
      </c>
      <c r="X545" s="6"/>
      <c r="Y545" s="6"/>
      <c r="Z545" s="6"/>
      <c r="AA545" s="129"/>
      <c r="AB545" s="128"/>
      <c r="AC545" s="60"/>
      <c r="AD545" s="193"/>
      <c r="AE545" s="231"/>
      <c r="AF545" s="5"/>
      <c r="AG545" s="5"/>
    </row>
    <row r="546" spans="2:33">
      <c r="B546" s="32" t="s">
        <v>36</v>
      </c>
      <c r="C546" s="33" t="s">
        <v>534</v>
      </c>
      <c r="D546" s="36">
        <v>12</v>
      </c>
      <c r="E546" s="154"/>
      <c r="F546" s="36">
        <v>4821</v>
      </c>
      <c r="G546" s="34" t="s">
        <v>173</v>
      </c>
      <c r="H546" s="40">
        <v>42156</v>
      </c>
      <c r="I546" s="35">
        <v>124600.32000000001</v>
      </c>
      <c r="J546" s="35" t="s">
        <v>793</v>
      </c>
      <c r="K546" s="153">
        <v>43262</v>
      </c>
      <c r="X546" s="6"/>
      <c r="Y546" s="6"/>
      <c r="Z546" s="6"/>
      <c r="AA546" s="129"/>
      <c r="AB546" s="128"/>
      <c r="AC546" s="60"/>
      <c r="AD546" s="193"/>
      <c r="AE546" s="231"/>
      <c r="AF546" s="5"/>
      <c r="AG546" s="5"/>
    </row>
    <row r="547" spans="2:33">
      <c r="B547" s="32" t="s">
        <v>34</v>
      </c>
      <c r="C547" s="33" t="s">
        <v>506</v>
      </c>
      <c r="D547" s="36">
        <v>30</v>
      </c>
      <c r="E547" s="154"/>
      <c r="F547" s="36">
        <v>2743</v>
      </c>
      <c r="G547" s="34" t="s">
        <v>465</v>
      </c>
      <c r="H547" s="40">
        <v>41440</v>
      </c>
      <c r="I547" s="35">
        <v>97812.6</v>
      </c>
      <c r="J547" s="35" t="s">
        <v>793</v>
      </c>
      <c r="K547" s="153">
        <v>43286</v>
      </c>
      <c r="X547" s="6"/>
      <c r="Y547" s="6"/>
      <c r="Z547" s="6"/>
      <c r="AA547" s="129"/>
      <c r="AB547" s="128"/>
      <c r="AC547" s="60"/>
      <c r="AD547" s="193"/>
      <c r="AE547" s="231"/>
      <c r="AF547" s="5"/>
      <c r="AG547" s="5"/>
    </row>
    <row r="548" spans="2:33">
      <c r="B548" s="32" t="s">
        <v>34</v>
      </c>
      <c r="C548" s="33" t="s">
        <v>507</v>
      </c>
      <c r="D548" s="36">
        <v>4</v>
      </c>
      <c r="E548" s="154"/>
      <c r="F548" s="36">
        <v>2361</v>
      </c>
      <c r="G548" s="34" t="s">
        <v>376</v>
      </c>
      <c r="H548" s="40">
        <v>41445</v>
      </c>
      <c r="I548" s="35">
        <v>96687.08</v>
      </c>
      <c r="J548" s="35" t="s">
        <v>793</v>
      </c>
      <c r="K548" s="153">
        <v>43312</v>
      </c>
      <c r="X548" s="6"/>
      <c r="Y548" s="6"/>
      <c r="Z548" s="6"/>
      <c r="AA548" s="129"/>
      <c r="AB548" s="128"/>
      <c r="AC548" s="60"/>
      <c r="AD548" s="193"/>
      <c r="AE548" s="231"/>
      <c r="AF548" s="5"/>
      <c r="AG548" s="5"/>
    </row>
    <row r="549" spans="2:33">
      <c r="B549" s="32" t="s">
        <v>35</v>
      </c>
      <c r="C549" s="33" t="s">
        <v>519</v>
      </c>
      <c r="D549" s="36">
        <v>1</v>
      </c>
      <c r="E549" s="154"/>
      <c r="F549" s="36">
        <v>2700</v>
      </c>
      <c r="G549" s="34" t="s">
        <v>415</v>
      </c>
      <c r="H549" s="40">
        <v>41473</v>
      </c>
      <c r="I549" s="35">
        <v>94765.16</v>
      </c>
      <c r="J549" s="35" t="s">
        <v>793</v>
      </c>
      <c r="K549" s="153">
        <v>43285</v>
      </c>
      <c r="X549" s="6"/>
      <c r="Y549" s="6"/>
      <c r="Z549" s="6"/>
      <c r="AA549" s="129"/>
      <c r="AB549" s="128"/>
      <c r="AC549" s="60"/>
      <c r="AD549" s="193"/>
      <c r="AE549" s="231"/>
      <c r="AF549" s="5"/>
      <c r="AG549" s="5"/>
    </row>
    <row r="550" spans="2:33">
      <c r="B550" s="32" t="s">
        <v>36</v>
      </c>
      <c r="C550" s="33" t="s">
        <v>522</v>
      </c>
      <c r="D550" s="36">
        <v>8</v>
      </c>
      <c r="E550" s="154"/>
      <c r="F550" s="36">
        <v>5471</v>
      </c>
      <c r="G550" s="34" t="s">
        <v>244</v>
      </c>
      <c r="H550" s="40">
        <v>42740</v>
      </c>
      <c r="I550" s="35">
        <v>121777.60000000001</v>
      </c>
      <c r="J550" s="35" t="s">
        <v>793</v>
      </c>
      <c r="K550" s="153">
        <v>43301</v>
      </c>
      <c r="X550" s="6"/>
      <c r="Y550" s="6"/>
      <c r="Z550" s="6"/>
      <c r="AA550" s="129"/>
      <c r="AB550" s="128"/>
      <c r="AC550" s="60"/>
      <c r="AD550" s="193"/>
      <c r="AE550" s="231"/>
      <c r="AF550" s="5"/>
      <c r="AG550" s="5"/>
    </row>
    <row r="551" spans="2:33">
      <c r="B551" s="32" t="s">
        <v>33</v>
      </c>
      <c r="C551" s="33" t="s">
        <v>525</v>
      </c>
      <c r="D551" s="36">
        <v>13</v>
      </c>
      <c r="E551" s="154"/>
      <c r="F551" s="36">
        <v>5191</v>
      </c>
      <c r="G551" s="34" t="s">
        <v>182</v>
      </c>
      <c r="H551" s="40">
        <v>42464</v>
      </c>
      <c r="I551" s="35">
        <v>135900.65</v>
      </c>
      <c r="J551" s="35" t="s">
        <v>793</v>
      </c>
      <c r="K551" s="153">
        <v>43311</v>
      </c>
      <c r="X551" s="6"/>
      <c r="Y551" s="6"/>
      <c r="Z551" s="6"/>
      <c r="AA551" s="129"/>
      <c r="AB551" s="128"/>
      <c r="AC551" s="60"/>
      <c r="AD551" s="193"/>
      <c r="AE551" s="231"/>
      <c r="AF551" s="5"/>
      <c r="AG551" s="5"/>
    </row>
    <row r="552" spans="2:33">
      <c r="B552" s="32" t="s">
        <v>34</v>
      </c>
      <c r="C552" s="33" t="s">
        <v>505</v>
      </c>
      <c r="D552" s="36">
        <v>31</v>
      </c>
      <c r="E552" s="154"/>
      <c r="F552" s="36">
        <v>2574</v>
      </c>
      <c r="G552" s="34" t="s">
        <v>131</v>
      </c>
      <c r="H552" s="40">
        <v>41435</v>
      </c>
      <c r="I552" s="35">
        <v>95942.6</v>
      </c>
      <c r="J552" s="35" t="s">
        <v>793</v>
      </c>
      <c r="K552" s="153">
        <v>43318</v>
      </c>
      <c r="X552" s="6"/>
      <c r="Y552" s="6"/>
      <c r="Z552" s="6"/>
      <c r="AA552" s="129"/>
      <c r="AB552" s="128"/>
      <c r="AC552" s="60"/>
      <c r="AD552" s="193"/>
      <c r="AE552" s="231"/>
      <c r="AF552" s="5"/>
      <c r="AG552" s="5"/>
    </row>
    <row r="553" spans="2:33">
      <c r="B553" s="32" t="s">
        <v>35</v>
      </c>
      <c r="C553" s="33" t="s">
        <v>515</v>
      </c>
      <c r="D553" s="36">
        <v>3</v>
      </c>
      <c r="E553" s="154"/>
      <c r="F553" s="36">
        <v>2648</v>
      </c>
      <c r="G553" s="34" t="s">
        <v>245</v>
      </c>
      <c r="H553" s="40">
        <v>41461</v>
      </c>
      <c r="I553" s="35">
        <v>96140.85</v>
      </c>
      <c r="J553" s="35" t="s">
        <v>793</v>
      </c>
      <c r="K553" s="153">
        <v>43321</v>
      </c>
      <c r="X553" s="6"/>
      <c r="Y553" s="6"/>
      <c r="Z553" s="6"/>
      <c r="AA553" s="129"/>
      <c r="AB553" s="128"/>
      <c r="AC553" s="60"/>
      <c r="AD553" s="193"/>
      <c r="AE553" s="231"/>
      <c r="AF553" s="5"/>
      <c r="AG553" s="5"/>
    </row>
    <row r="554" spans="2:33">
      <c r="B554" s="32" t="s">
        <v>33</v>
      </c>
      <c r="C554" s="33" t="s">
        <v>530</v>
      </c>
      <c r="D554" s="36">
        <v>35</v>
      </c>
      <c r="E554" s="154"/>
      <c r="F554" s="36">
        <v>3656</v>
      </c>
      <c r="G554" s="34" t="s">
        <v>56</v>
      </c>
      <c r="H554" s="40">
        <v>41732</v>
      </c>
      <c r="I554" s="35">
        <v>103642.79</v>
      </c>
      <c r="J554" s="35" t="s">
        <v>793</v>
      </c>
      <c r="K554" s="153">
        <v>43339</v>
      </c>
      <c r="X554" s="6"/>
      <c r="Y554" s="6"/>
      <c r="Z554" s="6"/>
      <c r="AA554" s="129"/>
      <c r="AB554" s="128"/>
      <c r="AC554" s="60"/>
      <c r="AD554" s="193"/>
      <c r="AE554" s="231"/>
      <c r="AF554" s="5"/>
      <c r="AG554" s="5"/>
    </row>
    <row r="555" spans="2:33">
      <c r="B555" s="32" t="s">
        <v>38</v>
      </c>
      <c r="C555" s="33" t="s">
        <v>510</v>
      </c>
      <c r="D555" s="36">
        <v>17</v>
      </c>
      <c r="E555" s="154"/>
      <c r="F555" s="36">
        <v>2732</v>
      </c>
      <c r="G555" s="34" t="s">
        <v>160</v>
      </c>
      <c r="H555" s="40">
        <v>41477</v>
      </c>
      <c r="I555" s="35">
        <v>83154.75</v>
      </c>
      <c r="J555" s="35" t="s">
        <v>793</v>
      </c>
      <c r="K555" s="153">
        <v>43355</v>
      </c>
      <c r="X555" s="6"/>
      <c r="Y555" s="6"/>
      <c r="Z555" s="6"/>
      <c r="AA555" s="129"/>
      <c r="AB555" s="128"/>
      <c r="AC555" s="60"/>
      <c r="AD555" s="193"/>
      <c r="AE555" s="231"/>
      <c r="AF555" s="5"/>
      <c r="AG555" s="5"/>
    </row>
    <row r="556" spans="2:33">
      <c r="B556" s="32" t="s">
        <v>33</v>
      </c>
      <c r="C556" s="33" t="s">
        <v>527</v>
      </c>
      <c r="D556" s="36">
        <v>32</v>
      </c>
      <c r="E556" s="154"/>
      <c r="F556" s="36">
        <v>5515</v>
      </c>
      <c r="G556" s="34" t="s">
        <v>411</v>
      </c>
      <c r="H556" s="40">
        <v>42740</v>
      </c>
      <c r="I556" s="35">
        <v>147079.28</v>
      </c>
      <c r="J556" s="35" t="s">
        <v>793</v>
      </c>
      <c r="K556" s="153">
        <v>43362</v>
      </c>
      <c r="X556" s="6"/>
      <c r="Y556" s="6"/>
      <c r="Z556" s="6"/>
      <c r="AA556" s="129"/>
      <c r="AB556" s="128"/>
      <c r="AC556" s="60"/>
      <c r="AD556" s="193"/>
      <c r="AE556" s="231"/>
      <c r="AF556" s="5"/>
      <c r="AG556" s="5"/>
    </row>
    <row r="557" spans="2:33">
      <c r="B557" s="32" t="s">
        <v>34</v>
      </c>
      <c r="C557" s="33" t="s">
        <v>507</v>
      </c>
      <c r="D557" s="36">
        <v>24</v>
      </c>
      <c r="E557" s="154"/>
      <c r="F557" s="36">
        <v>2438</v>
      </c>
      <c r="G557" s="34" t="s">
        <v>350</v>
      </c>
      <c r="H557" s="40">
        <v>41452</v>
      </c>
      <c r="I557" s="35">
        <v>98461.43</v>
      </c>
      <c r="J557" s="35" t="s">
        <v>793</v>
      </c>
      <c r="K557" s="153">
        <v>43404</v>
      </c>
      <c r="X557" s="6"/>
      <c r="Y557" s="6"/>
      <c r="Z557" s="6"/>
      <c r="AA557" s="129"/>
      <c r="AB557" s="128"/>
      <c r="AC557" s="60"/>
      <c r="AD557" s="193"/>
      <c r="AE557" s="231"/>
      <c r="AF557" s="5"/>
      <c r="AG557" s="5"/>
    </row>
    <row r="558" spans="2:33">
      <c r="B558" s="32" t="s">
        <v>33</v>
      </c>
      <c r="C558" s="33" t="s">
        <v>528</v>
      </c>
      <c r="D558" s="36">
        <v>11</v>
      </c>
      <c r="E558" s="154"/>
      <c r="F558" s="36">
        <v>5955</v>
      </c>
      <c r="G558" s="34" t="s">
        <v>154</v>
      </c>
      <c r="H558" s="40">
        <v>43038</v>
      </c>
      <c r="I558" s="35">
        <v>118863.01</v>
      </c>
      <c r="J558" s="35" t="s">
        <v>793</v>
      </c>
      <c r="K558" s="153">
        <v>43388</v>
      </c>
      <c r="X558" s="6"/>
      <c r="Y558" s="6"/>
      <c r="Z558" s="6"/>
      <c r="AA558" s="129"/>
      <c r="AB558" s="128"/>
      <c r="AC558" s="60"/>
      <c r="AD558" s="193"/>
      <c r="AE558" s="231"/>
      <c r="AF558" s="5"/>
      <c r="AG558" s="5"/>
    </row>
    <row r="559" spans="2:33">
      <c r="B559" s="32" t="s">
        <v>38</v>
      </c>
      <c r="C559" s="33" t="s">
        <v>512</v>
      </c>
      <c r="D559" s="36">
        <v>24</v>
      </c>
      <c r="E559" s="154"/>
      <c r="F559" s="36">
        <v>6692</v>
      </c>
      <c r="G559" s="34" t="s">
        <v>864</v>
      </c>
      <c r="H559" s="40">
        <v>43412</v>
      </c>
      <c r="I559" s="35">
        <v>75200</v>
      </c>
      <c r="J559" s="35" t="s">
        <v>793</v>
      </c>
      <c r="K559" s="153">
        <v>43412</v>
      </c>
      <c r="X559" s="6"/>
      <c r="Y559" s="6"/>
      <c r="Z559" s="6"/>
      <c r="AA559" s="129"/>
      <c r="AB559" s="128"/>
      <c r="AC559" s="60"/>
      <c r="AD559" s="193"/>
      <c r="AE559" s="231"/>
      <c r="AF559" s="5"/>
      <c r="AG559" s="5"/>
    </row>
    <row r="560" spans="2:33">
      <c r="B560" s="32" t="s">
        <v>35</v>
      </c>
      <c r="C560" s="33" t="s">
        <v>513</v>
      </c>
      <c r="D560" s="36">
        <v>22</v>
      </c>
      <c r="E560" s="154"/>
      <c r="F560" s="36">
        <v>2534</v>
      </c>
      <c r="G560" s="34" t="s">
        <v>115</v>
      </c>
      <c r="H560" s="40">
        <v>41445</v>
      </c>
      <c r="I560" s="35">
        <v>99379.24</v>
      </c>
      <c r="J560" s="35" t="s">
        <v>793</v>
      </c>
      <c r="K560" s="153">
        <v>43433</v>
      </c>
      <c r="X560" s="6"/>
      <c r="Y560" s="6"/>
      <c r="Z560" s="6"/>
      <c r="AA560" s="129"/>
      <c r="AB560" s="128"/>
      <c r="AC560" s="60"/>
      <c r="AD560" s="193"/>
      <c r="AE560" s="231"/>
      <c r="AF560" s="5"/>
      <c r="AG560" s="5"/>
    </row>
    <row r="561" spans="2:33">
      <c r="B561" s="32" t="s">
        <v>34</v>
      </c>
      <c r="C561" s="33" t="s">
        <v>509</v>
      </c>
      <c r="D561" s="36">
        <v>13</v>
      </c>
      <c r="E561" s="154"/>
      <c r="F561" s="36">
        <v>2302</v>
      </c>
      <c r="G561" s="34" t="s">
        <v>374</v>
      </c>
      <c r="H561" s="40">
        <v>41445</v>
      </c>
      <c r="I561" s="35">
        <v>94094</v>
      </c>
      <c r="J561" s="35" t="s">
        <v>793</v>
      </c>
      <c r="K561" s="153">
        <v>43494</v>
      </c>
      <c r="X561" s="6"/>
      <c r="Y561" s="6"/>
      <c r="Z561" s="6"/>
      <c r="AA561" s="129"/>
      <c r="AB561" s="128"/>
      <c r="AC561" s="60"/>
      <c r="AD561" s="193"/>
      <c r="AE561" s="231"/>
      <c r="AF561" s="5"/>
      <c r="AG561" s="5"/>
    </row>
    <row r="562" spans="2:33">
      <c r="B562" s="32" t="s">
        <v>38</v>
      </c>
      <c r="C562" s="33" t="s">
        <v>510</v>
      </c>
      <c r="D562" s="36">
        <v>10</v>
      </c>
      <c r="E562" s="154"/>
      <c r="F562" s="36">
        <v>2352</v>
      </c>
      <c r="G562" s="34" t="s">
        <v>152</v>
      </c>
      <c r="H562" s="40">
        <v>41441</v>
      </c>
      <c r="I562" s="35">
        <v>79354.8</v>
      </c>
      <c r="J562" s="35" t="s">
        <v>793</v>
      </c>
      <c r="K562" s="153">
        <v>43479</v>
      </c>
      <c r="X562" s="6"/>
      <c r="Y562" s="6"/>
      <c r="Z562" s="6"/>
      <c r="AA562" s="129"/>
      <c r="AB562" s="128"/>
      <c r="AC562" s="60"/>
      <c r="AD562" s="193"/>
      <c r="AE562" s="231"/>
      <c r="AF562" s="5"/>
      <c r="AG562" s="5"/>
    </row>
    <row r="563" spans="2:33">
      <c r="B563" s="32" t="s">
        <v>35</v>
      </c>
      <c r="C563" s="33" t="s">
        <v>514</v>
      </c>
      <c r="D563" s="36">
        <v>8</v>
      </c>
      <c r="E563" s="154"/>
      <c r="F563" s="36">
        <v>3413</v>
      </c>
      <c r="G563" s="34" t="s">
        <v>214</v>
      </c>
      <c r="H563" s="40">
        <v>41624</v>
      </c>
      <c r="I563" s="35">
        <v>120489.2</v>
      </c>
      <c r="J563" s="35" t="s">
        <v>793</v>
      </c>
      <c r="K563" s="153">
        <v>43481</v>
      </c>
      <c r="X563" s="6"/>
      <c r="Y563" s="6"/>
      <c r="Z563" s="6"/>
      <c r="AA563" s="129"/>
      <c r="AB563" s="128"/>
      <c r="AC563" s="60"/>
      <c r="AD563" s="193"/>
      <c r="AE563" s="231"/>
      <c r="AF563" s="5"/>
      <c r="AG563" s="5"/>
    </row>
    <row r="564" spans="2:33">
      <c r="B564" s="32" t="s">
        <v>35</v>
      </c>
      <c r="C564" s="33" t="s">
        <v>518</v>
      </c>
      <c r="D564" s="36">
        <v>7</v>
      </c>
      <c r="E564" s="154"/>
      <c r="F564" s="36">
        <v>4173</v>
      </c>
      <c r="G564" s="34" t="s">
        <v>78</v>
      </c>
      <c r="H564" s="40">
        <v>41944</v>
      </c>
      <c r="I564" s="35">
        <v>124357.18</v>
      </c>
      <c r="J564" s="35" t="s">
        <v>793</v>
      </c>
      <c r="K564" s="153">
        <v>43479</v>
      </c>
      <c r="X564" s="6"/>
      <c r="Y564" s="6"/>
      <c r="Z564" s="6"/>
      <c r="AA564" s="129"/>
      <c r="AB564" s="128"/>
      <c r="AC564" s="60"/>
      <c r="AD564" s="193"/>
      <c r="AE564" s="231"/>
      <c r="AF564" s="5"/>
      <c r="AG564" s="5"/>
    </row>
    <row r="565" spans="2:33">
      <c r="B565" s="32" t="s">
        <v>36</v>
      </c>
      <c r="C565" s="33" t="s">
        <v>534</v>
      </c>
      <c r="D565" s="36">
        <v>2</v>
      </c>
      <c r="E565" s="154"/>
      <c r="F565" s="36">
        <v>3706</v>
      </c>
      <c r="G565" s="34" t="s">
        <v>172</v>
      </c>
      <c r="H565" s="40">
        <v>41743</v>
      </c>
      <c r="I565" s="35">
        <v>98670.74</v>
      </c>
      <c r="J565" s="35" t="s">
        <v>793</v>
      </c>
      <c r="K565" s="153">
        <v>43479</v>
      </c>
      <c r="X565" s="6"/>
      <c r="Y565" s="6"/>
      <c r="Z565" s="6"/>
      <c r="AA565" s="129"/>
      <c r="AB565" s="128"/>
      <c r="AC565" s="60"/>
      <c r="AD565" s="193"/>
      <c r="AE565" s="231"/>
      <c r="AF565" s="5"/>
      <c r="AG565" s="5"/>
    </row>
    <row r="566" spans="2:33">
      <c r="B566" s="32" t="s">
        <v>33</v>
      </c>
      <c r="C566" s="33" t="s">
        <v>529</v>
      </c>
      <c r="D566" s="36">
        <v>4</v>
      </c>
      <c r="E566" s="154"/>
      <c r="F566" s="36">
        <v>6223</v>
      </c>
      <c r="G566" s="34" t="s">
        <v>542</v>
      </c>
      <c r="H566" s="40">
        <v>43132</v>
      </c>
      <c r="I566" s="35">
        <v>160348.82999999999</v>
      </c>
      <c r="J566" s="35" t="s">
        <v>793</v>
      </c>
      <c r="K566" s="153">
        <v>43472</v>
      </c>
      <c r="X566" s="6"/>
      <c r="Y566" s="6"/>
      <c r="Z566" s="6"/>
      <c r="AA566" s="129"/>
      <c r="AB566" s="128"/>
      <c r="AC566" s="60"/>
      <c r="AD566" s="193"/>
      <c r="AE566" s="231"/>
      <c r="AF566" s="5"/>
      <c r="AG566" s="5"/>
    </row>
    <row r="567" spans="2:33">
      <c r="B567" s="32" t="s">
        <v>33</v>
      </c>
      <c r="C567" s="33" t="s">
        <v>530</v>
      </c>
      <c r="D567" s="36">
        <v>10</v>
      </c>
      <c r="E567" s="154"/>
      <c r="F567" s="36">
        <v>4143</v>
      </c>
      <c r="G567" s="34" t="s">
        <v>476</v>
      </c>
      <c r="H567" s="40">
        <v>41948</v>
      </c>
      <c r="I567" s="35">
        <v>127412.58</v>
      </c>
      <c r="J567" s="35" t="s">
        <v>793</v>
      </c>
      <c r="K567" s="153">
        <v>43487</v>
      </c>
      <c r="X567" s="6"/>
      <c r="Y567" s="6"/>
      <c r="Z567" s="6"/>
      <c r="AA567" s="129"/>
      <c r="AB567" s="128"/>
      <c r="AC567" s="60"/>
      <c r="AD567" s="193"/>
      <c r="AE567" s="231"/>
      <c r="AF567" s="5"/>
      <c r="AG567" s="5"/>
    </row>
    <row r="568" spans="2:33">
      <c r="B568" s="32" t="s">
        <v>34</v>
      </c>
      <c r="C568" s="33" t="s">
        <v>507</v>
      </c>
      <c r="D568" s="36">
        <v>28</v>
      </c>
      <c r="E568" s="154">
        <v>268.58</v>
      </c>
      <c r="F568" s="36">
        <v>2384</v>
      </c>
      <c r="G568" s="34" t="s">
        <v>253</v>
      </c>
      <c r="H568" s="40">
        <v>41445</v>
      </c>
      <c r="I568" s="35">
        <v>98461.43</v>
      </c>
      <c r="J568" s="35" t="s">
        <v>793</v>
      </c>
      <c r="K568" s="153">
        <v>43517</v>
      </c>
      <c r="X568" s="6"/>
      <c r="Y568" s="6"/>
      <c r="Z568" s="6"/>
      <c r="AA568" s="129"/>
      <c r="AB568" s="128"/>
      <c r="AC568" s="60"/>
      <c r="AD568" s="167"/>
      <c r="AF568" s="5"/>
      <c r="AG568" s="5"/>
    </row>
    <row r="569" spans="2:33">
      <c r="B569" s="32" t="s">
        <v>33</v>
      </c>
      <c r="C569" s="33" t="s">
        <v>527</v>
      </c>
      <c r="D569" s="36">
        <v>44</v>
      </c>
      <c r="E569" s="154">
        <v>329.47</v>
      </c>
      <c r="F569" s="36">
        <v>5580</v>
      </c>
      <c r="G569" s="34" t="s">
        <v>118</v>
      </c>
      <c r="H569" s="40">
        <v>42864</v>
      </c>
      <c r="I569" s="35">
        <v>185496.6</v>
      </c>
      <c r="J569" s="35" t="s">
        <v>793</v>
      </c>
      <c r="K569" s="153">
        <v>43515</v>
      </c>
      <c r="X569" s="6"/>
      <c r="Y569" s="6"/>
      <c r="Z569" s="6"/>
      <c r="AA569" s="129"/>
      <c r="AB569" s="128"/>
      <c r="AC569" s="60"/>
      <c r="AD569" s="167"/>
      <c r="AF569" s="5"/>
      <c r="AG569" s="5"/>
    </row>
    <row r="570" spans="2:33">
      <c r="B570" s="32" t="s">
        <v>33</v>
      </c>
      <c r="C570" s="33" t="s">
        <v>530</v>
      </c>
      <c r="D570" s="36">
        <v>26</v>
      </c>
      <c r="E570" s="154">
        <v>254.5</v>
      </c>
      <c r="F570" s="36">
        <v>3645</v>
      </c>
      <c r="G570" s="34" t="s">
        <v>265</v>
      </c>
      <c r="H570" s="40">
        <v>41730</v>
      </c>
      <c r="I570" s="35">
        <v>103643.43</v>
      </c>
      <c r="J570" s="35" t="s">
        <v>793</v>
      </c>
      <c r="K570" s="153">
        <v>43515</v>
      </c>
      <c r="X570" s="6"/>
      <c r="Y570" s="6"/>
      <c r="Z570" s="6"/>
      <c r="AA570" s="129"/>
      <c r="AB570" s="128"/>
      <c r="AC570" s="60"/>
      <c r="AD570" s="167"/>
      <c r="AF570" s="5"/>
      <c r="AG570" s="5"/>
    </row>
    <row r="571" spans="2:33">
      <c r="B571" s="32" t="s">
        <v>35</v>
      </c>
      <c r="C571" s="33" t="s">
        <v>514</v>
      </c>
      <c r="D571" s="36">
        <v>1</v>
      </c>
      <c r="E571" s="154">
        <v>287.08</v>
      </c>
      <c r="F571" s="36">
        <v>3547</v>
      </c>
      <c r="G571" s="34" t="s">
        <v>48</v>
      </c>
      <c r="H571" s="40">
        <v>41671</v>
      </c>
      <c r="I571" s="35">
        <v>109021.5</v>
      </c>
      <c r="J571" s="35" t="s">
        <v>793</v>
      </c>
      <c r="K571" s="153">
        <v>43498</v>
      </c>
      <c r="X571" s="6"/>
      <c r="Y571" s="6"/>
      <c r="Z571" s="6"/>
      <c r="AA571" s="129"/>
      <c r="AB571" s="128"/>
      <c r="AC571" s="60"/>
      <c r="AD571" s="167"/>
      <c r="AF571" s="5"/>
      <c r="AG571" s="5"/>
    </row>
    <row r="572" spans="2:33">
      <c r="B572" s="32" t="s">
        <v>35</v>
      </c>
      <c r="C572" s="33" t="s">
        <v>518</v>
      </c>
      <c r="D572" s="36">
        <v>6</v>
      </c>
      <c r="E572" s="154">
        <v>250.7</v>
      </c>
      <c r="F572" s="36">
        <v>4378</v>
      </c>
      <c r="G572" s="34" t="s">
        <v>420</v>
      </c>
      <c r="H572" s="40">
        <v>42011</v>
      </c>
      <c r="I572" s="35">
        <v>121400.6</v>
      </c>
      <c r="J572" s="35" t="s">
        <v>793</v>
      </c>
      <c r="K572" s="153">
        <v>43510</v>
      </c>
      <c r="X572" s="6"/>
      <c r="Y572" s="6"/>
      <c r="Z572" s="6"/>
      <c r="AA572" s="129"/>
      <c r="AB572" s="128"/>
      <c r="AC572" s="60"/>
      <c r="AD572" s="167"/>
      <c r="AF572" s="5"/>
      <c r="AG572" s="5"/>
    </row>
    <row r="573" spans="2:33">
      <c r="B573" s="32" t="s">
        <v>38</v>
      </c>
      <c r="C573" s="33" t="s">
        <v>510</v>
      </c>
      <c r="D573" s="36">
        <v>9</v>
      </c>
      <c r="E573" s="154">
        <v>252.75</v>
      </c>
      <c r="F573" s="36">
        <v>2350</v>
      </c>
      <c r="G573" s="34" t="s">
        <v>368</v>
      </c>
      <c r="H573" s="40">
        <v>41443</v>
      </c>
      <c r="I573" s="35">
        <v>83154.75</v>
      </c>
      <c r="J573" s="35" t="s">
        <v>793</v>
      </c>
      <c r="K573" s="153">
        <v>43510</v>
      </c>
      <c r="X573" s="6"/>
      <c r="Y573" s="6"/>
      <c r="Z573" s="6"/>
      <c r="AA573" s="129"/>
      <c r="AB573" s="128"/>
      <c r="AC573" s="60"/>
      <c r="AD573" s="167"/>
      <c r="AF573" s="5"/>
      <c r="AG573" s="5"/>
    </row>
    <row r="574" spans="2:33">
      <c r="B574" s="32" t="s">
        <v>33</v>
      </c>
      <c r="C574" s="33" t="s">
        <v>526</v>
      </c>
      <c r="D574" s="36">
        <v>4</v>
      </c>
      <c r="E574" s="154">
        <v>253.77</v>
      </c>
      <c r="F574" s="36">
        <v>2782</v>
      </c>
      <c r="G574" s="34" t="s">
        <v>1471</v>
      </c>
      <c r="H574" s="40">
        <v>43504</v>
      </c>
      <c r="I574" s="35">
        <v>112800</v>
      </c>
      <c r="J574" s="35" t="s">
        <v>793</v>
      </c>
      <c r="K574" s="153">
        <v>43508</v>
      </c>
      <c r="X574" s="6"/>
      <c r="Y574" s="6"/>
      <c r="Z574" s="6"/>
      <c r="AA574" s="129"/>
      <c r="AB574" s="128"/>
      <c r="AC574" s="60"/>
      <c r="AD574" s="167"/>
      <c r="AF574" s="5"/>
      <c r="AG574" s="5"/>
    </row>
    <row r="575" spans="2:33">
      <c r="B575" s="32" t="s">
        <v>33</v>
      </c>
      <c r="C575" s="33" t="s">
        <v>523</v>
      </c>
      <c r="D575" s="36">
        <v>14</v>
      </c>
      <c r="E575" s="154">
        <v>291.24</v>
      </c>
      <c r="F575" s="36">
        <v>3963</v>
      </c>
      <c r="G575" s="34" t="s">
        <v>347</v>
      </c>
      <c r="H575" s="40">
        <v>41913</v>
      </c>
      <c r="I575" s="35">
        <v>130585.01</v>
      </c>
      <c r="J575" s="35" t="s">
        <v>793</v>
      </c>
      <c r="K575" s="153">
        <v>43510</v>
      </c>
      <c r="X575" s="6"/>
      <c r="Y575" s="6"/>
      <c r="Z575" s="6"/>
      <c r="AA575" s="129"/>
      <c r="AB575" s="128"/>
      <c r="AC575" s="60"/>
      <c r="AD575" s="167"/>
      <c r="AF575" s="5"/>
      <c r="AG575" s="5"/>
    </row>
    <row r="576" spans="2:33">
      <c r="B576" s="32" t="s">
        <v>34</v>
      </c>
      <c r="C576" s="33" t="s">
        <v>507</v>
      </c>
      <c r="D576" s="36">
        <v>14</v>
      </c>
      <c r="E576" s="154">
        <v>263.74</v>
      </c>
      <c r="F576" s="36">
        <v>2511</v>
      </c>
      <c r="G576" s="34" t="s">
        <v>391</v>
      </c>
      <c r="H576" s="40">
        <v>41447</v>
      </c>
      <c r="I576" s="35">
        <v>96687.08</v>
      </c>
      <c r="J576" s="35" t="s">
        <v>793</v>
      </c>
      <c r="K576" s="153">
        <v>43545</v>
      </c>
      <c r="X576" s="6"/>
      <c r="Y576" s="6"/>
      <c r="Z576" s="6"/>
      <c r="AA576" s="129"/>
      <c r="AB576" s="128"/>
      <c r="AC576" s="60"/>
      <c r="AD576" s="167"/>
      <c r="AF576" s="5"/>
      <c r="AG576" s="5"/>
    </row>
    <row r="577" spans="2:33">
      <c r="B577" s="32" t="s">
        <v>878</v>
      </c>
      <c r="C577" s="33" t="s">
        <v>620</v>
      </c>
      <c r="D577" s="36">
        <v>2</v>
      </c>
      <c r="E577" s="154">
        <v>269.45999999999998</v>
      </c>
      <c r="F577" s="36"/>
      <c r="G577" s="34" t="s">
        <v>918</v>
      </c>
      <c r="H577" s="40">
        <v>43497</v>
      </c>
      <c r="I577" s="35">
        <v>116089.92</v>
      </c>
      <c r="J577" s="35" t="s">
        <v>793</v>
      </c>
      <c r="K577" s="153">
        <v>43551</v>
      </c>
      <c r="X577" s="6"/>
      <c r="Y577" s="6"/>
      <c r="Z577" s="6"/>
      <c r="AA577" s="129"/>
      <c r="AB577" s="128"/>
      <c r="AC577" s="60"/>
      <c r="AD577" s="167"/>
      <c r="AF577" s="5"/>
      <c r="AG577" s="5"/>
    </row>
    <row r="578" spans="2:33">
      <c r="B578" s="32" t="s">
        <v>612</v>
      </c>
      <c r="C578" s="33" t="s">
        <v>615</v>
      </c>
      <c r="D578" s="36">
        <v>12</v>
      </c>
      <c r="E578" s="154">
        <v>264.81</v>
      </c>
      <c r="F578" s="36" t="s">
        <v>941</v>
      </c>
      <c r="G578" s="34" t="s">
        <v>942</v>
      </c>
      <c r="H578" s="40">
        <v>43525</v>
      </c>
      <c r="I578" s="35">
        <v>74676.42</v>
      </c>
      <c r="J578" s="35" t="s">
        <v>793</v>
      </c>
      <c r="K578" s="153">
        <v>43531</v>
      </c>
      <c r="X578" s="6"/>
      <c r="Y578" s="6"/>
      <c r="Z578" s="6"/>
      <c r="AA578" s="129"/>
      <c r="AB578" s="128"/>
      <c r="AC578" s="60"/>
      <c r="AD578" s="167"/>
      <c r="AF578" s="5"/>
      <c r="AG578" s="5"/>
    </row>
    <row r="579" spans="2:33">
      <c r="B579" s="32" t="s">
        <v>34</v>
      </c>
      <c r="C579" s="33" t="s">
        <v>507</v>
      </c>
      <c r="D579" s="36">
        <v>1</v>
      </c>
      <c r="E579" s="154">
        <v>366.39</v>
      </c>
      <c r="F579" s="36">
        <v>2595</v>
      </c>
      <c r="G579" s="34" t="s">
        <v>77</v>
      </c>
      <c r="H579" s="40">
        <v>41442</v>
      </c>
      <c r="I579" s="35">
        <v>130874.51</v>
      </c>
      <c r="J579" s="35" t="s">
        <v>793</v>
      </c>
      <c r="K579" s="153">
        <v>43564</v>
      </c>
      <c r="X579" s="6"/>
      <c r="Y579" s="6"/>
      <c r="Z579" s="6"/>
      <c r="AA579" s="129"/>
      <c r="AB579" s="128"/>
      <c r="AC579" s="60"/>
      <c r="AD579" s="167"/>
      <c r="AF579" s="5"/>
      <c r="AG579" s="5"/>
    </row>
    <row r="580" spans="2:33">
      <c r="B580" s="32" t="s">
        <v>35</v>
      </c>
      <c r="C580" s="33" t="s">
        <v>513</v>
      </c>
      <c r="D580" s="36">
        <v>5</v>
      </c>
      <c r="E580" s="154">
        <v>269.7</v>
      </c>
      <c r="F580" s="36">
        <v>2737</v>
      </c>
      <c r="G580" s="34" t="s">
        <v>66</v>
      </c>
      <c r="H580" s="40">
        <v>41486</v>
      </c>
      <c r="I580" s="35">
        <v>98402.02</v>
      </c>
      <c r="J580" s="35" t="s">
        <v>793</v>
      </c>
      <c r="K580" s="153">
        <v>43570</v>
      </c>
      <c r="X580" s="6"/>
      <c r="Y580" s="6"/>
      <c r="Z580" s="6"/>
      <c r="AA580" s="129"/>
      <c r="AB580" s="128"/>
      <c r="AC580" s="60"/>
      <c r="AD580" s="167"/>
      <c r="AF580" s="5"/>
      <c r="AG580" s="5"/>
    </row>
    <row r="581" spans="2:33">
      <c r="B581" s="32" t="s">
        <v>612</v>
      </c>
      <c r="C581" s="33" t="s">
        <v>615</v>
      </c>
      <c r="D581" s="36">
        <v>13</v>
      </c>
      <c r="E581" s="154">
        <v>264.81</v>
      </c>
      <c r="F581" s="36">
        <v>7091</v>
      </c>
      <c r="G581" s="34" t="s">
        <v>303</v>
      </c>
      <c r="H581" s="40">
        <v>43558</v>
      </c>
      <c r="I581" s="35">
        <v>79500.63</v>
      </c>
      <c r="J581" s="35" t="s">
        <v>793</v>
      </c>
      <c r="K581" s="153">
        <v>43568</v>
      </c>
      <c r="X581" s="6"/>
      <c r="Y581" s="6"/>
      <c r="Z581" s="6"/>
      <c r="AA581" s="128"/>
      <c r="AB581" s="60"/>
      <c r="AC581" s="167"/>
      <c r="AD581" s="167"/>
      <c r="AE581" s="232"/>
      <c r="AF581" s="5"/>
      <c r="AG581" s="5"/>
    </row>
    <row r="582" spans="2:33">
      <c r="B582" s="32" t="s">
        <v>35</v>
      </c>
      <c r="C582" s="33" t="s">
        <v>515</v>
      </c>
      <c r="D582" s="36">
        <v>9</v>
      </c>
      <c r="E582" s="154">
        <v>262.25</v>
      </c>
      <c r="F582" s="36">
        <v>2322</v>
      </c>
      <c r="G582" s="34" t="s">
        <v>148</v>
      </c>
      <c r="H582" s="40">
        <v>41441</v>
      </c>
      <c r="I582" s="35">
        <v>96140.85</v>
      </c>
      <c r="J582" s="35" t="s">
        <v>793</v>
      </c>
      <c r="K582" s="153">
        <v>43585</v>
      </c>
      <c r="X582" s="6"/>
      <c r="Y582" s="6"/>
      <c r="Z582" s="6"/>
      <c r="AA582" s="128"/>
      <c r="AB582" s="60"/>
      <c r="AC582" s="167"/>
      <c r="AD582" s="167"/>
      <c r="AE582" s="232"/>
      <c r="AF582" s="5"/>
      <c r="AG582" s="5"/>
    </row>
    <row r="583" spans="2:33">
      <c r="B583" s="32" t="s">
        <v>33</v>
      </c>
      <c r="C583" s="33" t="s">
        <v>530</v>
      </c>
      <c r="D583" s="36">
        <v>40</v>
      </c>
      <c r="E583" s="154">
        <v>254.5</v>
      </c>
      <c r="F583" s="36">
        <v>3729</v>
      </c>
      <c r="G583" s="34" t="s">
        <v>65</v>
      </c>
      <c r="H583" s="40">
        <v>41767</v>
      </c>
      <c r="I583" s="35">
        <v>103643.12</v>
      </c>
      <c r="J583" s="35" t="s">
        <v>793</v>
      </c>
      <c r="K583" s="153">
        <v>43595</v>
      </c>
      <c r="X583" s="6"/>
      <c r="Y583" s="6"/>
      <c r="Z583" s="6"/>
      <c r="AA583" s="128"/>
      <c r="AB583" s="60"/>
      <c r="AC583" s="167"/>
      <c r="AD583" s="167"/>
      <c r="AE583" s="232"/>
      <c r="AF583" s="5"/>
      <c r="AG583" s="5"/>
    </row>
    <row r="584" spans="2:33">
      <c r="B584" s="32" t="s">
        <v>36</v>
      </c>
      <c r="C584" s="33" t="s">
        <v>521</v>
      </c>
      <c r="D584" s="36">
        <v>29</v>
      </c>
      <c r="E584" s="154">
        <v>250.75</v>
      </c>
      <c r="F584" s="36">
        <v>3732</v>
      </c>
      <c r="G584" s="34" t="s">
        <v>186</v>
      </c>
      <c r="H584" s="40">
        <v>41765</v>
      </c>
      <c r="I584" s="35">
        <v>92120</v>
      </c>
      <c r="J584" s="35" t="s">
        <v>793</v>
      </c>
      <c r="K584" s="153">
        <v>43595</v>
      </c>
      <c r="X584" s="6"/>
      <c r="Y584" s="6"/>
      <c r="Z584" s="6"/>
      <c r="AA584" s="128"/>
      <c r="AB584" s="60"/>
      <c r="AC584" s="167"/>
      <c r="AD584" s="167"/>
      <c r="AE584" s="232"/>
      <c r="AF584" s="5"/>
      <c r="AG584" s="5"/>
    </row>
    <row r="585" spans="2:33">
      <c r="B585" s="32" t="s">
        <v>36</v>
      </c>
      <c r="C585" s="33" t="s">
        <v>521</v>
      </c>
      <c r="D585" s="36">
        <v>30</v>
      </c>
      <c r="E585" s="154">
        <v>279.54000000000002</v>
      </c>
      <c r="F585" s="36">
        <v>3733</v>
      </c>
      <c r="G585" s="34" t="s">
        <v>186</v>
      </c>
      <c r="H585" s="40">
        <v>41765</v>
      </c>
      <c r="I585" s="35">
        <v>102460</v>
      </c>
      <c r="J585" s="35" t="s">
        <v>793</v>
      </c>
      <c r="K585" s="153">
        <v>43595</v>
      </c>
      <c r="X585" s="6"/>
      <c r="Y585" s="6"/>
      <c r="Z585" s="6"/>
      <c r="AA585" s="128"/>
      <c r="AB585" s="60"/>
      <c r="AC585" s="167"/>
      <c r="AD585" s="167"/>
      <c r="AE585" s="232"/>
      <c r="AF585" s="5"/>
      <c r="AG585" s="5"/>
    </row>
    <row r="586" spans="2:33">
      <c r="B586" s="32" t="s">
        <v>35</v>
      </c>
      <c r="C586" s="33" t="s">
        <v>513</v>
      </c>
      <c r="D586" s="36">
        <v>21</v>
      </c>
      <c r="E586" s="154">
        <v>257.86</v>
      </c>
      <c r="F586" s="36">
        <v>2471</v>
      </c>
      <c r="G586" s="34" t="s">
        <v>96</v>
      </c>
      <c r="H586" s="40">
        <v>41449</v>
      </c>
      <c r="I586" s="35">
        <v>99379.24</v>
      </c>
      <c r="J586" s="35" t="s">
        <v>793</v>
      </c>
      <c r="K586" s="153">
        <v>43615</v>
      </c>
      <c r="X586" s="6"/>
      <c r="Y586" s="6"/>
      <c r="Z586" s="6"/>
      <c r="AA586" s="128"/>
      <c r="AB586" s="60"/>
      <c r="AC586" s="167"/>
      <c r="AD586" s="167"/>
      <c r="AE586" s="232"/>
      <c r="AF586" s="5"/>
      <c r="AG586" s="5"/>
    </row>
    <row r="587" spans="2:33">
      <c r="B587" s="32" t="s">
        <v>38</v>
      </c>
      <c r="C587" s="33" t="s">
        <v>512</v>
      </c>
      <c r="D587" s="36">
        <v>11</v>
      </c>
      <c r="E587" s="154">
        <v>255.81</v>
      </c>
      <c r="F587" s="36" t="s">
        <v>972</v>
      </c>
      <c r="G587" s="34" t="s">
        <v>118</v>
      </c>
      <c r="H587" s="40">
        <v>43587</v>
      </c>
      <c r="I587" s="35">
        <v>75200</v>
      </c>
      <c r="J587" s="35" t="s">
        <v>793</v>
      </c>
      <c r="K587" s="153">
        <v>43587</v>
      </c>
      <c r="X587" s="6"/>
      <c r="Y587" s="6"/>
      <c r="Z587" s="6"/>
      <c r="AA587" s="128"/>
      <c r="AB587" s="60"/>
      <c r="AC587" s="167"/>
      <c r="AD587" s="167"/>
      <c r="AE587" s="232"/>
      <c r="AF587" s="5"/>
      <c r="AG587" s="5"/>
    </row>
    <row r="588" spans="2:33">
      <c r="B588" s="32" t="s">
        <v>34</v>
      </c>
      <c r="C588" s="33" t="s">
        <v>506</v>
      </c>
      <c r="D588" s="36">
        <v>15</v>
      </c>
      <c r="E588" s="154">
        <v>258.7</v>
      </c>
      <c r="F588" s="36">
        <v>2469</v>
      </c>
      <c r="G588" s="34" t="s">
        <v>294</v>
      </c>
      <c r="H588" s="40">
        <v>41433</v>
      </c>
      <c r="I588" s="35">
        <v>94839.42</v>
      </c>
      <c r="J588" s="35" t="s">
        <v>793</v>
      </c>
      <c r="K588" s="153">
        <v>43628</v>
      </c>
      <c r="X588" s="6"/>
      <c r="Y588" s="6"/>
      <c r="Z588" s="6"/>
      <c r="AA588" s="128"/>
      <c r="AB588" s="60"/>
      <c r="AC588" s="167"/>
      <c r="AD588" s="167"/>
      <c r="AE588" s="232"/>
      <c r="AF588" s="5"/>
      <c r="AG588" s="5"/>
    </row>
    <row r="589" spans="2:33">
      <c r="B589" s="32" t="s">
        <v>34</v>
      </c>
      <c r="C589" s="33" t="s">
        <v>506</v>
      </c>
      <c r="D589" s="36">
        <v>22</v>
      </c>
      <c r="E589" s="154">
        <v>266.81</v>
      </c>
      <c r="F589" s="36">
        <v>6625</v>
      </c>
      <c r="G589" s="34" t="s">
        <v>806</v>
      </c>
      <c r="H589" s="40">
        <v>43348</v>
      </c>
      <c r="I589" s="35">
        <v>161824.03</v>
      </c>
      <c r="J589" s="35" t="s">
        <v>793</v>
      </c>
      <c r="K589" s="153">
        <v>43617</v>
      </c>
      <c r="X589" s="6"/>
      <c r="Y589" s="6"/>
      <c r="Z589" s="6"/>
      <c r="AA589" s="128"/>
      <c r="AB589" s="60"/>
      <c r="AC589" s="167"/>
      <c r="AD589" s="167"/>
      <c r="AE589" s="232"/>
      <c r="AF589" s="5"/>
      <c r="AG589" s="5"/>
    </row>
    <row r="590" spans="2:33">
      <c r="B590" s="32" t="s">
        <v>34</v>
      </c>
      <c r="C590" s="33" t="s">
        <v>509</v>
      </c>
      <c r="D590" s="36">
        <v>3</v>
      </c>
      <c r="E590" s="154">
        <v>251.27</v>
      </c>
      <c r="F590" s="36">
        <v>2807</v>
      </c>
      <c r="G590" s="34" t="s">
        <v>589</v>
      </c>
      <c r="H590" s="40">
        <v>41536</v>
      </c>
      <c r="I590" s="35">
        <v>95422.3</v>
      </c>
      <c r="J590" s="35" t="s">
        <v>793</v>
      </c>
      <c r="K590" s="153">
        <v>43618</v>
      </c>
      <c r="X590" s="6"/>
      <c r="Y590" s="6"/>
      <c r="Z590" s="6"/>
      <c r="AA590" s="128"/>
      <c r="AB590" s="60"/>
      <c r="AC590" s="167"/>
      <c r="AD590" s="167"/>
      <c r="AE590" s="232"/>
      <c r="AF590" s="5"/>
      <c r="AG590" s="5"/>
    </row>
    <row r="591" spans="2:33">
      <c r="B591" s="32" t="s">
        <v>33</v>
      </c>
      <c r="C591" s="33" t="s">
        <v>523</v>
      </c>
      <c r="D591" s="36">
        <v>24</v>
      </c>
      <c r="E591" s="154">
        <v>256.19</v>
      </c>
      <c r="F591" s="36">
        <v>7044</v>
      </c>
      <c r="G591" s="34" t="s">
        <v>307</v>
      </c>
      <c r="H591" s="40">
        <v>43535</v>
      </c>
      <c r="I591" s="35">
        <v>160460.14000000001</v>
      </c>
      <c r="J591" s="35" t="s">
        <v>793</v>
      </c>
      <c r="K591" s="153">
        <v>43619</v>
      </c>
      <c r="X591" s="6"/>
      <c r="Y591" s="6"/>
      <c r="Z591" s="6"/>
      <c r="AA591" s="128"/>
      <c r="AB591" s="60"/>
      <c r="AC591" s="167"/>
      <c r="AD591" s="167"/>
      <c r="AE591" s="232"/>
      <c r="AF591" s="5"/>
      <c r="AG591" s="5"/>
    </row>
    <row r="592" spans="2:33">
      <c r="B592" s="32" t="s">
        <v>33</v>
      </c>
      <c r="C592" s="33" t="s">
        <v>524</v>
      </c>
      <c r="D592" s="36">
        <v>2</v>
      </c>
      <c r="E592" s="154">
        <v>262.42</v>
      </c>
      <c r="F592" s="36">
        <v>5316</v>
      </c>
      <c r="G592" s="34" t="s">
        <v>293</v>
      </c>
      <c r="H592" s="40">
        <v>42658</v>
      </c>
      <c r="I592" s="35">
        <v>124912.96000000001</v>
      </c>
      <c r="J592" s="35" t="s">
        <v>793</v>
      </c>
      <c r="K592" s="153">
        <v>43620</v>
      </c>
      <c r="X592" s="6"/>
      <c r="Y592" s="6"/>
      <c r="Z592" s="6"/>
      <c r="AA592" s="128"/>
      <c r="AB592" s="60"/>
      <c r="AC592" s="167"/>
      <c r="AD592" s="167"/>
      <c r="AE592" s="232"/>
      <c r="AF592" s="5"/>
      <c r="AG592" s="5"/>
    </row>
    <row r="593" spans="2:33">
      <c r="B593" s="32" t="s">
        <v>33</v>
      </c>
      <c r="C593" s="33" t="s">
        <v>524</v>
      </c>
      <c r="D593" s="36">
        <v>14</v>
      </c>
      <c r="E593" s="154">
        <v>277.48</v>
      </c>
      <c r="F593" s="36">
        <v>5066</v>
      </c>
      <c r="G593" s="34" t="s">
        <v>155</v>
      </c>
      <c r="H593" s="40">
        <v>42370</v>
      </c>
      <c r="I593" s="35">
        <v>132500.07999999999</v>
      </c>
      <c r="J593" s="35" t="s">
        <v>793</v>
      </c>
      <c r="K593" s="153">
        <v>43621</v>
      </c>
      <c r="X593" s="6"/>
      <c r="Y593" s="6"/>
      <c r="Z593" s="6"/>
      <c r="AA593" s="128"/>
      <c r="AB593" s="60"/>
      <c r="AC593" s="167"/>
      <c r="AD593" s="167"/>
      <c r="AE593" s="232"/>
      <c r="AF593" s="5"/>
      <c r="AG593" s="5"/>
    </row>
    <row r="594" spans="2:33">
      <c r="B594" s="32" t="s">
        <v>33</v>
      </c>
      <c r="C594" s="33" t="s">
        <v>527</v>
      </c>
      <c r="D594" s="36">
        <v>15</v>
      </c>
      <c r="E594" s="154">
        <v>250.5</v>
      </c>
      <c r="F594" s="36">
        <v>5509</v>
      </c>
      <c r="G594" s="34" t="s">
        <v>279</v>
      </c>
      <c r="H594" s="40">
        <v>42755</v>
      </c>
      <c r="I594" s="35">
        <v>141787</v>
      </c>
      <c r="J594" s="35" t="s">
        <v>793</v>
      </c>
      <c r="K594" s="153">
        <v>43622</v>
      </c>
      <c r="X594" s="6"/>
      <c r="Y594" s="6"/>
      <c r="Z594" s="6"/>
      <c r="AA594" s="128"/>
      <c r="AB594" s="60"/>
      <c r="AC594" s="167"/>
      <c r="AD594" s="167"/>
      <c r="AE594" s="232"/>
      <c r="AF594" s="5"/>
      <c r="AG594" s="5"/>
    </row>
    <row r="595" spans="2:33">
      <c r="B595" s="32" t="s">
        <v>36</v>
      </c>
      <c r="C595" s="33" t="s">
        <v>534</v>
      </c>
      <c r="D595" s="36">
        <v>6</v>
      </c>
      <c r="E595" s="154">
        <v>254</v>
      </c>
      <c r="F595" s="36">
        <v>5723</v>
      </c>
      <c r="G595" s="34" t="s">
        <v>150</v>
      </c>
      <c r="H595" s="40">
        <v>42888</v>
      </c>
      <c r="I595" s="35">
        <v>145060.88</v>
      </c>
      <c r="J595" s="35" t="s">
        <v>793</v>
      </c>
      <c r="K595" s="153">
        <v>43623</v>
      </c>
      <c r="X595" s="6"/>
      <c r="Y595" s="6"/>
      <c r="Z595" s="6"/>
      <c r="AA595" s="128"/>
      <c r="AB595" s="60"/>
      <c r="AC595" s="167"/>
      <c r="AD595" s="167"/>
      <c r="AE595" s="232"/>
      <c r="AF595" s="5"/>
      <c r="AG595" s="5"/>
    </row>
    <row r="596" spans="2:33">
      <c r="B596" s="32" t="s">
        <v>35</v>
      </c>
      <c r="C596" s="33" t="s">
        <v>513</v>
      </c>
      <c r="D596" s="36">
        <v>30</v>
      </c>
      <c r="E596" s="154">
        <v>273.55</v>
      </c>
      <c r="F596" s="36">
        <v>2368</v>
      </c>
      <c r="G596" s="34" t="s">
        <v>297</v>
      </c>
      <c r="H596" s="40">
        <v>41439</v>
      </c>
      <c r="I596" s="35">
        <v>100283.43</v>
      </c>
      <c r="J596" s="35" t="s">
        <v>793</v>
      </c>
      <c r="K596" s="153">
        <v>43624</v>
      </c>
      <c r="X596" s="6"/>
      <c r="Y596" s="6"/>
      <c r="Z596" s="6"/>
      <c r="AA596" s="128"/>
      <c r="AB596" s="60"/>
      <c r="AC596" s="167"/>
      <c r="AD596" s="167"/>
      <c r="AE596" s="232"/>
      <c r="AF596" s="5"/>
      <c r="AG596" s="5"/>
    </row>
    <row r="597" spans="2:33">
      <c r="B597" s="32" t="s">
        <v>35</v>
      </c>
      <c r="C597" s="33" t="s">
        <v>513</v>
      </c>
      <c r="D597" s="36">
        <v>39</v>
      </c>
      <c r="E597" s="154">
        <v>258.7</v>
      </c>
      <c r="F597" s="36">
        <v>2442</v>
      </c>
      <c r="G597" s="34" t="s">
        <v>267</v>
      </c>
      <c r="H597" s="40">
        <v>41448</v>
      </c>
      <c r="I597" s="35">
        <v>94839.42</v>
      </c>
      <c r="J597" s="35" t="s">
        <v>793</v>
      </c>
      <c r="K597" s="153">
        <v>43625</v>
      </c>
      <c r="X597" s="6"/>
      <c r="Y597" s="6"/>
      <c r="Z597" s="6"/>
      <c r="AA597" s="128"/>
      <c r="AB597" s="60"/>
      <c r="AC597" s="167"/>
      <c r="AD597" s="167"/>
      <c r="AE597" s="232"/>
      <c r="AF597" s="5"/>
      <c r="AG597" s="5"/>
    </row>
    <row r="598" spans="2:33">
      <c r="B598" s="32" t="s">
        <v>35</v>
      </c>
      <c r="C598" s="33" t="s">
        <v>518</v>
      </c>
      <c r="D598" s="36">
        <v>1</v>
      </c>
      <c r="E598" s="154">
        <v>316.19</v>
      </c>
      <c r="F598" s="36">
        <v>3533</v>
      </c>
      <c r="G598" s="34" t="s">
        <v>333</v>
      </c>
      <c r="H598" s="40">
        <v>41662</v>
      </c>
      <c r="I598" s="35">
        <v>121562.41</v>
      </c>
      <c r="J598" s="35" t="s">
        <v>793</v>
      </c>
      <c r="K598" s="153">
        <v>43626</v>
      </c>
      <c r="X598" s="6"/>
      <c r="Y598" s="6"/>
      <c r="Z598" s="6"/>
      <c r="AA598" s="128"/>
      <c r="AB598" s="60"/>
      <c r="AC598" s="167"/>
      <c r="AD598" s="167"/>
      <c r="AE598" s="232"/>
      <c r="AF598" s="5"/>
      <c r="AG598" s="5"/>
    </row>
    <row r="599" spans="2:33">
      <c r="B599" s="32" t="s">
        <v>34</v>
      </c>
      <c r="C599" s="33" t="s">
        <v>505</v>
      </c>
      <c r="D599" s="36">
        <v>27</v>
      </c>
      <c r="E599" s="154">
        <v>261.70999999999998</v>
      </c>
      <c r="F599" s="36">
        <v>2405</v>
      </c>
      <c r="G599" s="34" t="s">
        <v>164</v>
      </c>
      <c r="H599" s="40">
        <v>41441</v>
      </c>
      <c r="I599" s="35">
        <v>95942.89</v>
      </c>
      <c r="J599" s="35" t="s">
        <v>793</v>
      </c>
      <c r="K599" s="153">
        <v>43670</v>
      </c>
      <c r="X599" s="6"/>
      <c r="Y599" s="6"/>
      <c r="Z599" s="6"/>
      <c r="AA599" s="128"/>
      <c r="AB599" s="60"/>
      <c r="AC599" s="167"/>
      <c r="AD599" s="167"/>
      <c r="AE599" s="232"/>
      <c r="AF599" s="5"/>
      <c r="AG599" s="5"/>
    </row>
    <row r="600" spans="2:33">
      <c r="B600" s="32" t="s">
        <v>34</v>
      </c>
      <c r="C600" s="33" t="s">
        <v>505</v>
      </c>
      <c r="D600" s="36">
        <v>28</v>
      </c>
      <c r="E600" s="154">
        <v>261.70999999999998</v>
      </c>
      <c r="F600" s="36">
        <v>2406</v>
      </c>
      <c r="G600" s="34" t="s">
        <v>164</v>
      </c>
      <c r="H600" s="40">
        <v>41441</v>
      </c>
      <c r="I600" s="35">
        <v>95942.89</v>
      </c>
      <c r="J600" s="35" t="s">
        <v>793</v>
      </c>
      <c r="K600" s="153">
        <v>43670</v>
      </c>
      <c r="X600" s="6"/>
      <c r="Y600" s="6"/>
      <c r="Z600" s="6"/>
      <c r="AA600" s="128"/>
      <c r="AB600" s="60"/>
      <c r="AC600" s="167"/>
      <c r="AD600" s="167"/>
      <c r="AE600" s="232"/>
      <c r="AF600" s="5"/>
      <c r="AG600" s="5"/>
    </row>
    <row r="601" spans="2:33">
      <c r="B601" s="32" t="s">
        <v>33</v>
      </c>
      <c r="C601" s="33" t="s">
        <v>525</v>
      </c>
      <c r="D601" s="36">
        <v>18</v>
      </c>
      <c r="E601" s="154">
        <v>272.5</v>
      </c>
      <c r="F601" s="36">
        <v>4664</v>
      </c>
      <c r="G601" s="34" t="s">
        <v>109</v>
      </c>
      <c r="H601" s="40">
        <v>42108</v>
      </c>
      <c r="I601" s="35">
        <v>134260.29999999999</v>
      </c>
      <c r="J601" s="35" t="s">
        <v>793</v>
      </c>
      <c r="K601" s="153">
        <v>43664</v>
      </c>
      <c r="X601" s="6"/>
      <c r="Y601" s="6"/>
      <c r="Z601" s="6"/>
      <c r="AA601" s="128"/>
      <c r="AB601" s="60"/>
      <c r="AC601" s="167"/>
      <c r="AD601" s="167"/>
      <c r="AE601" s="232"/>
      <c r="AF601" s="5"/>
      <c r="AG601" s="5"/>
    </row>
    <row r="602" spans="2:33">
      <c r="B602" s="32" t="s">
        <v>35</v>
      </c>
      <c r="C602" s="33" t="s">
        <v>513</v>
      </c>
      <c r="D602" s="36">
        <v>3</v>
      </c>
      <c r="E602" s="154">
        <v>269.7</v>
      </c>
      <c r="F602" s="36">
        <v>2396</v>
      </c>
      <c r="G602" s="34" t="s">
        <v>276</v>
      </c>
      <c r="H602" s="40">
        <v>41439</v>
      </c>
      <c r="I602" s="35">
        <v>98872.02</v>
      </c>
      <c r="J602" s="35" t="s">
        <v>793</v>
      </c>
      <c r="K602" s="153">
        <v>43668</v>
      </c>
      <c r="X602" s="6"/>
      <c r="Y602" s="6"/>
      <c r="Z602" s="6"/>
      <c r="AA602" s="128"/>
      <c r="AB602" s="60"/>
      <c r="AC602" s="167"/>
      <c r="AD602" s="167"/>
      <c r="AE602" s="232"/>
      <c r="AF602" s="5"/>
      <c r="AG602" s="5"/>
    </row>
    <row r="603" spans="2:33">
      <c r="B603" s="32" t="s">
        <v>35</v>
      </c>
      <c r="C603" s="33" t="s">
        <v>519</v>
      </c>
      <c r="D603" s="36">
        <v>7</v>
      </c>
      <c r="E603" s="154">
        <v>257.33</v>
      </c>
      <c r="F603" s="36">
        <v>3532</v>
      </c>
      <c r="G603" s="34" t="s">
        <v>447</v>
      </c>
      <c r="H603" s="40">
        <v>41649</v>
      </c>
      <c r="I603" s="35">
        <v>96514.19</v>
      </c>
      <c r="J603" s="35" t="s">
        <v>793</v>
      </c>
      <c r="K603" s="153">
        <v>43665</v>
      </c>
      <c r="X603" s="6"/>
      <c r="Y603" s="6"/>
      <c r="Z603" s="6"/>
      <c r="AA603" s="128"/>
      <c r="AB603" s="60"/>
      <c r="AC603" s="167"/>
      <c r="AD603" s="167"/>
      <c r="AE603" s="232"/>
      <c r="AF603" s="5"/>
      <c r="AG603" s="5"/>
    </row>
    <row r="604" spans="2:33">
      <c r="B604" s="32" t="s">
        <v>36</v>
      </c>
      <c r="C604" s="33" t="s">
        <v>522</v>
      </c>
      <c r="D604" s="36">
        <v>4</v>
      </c>
      <c r="E604" s="154">
        <v>257.75</v>
      </c>
      <c r="F604" s="36">
        <v>4110</v>
      </c>
      <c r="G604" s="34" t="s">
        <v>179</v>
      </c>
      <c r="H604" s="40">
        <v>41944</v>
      </c>
      <c r="I604" s="35">
        <v>113487</v>
      </c>
      <c r="J604" s="35" t="s">
        <v>793</v>
      </c>
      <c r="K604" s="153">
        <v>43665</v>
      </c>
      <c r="X604" s="6"/>
      <c r="Y604" s="6"/>
      <c r="Z604" s="6"/>
      <c r="AA604" s="128"/>
      <c r="AB604" s="60"/>
      <c r="AC604" s="167"/>
      <c r="AD604" s="167"/>
      <c r="AE604" s="232"/>
      <c r="AF604" s="5"/>
      <c r="AG604" s="5"/>
    </row>
    <row r="605" spans="2:33">
      <c r="B605" s="32" t="s">
        <v>38</v>
      </c>
      <c r="C605" s="33" t="s">
        <v>511</v>
      </c>
      <c r="D605" s="36">
        <v>13</v>
      </c>
      <c r="E605" s="154">
        <v>253</v>
      </c>
      <c r="F605" s="36">
        <v>2428</v>
      </c>
      <c r="G605" s="34" t="s">
        <v>450</v>
      </c>
      <c r="H605" s="40">
        <v>41452</v>
      </c>
      <c r="I605" s="35">
        <v>73724.2</v>
      </c>
      <c r="J605" s="35" t="s">
        <v>793</v>
      </c>
      <c r="K605" s="153">
        <v>43685</v>
      </c>
      <c r="X605" s="6"/>
      <c r="Y605" s="6"/>
      <c r="Z605" s="6"/>
      <c r="AA605" s="128"/>
      <c r="AB605" s="60"/>
      <c r="AC605" s="167"/>
      <c r="AD605" s="167"/>
      <c r="AE605" s="232"/>
      <c r="AF605" s="5"/>
      <c r="AG605" s="5"/>
    </row>
    <row r="606" spans="2:33">
      <c r="B606" s="32" t="s">
        <v>35</v>
      </c>
      <c r="C606" s="33" t="s">
        <v>518</v>
      </c>
      <c r="D606" s="36">
        <v>10</v>
      </c>
      <c r="E606" s="154">
        <v>267.12</v>
      </c>
      <c r="F606" s="36"/>
      <c r="G606" s="34" t="s">
        <v>978</v>
      </c>
      <c r="H606" s="40">
        <v>43635</v>
      </c>
      <c r="I606" s="35">
        <v>122200</v>
      </c>
      <c r="J606" s="35" t="s">
        <v>793</v>
      </c>
      <c r="K606" s="153">
        <v>43691</v>
      </c>
      <c r="X606" s="6"/>
      <c r="Y606" s="6"/>
      <c r="Z606" s="6"/>
      <c r="AA606" s="128"/>
      <c r="AB606" s="60"/>
      <c r="AC606" s="167"/>
      <c r="AD606" s="167"/>
      <c r="AE606" s="232"/>
      <c r="AF606" s="5"/>
      <c r="AG606" s="5"/>
    </row>
    <row r="607" spans="2:33">
      <c r="B607" s="32" t="s">
        <v>35</v>
      </c>
      <c r="C607" s="33" t="s">
        <v>519</v>
      </c>
      <c r="D607" s="36">
        <v>26</v>
      </c>
      <c r="E607" s="154">
        <v>277.92</v>
      </c>
      <c r="F607" s="36">
        <v>3562</v>
      </c>
      <c r="G607" s="34" t="s">
        <v>73</v>
      </c>
      <c r="H607" s="40">
        <v>41684</v>
      </c>
      <c r="I607" s="35">
        <v>104236.12</v>
      </c>
      <c r="J607" s="35" t="s">
        <v>793</v>
      </c>
      <c r="K607" s="153">
        <v>43707</v>
      </c>
      <c r="X607" s="6"/>
      <c r="Y607" s="6"/>
      <c r="Z607" s="6"/>
      <c r="AA607" s="128"/>
      <c r="AB607" s="60"/>
      <c r="AC607" s="167"/>
      <c r="AD607" s="167"/>
      <c r="AE607" s="232"/>
      <c r="AF607" s="5"/>
      <c r="AG607" s="5"/>
    </row>
    <row r="608" spans="2:33">
      <c r="B608" s="32" t="s">
        <v>35</v>
      </c>
      <c r="C608" s="33" t="s">
        <v>518</v>
      </c>
      <c r="D608" s="36">
        <v>21</v>
      </c>
      <c r="E608" s="154">
        <v>260.95999999999998</v>
      </c>
      <c r="F608" s="36">
        <v>5810</v>
      </c>
      <c r="G608" s="34" t="s">
        <v>312</v>
      </c>
      <c r="H608" s="40">
        <v>42978</v>
      </c>
      <c r="I608" s="35">
        <v>141000</v>
      </c>
      <c r="J608" s="35" t="s">
        <v>793</v>
      </c>
      <c r="K608" s="153">
        <v>43709</v>
      </c>
      <c r="X608" s="6"/>
      <c r="Y608" s="6"/>
      <c r="Z608" s="6"/>
      <c r="AA608" s="128"/>
      <c r="AB608" s="60"/>
      <c r="AC608" s="167"/>
      <c r="AD608" s="167"/>
      <c r="AE608" s="232"/>
      <c r="AF608" s="5"/>
      <c r="AG608" s="5"/>
    </row>
    <row r="609" spans="2:33">
      <c r="B609" s="32" t="s">
        <v>33</v>
      </c>
      <c r="C609" s="33" t="s">
        <v>527</v>
      </c>
      <c r="D609" s="36">
        <v>30</v>
      </c>
      <c r="E609" s="154">
        <v>256.75</v>
      </c>
      <c r="F609" s="36">
        <v>5270</v>
      </c>
      <c r="G609" s="34" t="s">
        <v>145</v>
      </c>
      <c r="H609" s="40">
        <v>42594</v>
      </c>
      <c r="I609" s="35">
        <v>146347.56</v>
      </c>
      <c r="J609" s="35" t="s">
        <v>793</v>
      </c>
      <c r="K609" s="153">
        <v>43709</v>
      </c>
      <c r="X609" s="6"/>
      <c r="Y609" s="6"/>
      <c r="Z609" s="6"/>
      <c r="AA609" s="128"/>
      <c r="AB609" s="60"/>
      <c r="AC609" s="167"/>
      <c r="AD609" s="167"/>
      <c r="AE609" s="232"/>
      <c r="AF609" s="5"/>
      <c r="AG609" s="5"/>
    </row>
    <row r="610" spans="2:33">
      <c r="B610" s="32" t="s">
        <v>33</v>
      </c>
      <c r="C610" s="33" t="s">
        <v>528</v>
      </c>
      <c r="D610" s="36">
        <v>28</v>
      </c>
      <c r="E610" s="154"/>
      <c r="F610" s="36"/>
      <c r="G610" s="34" t="s">
        <v>1057</v>
      </c>
      <c r="H610" s="40">
        <v>43713</v>
      </c>
      <c r="I610" s="35">
        <v>112800</v>
      </c>
      <c r="J610" s="35" t="s">
        <v>793</v>
      </c>
      <c r="K610" s="153">
        <v>43709</v>
      </c>
      <c r="X610" s="6"/>
      <c r="Y610" s="6"/>
      <c r="Z610" s="6"/>
      <c r="AA610" s="128"/>
      <c r="AB610" s="60"/>
      <c r="AC610" s="167"/>
      <c r="AD610" s="167"/>
      <c r="AE610" s="232"/>
      <c r="AF610" s="5"/>
      <c r="AG610" s="5"/>
    </row>
    <row r="611" spans="2:33">
      <c r="B611" s="32" t="s">
        <v>33</v>
      </c>
      <c r="C611" s="33" t="s">
        <v>530</v>
      </c>
      <c r="D611" s="36">
        <v>28</v>
      </c>
      <c r="E611" s="154">
        <v>254.5</v>
      </c>
      <c r="F611" s="36">
        <v>3651</v>
      </c>
      <c r="G611" s="34" t="s">
        <v>384</v>
      </c>
      <c r="H611" s="40">
        <v>41730</v>
      </c>
      <c r="I611" s="35">
        <v>103643.22</v>
      </c>
      <c r="J611" s="35" t="s">
        <v>793</v>
      </c>
      <c r="K611" s="153">
        <v>43709</v>
      </c>
      <c r="X611" s="6"/>
      <c r="Y611" s="6"/>
      <c r="Z611" s="6"/>
      <c r="AA611" s="128"/>
      <c r="AB611" s="60"/>
      <c r="AC611" s="167"/>
      <c r="AD611" s="167"/>
      <c r="AE611" s="232"/>
      <c r="AF611" s="5"/>
      <c r="AG611" s="5"/>
    </row>
    <row r="612" spans="2:33">
      <c r="B612" s="32" t="s">
        <v>36</v>
      </c>
      <c r="C612" s="33" t="s">
        <v>521</v>
      </c>
      <c r="D612" s="36">
        <v>18</v>
      </c>
      <c r="E612" s="154">
        <v>250.75</v>
      </c>
      <c r="F612" s="36">
        <v>4408</v>
      </c>
      <c r="G612" s="34" t="s">
        <v>485</v>
      </c>
      <c r="H612" s="40">
        <v>42036</v>
      </c>
      <c r="I612" s="35">
        <v>114900</v>
      </c>
      <c r="J612" s="35" t="s">
        <v>793</v>
      </c>
      <c r="K612" s="153">
        <v>43756</v>
      </c>
      <c r="X612" s="6"/>
      <c r="Y612" s="6"/>
      <c r="Z612" s="6"/>
      <c r="AA612" s="128"/>
      <c r="AB612" s="60"/>
      <c r="AC612" s="167"/>
      <c r="AD612" s="167"/>
      <c r="AE612" s="232"/>
      <c r="AF612" s="5"/>
      <c r="AG612" s="5"/>
    </row>
    <row r="613" spans="2:33">
      <c r="B613" s="32" t="s">
        <v>33</v>
      </c>
      <c r="C613" s="33" t="s">
        <v>528</v>
      </c>
      <c r="D613" s="36">
        <v>4</v>
      </c>
      <c r="E613" s="154">
        <v>251.75</v>
      </c>
      <c r="F613" s="36">
        <v>6339</v>
      </c>
      <c r="G613" s="34" t="s">
        <v>630</v>
      </c>
      <c r="H613" s="40">
        <v>43221</v>
      </c>
      <c r="I613" s="35">
        <v>146835.36000000002</v>
      </c>
      <c r="J613" s="35" t="s">
        <v>793</v>
      </c>
      <c r="K613" s="153">
        <v>43769</v>
      </c>
      <c r="X613" s="6"/>
      <c r="Y613" s="6"/>
      <c r="Z613" s="6"/>
      <c r="AA613" s="128"/>
      <c r="AB613" s="60"/>
      <c r="AC613" s="167"/>
      <c r="AD613" s="167"/>
      <c r="AE613" s="232"/>
      <c r="AF613" s="5"/>
      <c r="AG613" s="5"/>
    </row>
    <row r="614" spans="2:33">
      <c r="B614" s="32" t="s">
        <v>37</v>
      </c>
      <c r="C614" s="33" t="s">
        <v>503</v>
      </c>
      <c r="D614" s="36">
        <v>6</v>
      </c>
      <c r="E614" s="154">
        <v>262.63</v>
      </c>
      <c r="F614" s="36">
        <v>3549</v>
      </c>
      <c r="G614" s="34" t="s">
        <v>278</v>
      </c>
      <c r="H614" s="40">
        <v>41673</v>
      </c>
      <c r="I614" s="35">
        <v>103686.33</v>
      </c>
      <c r="J614" s="35" t="s">
        <v>793</v>
      </c>
      <c r="K614" s="153">
        <v>43774</v>
      </c>
      <c r="X614" s="6"/>
      <c r="Y614" s="6"/>
      <c r="Z614" s="6"/>
      <c r="AA614" s="128"/>
      <c r="AB614" s="60"/>
      <c r="AC614" s="167"/>
      <c r="AD614" s="167"/>
      <c r="AE614" s="232"/>
      <c r="AF614" s="5"/>
      <c r="AG614" s="5"/>
    </row>
    <row r="615" spans="2:33">
      <c r="B615" s="32" t="s">
        <v>34</v>
      </c>
      <c r="C615" s="33" t="s">
        <v>508</v>
      </c>
      <c r="D615" s="36">
        <v>16</v>
      </c>
      <c r="E615" s="154">
        <v>291.11</v>
      </c>
      <c r="F615" s="36">
        <v>4665</v>
      </c>
      <c r="G615" s="34" t="s">
        <v>326</v>
      </c>
      <c r="H615" s="40">
        <v>42111</v>
      </c>
      <c r="I615" s="35">
        <v>151000.4</v>
      </c>
      <c r="J615" s="35" t="s">
        <v>793</v>
      </c>
      <c r="K615" s="153">
        <v>43789</v>
      </c>
      <c r="X615" s="6"/>
      <c r="Y615" s="6"/>
      <c r="Z615" s="6"/>
      <c r="AA615" s="128"/>
      <c r="AB615" s="60"/>
      <c r="AC615" s="167"/>
      <c r="AD615" s="167"/>
      <c r="AE615" s="232"/>
      <c r="AF615" s="5"/>
      <c r="AG615" s="5"/>
    </row>
    <row r="616" spans="2:33">
      <c r="B616" s="32" t="s">
        <v>33</v>
      </c>
      <c r="C616" s="33" t="s">
        <v>529</v>
      </c>
      <c r="D616" s="36">
        <v>7</v>
      </c>
      <c r="E616" s="154">
        <v>257</v>
      </c>
      <c r="F616" s="36">
        <v>5328</v>
      </c>
      <c r="G616" s="34" t="s">
        <v>388</v>
      </c>
      <c r="H616" s="40">
        <v>42663</v>
      </c>
      <c r="I616" s="35">
        <v>146489.92000000001</v>
      </c>
      <c r="J616" s="35" t="s">
        <v>793</v>
      </c>
      <c r="K616" s="153">
        <v>43774</v>
      </c>
      <c r="X616" s="6"/>
      <c r="Y616" s="6"/>
      <c r="Z616" s="6"/>
      <c r="AA616" s="128"/>
      <c r="AB616" s="60"/>
      <c r="AC616" s="167"/>
      <c r="AD616" s="167"/>
      <c r="AE616" s="232"/>
      <c r="AF616" s="5"/>
      <c r="AG616" s="5"/>
    </row>
    <row r="617" spans="2:33">
      <c r="B617" s="32" t="s">
        <v>33</v>
      </c>
      <c r="C617" s="33" t="s">
        <v>530</v>
      </c>
      <c r="D617" s="36">
        <v>32</v>
      </c>
      <c r="E617" s="154">
        <v>254.5</v>
      </c>
      <c r="F617" s="36">
        <v>3635</v>
      </c>
      <c r="G617" s="34" t="s">
        <v>199</v>
      </c>
      <c r="H617" s="40">
        <v>41730</v>
      </c>
      <c r="I617" s="35">
        <v>103642.54</v>
      </c>
      <c r="J617" s="35" t="s">
        <v>793</v>
      </c>
      <c r="K617" s="153">
        <v>43773</v>
      </c>
      <c r="X617" s="6"/>
      <c r="Y617" s="6"/>
      <c r="Z617" s="6"/>
      <c r="AA617" s="128"/>
      <c r="AB617" s="60"/>
      <c r="AC617" s="167"/>
      <c r="AD617" s="167"/>
      <c r="AE617" s="232"/>
      <c r="AF617" s="5"/>
      <c r="AG617" s="5"/>
    </row>
    <row r="618" spans="2:33">
      <c r="B618" s="32" t="s">
        <v>35</v>
      </c>
      <c r="C618" s="33" t="s">
        <v>517</v>
      </c>
      <c r="D618" s="36">
        <v>40</v>
      </c>
      <c r="E618" s="154">
        <v>250.97</v>
      </c>
      <c r="F618" s="36">
        <v>2679</v>
      </c>
      <c r="G618" s="34" t="s">
        <v>438</v>
      </c>
      <c r="H618" s="40">
        <v>41469</v>
      </c>
      <c r="I618" s="35">
        <v>96723.839999999997</v>
      </c>
      <c r="J618" s="35" t="s">
        <v>793</v>
      </c>
      <c r="K618" s="153">
        <v>43787</v>
      </c>
      <c r="X618" s="6"/>
      <c r="Y618" s="6"/>
      <c r="Z618" s="6"/>
      <c r="AA618" s="128"/>
      <c r="AB618" s="60"/>
      <c r="AC618" s="167"/>
      <c r="AD618" s="167"/>
      <c r="AE618" s="232"/>
      <c r="AF618" s="5"/>
      <c r="AG618" s="5"/>
    </row>
    <row r="619" spans="2:33">
      <c r="B619" s="32" t="s">
        <v>34</v>
      </c>
      <c r="C619" s="33" t="s">
        <v>507</v>
      </c>
      <c r="D619" s="36">
        <v>5</v>
      </c>
      <c r="E619" s="154">
        <v>263.74</v>
      </c>
      <c r="F619" s="36">
        <v>2681</v>
      </c>
      <c r="G619" s="34" t="s">
        <v>226</v>
      </c>
      <c r="H619" s="40">
        <v>41468</v>
      </c>
      <c r="I619" s="35">
        <v>101397.48</v>
      </c>
      <c r="J619" s="35" t="s">
        <v>793</v>
      </c>
      <c r="K619" s="153">
        <v>43808</v>
      </c>
      <c r="X619" s="6"/>
      <c r="Y619" s="6"/>
      <c r="Z619" s="6"/>
      <c r="AA619" s="128"/>
      <c r="AB619" s="60"/>
      <c r="AC619" s="167"/>
      <c r="AD619" s="167"/>
      <c r="AE619" s="232"/>
      <c r="AF619" s="5"/>
      <c r="AG619" s="5"/>
    </row>
    <row r="620" spans="2:33">
      <c r="B620" s="32" t="s">
        <v>878</v>
      </c>
      <c r="C620" s="33" t="s">
        <v>621</v>
      </c>
      <c r="D620" s="36">
        <v>10</v>
      </c>
      <c r="E620" s="154"/>
      <c r="F620" s="36">
        <v>3453</v>
      </c>
      <c r="G620" s="34" t="s">
        <v>1115</v>
      </c>
      <c r="H620" s="40">
        <v>43815</v>
      </c>
      <c r="I620" s="35">
        <v>92120</v>
      </c>
      <c r="J620" s="35" t="s">
        <v>793</v>
      </c>
      <c r="K620" s="153">
        <v>43816</v>
      </c>
      <c r="X620" s="6"/>
      <c r="Y620" s="6"/>
      <c r="Z620" s="6"/>
      <c r="AA620" s="128"/>
      <c r="AB620" s="60"/>
      <c r="AC620" s="167"/>
      <c r="AD620" s="167"/>
      <c r="AE620" s="232"/>
      <c r="AF620" s="5"/>
      <c r="AG620" s="5"/>
    </row>
    <row r="621" spans="2:33">
      <c r="B621" s="32" t="s">
        <v>38</v>
      </c>
      <c r="C621" s="33" t="s">
        <v>533</v>
      </c>
      <c r="D621" s="36">
        <v>8</v>
      </c>
      <c r="E621" s="154">
        <v>251.25</v>
      </c>
      <c r="F621" s="36">
        <v>2467</v>
      </c>
      <c r="G621" s="34" t="s">
        <v>166</v>
      </c>
      <c r="H621" s="40">
        <v>41441</v>
      </c>
      <c r="I621" s="35">
        <v>79354.8</v>
      </c>
      <c r="J621" s="35" t="s">
        <v>793</v>
      </c>
      <c r="K621" s="153">
        <v>43815</v>
      </c>
      <c r="X621" s="6"/>
      <c r="Y621" s="6"/>
      <c r="Z621" s="6"/>
      <c r="AA621" s="128"/>
      <c r="AB621" s="60"/>
      <c r="AC621" s="167"/>
      <c r="AD621" s="167"/>
      <c r="AE621" s="232"/>
      <c r="AF621" s="5"/>
      <c r="AG621" s="5"/>
    </row>
    <row r="622" spans="2:33">
      <c r="B622" s="32" t="s">
        <v>38</v>
      </c>
      <c r="C622" s="33" t="s">
        <v>512</v>
      </c>
      <c r="D622" s="36">
        <v>22</v>
      </c>
      <c r="E622" s="154">
        <v>265.44</v>
      </c>
      <c r="F622" s="36"/>
      <c r="G622" s="34" t="s">
        <v>123</v>
      </c>
      <c r="H622" s="40">
        <v>43405</v>
      </c>
      <c r="I622" s="35">
        <v>82000</v>
      </c>
      <c r="J622" s="35" t="s">
        <v>793</v>
      </c>
      <c r="K622" s="153">
        <v>43815</v>
      </c>
      <c r="X622" s="6"/>
      <c r="Y622" s="6"/>
      <c r="Z622" s="6"/>
      <c r="AA622" s="128"/>
      <c r="AB622" s="60"/>
      <c r="AC622" s="167"/>
      <c r="AD622" s="167"/>
      <c r="AE622" s="232"/>
      <c r="AF622" s="5"/>
      <c r="AG622" s="5"/>
    </row>
    <row r="623" spans="2:33">
      <c r="B623" s="32" t="s">
        <v>34</v>
      </c>
      <c r="C623" s="33" t="s">
        <v>505</v>
      </c>
      <c r="D623" s="36">
        <v>16</v>
      </c>
      <c r="E623" s="154">
        <v>256.74</v>
      </c>
      <c r="F623" s="36">
        <v>2342</v>
      </c>
      <c r="G623" s="34" t="s">
        <v>43</v>
      </c>
      <c r="H623" s="40">
        <v>41445</v>
      </c>
      <c r="I623" s="35">
        <v>96534.24</v>
      </c>
      <c r="J623" s="35" t="s">
        <v>793</v>
      </c>
      <c r="K623" s="153">
        <v>43800</v>
      </c>
      <c r="X623" s="6"/>
      <c r="Y623" s="6"/>
      <c r="Z623" s="6"/>
      <c r="AA623" s="128"/>
      <c r="AB623" s="60"/>
      <c r="AC623" s="167"/>
      <c r="AD623" s="167"/>
      <c r="AE623" s="232"/>
      <c r="AF623" s="5"/>
      <c r="AG623" s="5"/>
    </row>
    <row r="624" spans="2:33">
      <c r="B624" s="32" t="s">
        <v>33</v>
      </c>
      <c r="C624" s="33" t="s">
        <v>527</v>
      </c>
      <c r="D624" s="36">
        <v>2</v>
      </c>
      <c r="E624" s="154">
        <v>250.5</v>
      </c>
      <c r="F624" s="36">
        <v>5510</v>
      </c>
      <c r="G624" s="34" t="s">
        <v>405</v>
      </c>
      <c r="H624" s="40">
        <v>42761</v>
      </c>
      <c r="I624" s="35">
        <v>141786.79999999999</v>
      </c>
      <c r="J624" s="35" t="s">
        <v>793</v>
      </c>
      <c r="K624" s="153">
        <v>43833</v>
      </c>
      <c r="X624" s="6"/>
      <c r="Y624" s="6"/>
      <c r="Z624" s="6"/>
      <c r="AA624" s="128"/>
      <c r="AB624" s="60"/>
      <c r="AC624" s="167"/>
      <c r="AD624" s="167"/>
      <c r="AE624" s="232"/>
      <c r="AF624" s="5"/>
      <c r="AG624" s="5"/>
    </row>
    <row r="625" spans="2:33">
      <c r="B625" s="32" t="s">
        <v>33</v>
      </c>
      <c r="C625" s="33" t="s">
        <v>530</v>
      </c>
      <c r="D625" s="36">
        <v>1</v>
      </c>
      <c r="E625" s="154">
        <v>343.2</v>
      </c>
      <c r="F625" s="36">
        <v>4315</v>
      </c>
      <c r="G625" s="34" t="s">
        <v>414</v>
      </c>
      <c r="H625" s="40">
        <v>41983</v>
      </c>
      <c r="I625" s="35">
        <v>167290</v>
      </c>
      <c r="J625" s="35" t="s">
        <v>793</v>
      </c>
      <c r="K625" s="153">
        <v>43861</v>
      </c>
      <c r="X625" s="6"/>
      <c r="Y625" s="6"/>
      <c r="Z625" s="6"/>
      <c r="AA625" s="128"/>
      <c r="AB625" s="60"/>
      <c r="AC625" s="167"/>
      <c r="AD625" s="167"/>
      <c r="AE625" s="232"/>
      <c r="AF625" s="5"/>
      <c r="AG625" s="5"/>
    </row>
    <row r="626" spans="2:33">
      <c r="B626" s="32" t="s">
        <v>33</v>
      </c>
      <c r="C626" s="33" t="s">
        <v>531</v>
      </c>
      <c r="D626" s="36">
        <v>34</v>
      </c>
      <c r="E626" s="154">
        <v>255.25</v>
      </c>
      <c r="F626" s="36">
        <v>5072</v>
      </c>
      <c r="G626" s="34" t="s">
        <v>379</v>
      </c>
      <c r="H626" s="40">
        <v>42377</v>
      </c>
      <c r="I626" s="35">
        <v>137000.01</v>
      </c>
      <c r="J626" s="35" t="s">
        <v>793</v>
      </c>
      <c r="K626" s="153">
        <v>43861</v>
      </c>
      <c r="X626" s="6"/>
      <c r="Y626" s="6"/>
      <c r="Z626" s="6"/>
      <c r="AA626" s="128"/>
      <c r="AB626" s="60"/>
      <c r="AC626" s="167"/>
      <c r="AD626" s="167"/>
      <c r="AE626" s="232"/>
      <c r="AF626" s="5"/>
      <c r="AG626" s="5"/>
    </row>
    <row r="627" spans="2:33">
      <c r="B627" s="32" t="s">
        <v>37</v>
      </c>
      <c r="C627" s="33" t="s">
        <v>532</v>
      </c>
      <c r="D627" s="36">
        <v>4</v>
      </c>
      <c r="E627" s="154">
        <v>254.84</v>
      </c>
      <c r="F627" s="36">
        <v>3409</v>
      </c>
      <c r="G627" s="34" t="s">
        <v>221</v>
      </c>
      <c r="H627" s="40">
        <v>41614</v>
      </c>
      <c r="I627" s="35">
        <v>99413.09</v>
      </c>
      <c r="J627" s="35" t="s">
        <v>793</v>
      </c>
      <c r="K627" s="153">
        <v>43843</v>
      </c>
      <c r="X627" s="6"/>
      <c r="Y627" s="6"/>
      <c r="Z627" s="6"/>
      <c r="AA627" s="128"/>
      <c r="AB627" s="60"/>
      <c r="AC627" s="167"/>
      <c r="AD627" s="167"/>
      <c r="AE627" s="232"/>
      <c r="AF627" s="5"/>
      <c r="AG627" s="5"/>
    </row>
    <row r="628" spans="2:33">
      <c r="B628" s="32" t="s">
        <v>35</v>
      </c>
      <c r="C628" s="33" t="s">
        <v>514</v>
      </c>
      <c r="D628" s="36">
        <v>3</v>
      </c>
      <c r="E628" s="154">
        <v>264.27</v>
      </c>
      <c r="F628" s="36">
        <v>3717</v>
      </c>
      <c r="G628" s="34" t="s">
        <v>1119</v>
      </c>
      <c r="H628" s="40">
        <v>43857</v>
      </c>
      <c r="I628" s="35">
        <v>145992.79</v>
      </c>
      <c r="J628" s="35" t="s">
        <v>793</v>
      </c>
      <c r="K628" s="153">
        <v>43858</v>
      </c>
      <c r="X628" s="6"/>
      <c r="Y628" s="6"/>
      <c r="Z628" s="6"/>
      <c r="AA628" s="128"/>
      <c r="AB628" s="60"/>
      <c r="AC628" s="167"/>
      <c r="AD628" s="167"/>
      <c r="AE628" s="232"/>
      <c r="AF628" s="5"/>
      <c r="AG628" s="5"/>
    </row>
    <row r="629" spans="2:33">
      <c r="B629" s="32" t="s">
        <v>36</v>
      </c>
      <c r="C629" s="33" t="s">
        <v>521</v>
      </c>
      <c r="D629" s="36">
        <v>19</v>
      </c>
      <c r="E629" s="154">
        <v>250.75</v>
      </c>
      <c r="F629" s="36">
        <v>4760</v>
      </c>
      <c r="G629" s="34" t="s">
        <v>475</v>
      </c>
      <c r="H629" s="40">
        <v>42138</v>
      </c>
      <c r="I629" s="35">
        <v>110000</v>
      </c>
      <c r="J629" s="35" t="s">
        <v>793</v>
      </c>
      <c r="K629" s="153">
        <v>43861</v>
      </c>
      <c r="X629" s="6"/>
      <c r="Y629" s="6"/>
      <c r="Z629" s="6"/>
      <c r="AA629" s="128"/>
      <c r="AB629" s="60"/>
      <c r="AC629" s="167"/>
      <c r="AD629" s="167"/>
      <c r="AE629" s="232"/>
      <c r="AF629" s="5"/>
      <c r="AG629" s="5"/>
    </row>
    <row r="630" spans="2:33">
      <c r="B630" s="32" t="s">
        <v>33</v>
      </c>
      <c r="C630" s="33" t="s">
        <v>530</v>
      </c>
      <c r="D630" s="36">
        <v>31</v>
      </c>
      <c r="E630" s="154">
        <v>254.5</v>
      </c>
      <c r="F630" s="36">
        <v>3652</v>
      </c>
      <c r="G630" s="34" t="s">
        <v>149</v>
      </c>
      <c r="H630" s="40">
        <v>41730</v>
      </c>
      <c r="I630" s="35">
        <v>103642.95</v>
      </c>
      <c r="J630" s="35" t="s">
        <v>793</v>
      </c>
      <c r="K630" s="153">
        <v>43839</v>
      </c>
      <c r="X630" s="6"/>
      <c r="Y630" s="6"/>
      <c r="Z630" s="6"/>
      <c r="AA630" s="128"/>
      <c r="AB630" s="60"/>
      <c r="AC630" s="167"/>
      <c r="AD630" s="167"/>
      <c r="AE630" s="232"/>
      <c r="AF630" s="5"/>
      <c r="AG630" s="5"/>
    </row>
    <row r="631" spans="2:33">
      <c r="B631" s="32" t="s">
        <v>34</v>
      </c>
      <c r="C631" s="33" t="s">
        <v>509</v>
      </c>
      <c r="D631" s="36">
        <v>8</v>
      </c>
      <c r="E631" s="154">
        <v>259.97000000000003</v>
      </c>
      <c r="F631" s="36">
        <v>4810</v>
      </c>
      <c r="G631" s="34" t="s">
        <v>329</v>
      </c>
      <c r="H631" s="40">
        <v>42156</v>
      </c>
      <c r="I631" s="35">
        <v>142500</v>
      </c>
      <c r="J631" s="35" t="s">
        <v>793</v>
      </c>
      <c r="K631" s="153">
        <v>43881</v>
      </c>
      <c r="X631" s="6"/>
      <c r="Y631" s="6"/>
      <c r="Z631" s="6"/>
      <c r="AA631" s="128"/>
      <c r="AB631" s="60"/>
      <c r="AC631" s="167"/>
      <c r="AD631" s="167"/>
      <c r="AE631" s="232"/>
      <c r="AF631" s="5"/>
      <c r="AG631" s="5"/>
    </row>
    <row r="632" spans="2:33">
      <c r="B632" s="32" t="s">
        <v>878</v>
      </c>
      <c r="C632" s="33" t="s">
        <v>619</v>
      </c>
      <c r="D632" s="36">
        <v>1</v>
      </c>
      <c r="E632" s="154">
        <v>330.18</v>
      </c>
      <c r="F632" s="36">
        <v>6832</v>
      </c>
      <c r="G632" s="34" t="s">
        <v>907</v>
      </c>
      <c r="H632" s="40">
        <v>43470</v>
      </c>
      <c r="I632" s="35">
        <v>164495.75</v>
      </c>
      <c r="J632" s="35" t="s">
        <v>793</v>
      </c>
      <c r="K632" s="153">
        <v>43874</v>
      </c>
      <c r="X632" s="6"/>
      <c r="Y632" s="6"/>
      <c r="Z632" s="6"/>
      <c r="AA632" s="128"/>
      <c r="AB632" s="60"/>
      <c r="AC632" s="167"/>
      <c r="AD632" s="167"/>
      <c r="AE632" s="232"/>
      <c r="AF632" s="5"/>
      <c r="AG632" s="5"/>
    </row>
    <row r="633" spans="2:33">
      <c r="B633" s="32" t="s">
        <v>878</v>
      </c>
      <c r="C633" s="33" t="s">
        <v>619</v>
      </c>
      <c r="D633" s="36">
        <v>2</v>
      </c>
      <c r="E633" s="154">
        <v>254.31</v>
      </c>
      <c r="F633" s="36"/>
      <c r="G633" s="34" t="s">
        <v>1012</v>
      </c>
      <c r="H633" s="40">
        <v>43648</v>
      </c>
      <c r="I633" s="35">
        <v>122200</v>
      </c>
      <c r="J633" s="35" t="s">
        <v>793</v>
      </c>
      <c r="K633" s="153">
        <v>43887</v>
      </c>
      <c r="X633" s="6"/>
      <c r="Y633" s="6"/>
      <c r="Z633" s="6"/>
      <c r="AA633" s="128"/>
      <c r="AB633" s="60"/>
      <c r="AC633" s="167"/>
      <c r="AD633" s="167"/>
      <c r="AE633" s="232"/>
      <c r="AF633" s="5"/>
      <c r="AG633" s="5"/>
    </row>
    <row r="634" spans="2:33">
      <c r="B634" s="32" t="s">
        <v>37</v>
      </c>
      <c r="C634" s="33" t="s">
        <v>532</v>
      </c>
      <c r="D634" s="36">
        <v>5</v>
      </c>
      <c r="E634" s="154">
        <v>252.5</v>
      </c>
      <c r="F634" s="36">
        <v>2555</v>
      </c>
      <c r="G634" s="34" t="s">
        <v>52</v>
      </c>
      <c r="H634" s="40">
        <v>41447</v>
      </c>
      <c r="I634" s="35">
        <v>79749.600000000006</v>
      </c>
      <c r="J634" s="35" t="s">
        <v>793</v>
      </c>
      <c r="K634" s="153">
        <v>43881</v>
      </c>
      <c r="X634" s="6"/>
      <c r="Y634" s="6"/>
      <c r="Z634" s="6"/>
      <c r="AA634" s="128"/>
      <c r="AB634" s="60"/>
      <c r="AC634" s="167"/>
      <c r="AD634" s="167"/>
      <c r="AE634" s="232"/>
      <c r="AF634" s="5"/>
      <c r="AG634" s="5"/>
    </row>
    <row r="635" spans="2:33">
      <c r="B635" s="32" t="s">
        <v>37</v>
      </c>
      <c r="C635" s="33" t="s">
        <v>532</v>
      </c>
      <c r="D635" s="36">
        <v>6</v>
      </c>
      <c r="E635" s="154">
        <v>252.5</v>
      </c>
      <c r="F635" s="36">
        <v>2556</v>
      </c>
      <c r="G635" s="34" t="s">
        <v>52</v>
      </c>
      <c r="H635" s="40">
        <v>41447</v>
      </c>
      <c r="I635" s="35">
        <v>79749.600000000006</v>
      </c>
      <c r="J635" s="35" t="s">
        <v>793</v>
      </c>
      <c r="K635" s="153">
        <v>43881</v>
      </c>
      <c r="X635" s="6"/>
      <c r="Y635" s="6"/>
      <c r="Z635" s="6"/>
      <c r="AA635" s="128"/>
      <c r="AB635" s="60"/>
      <c r="AC635" s="167"/>
      <c r="AD635" s="167"/>
      <c r="AE635" s="232"/>
      <c r="AF635" s="5"/>
      <c r="AG635" s="5"/>
    </row>
    <row r="636" spans="2:33">
      <c r="B636" s="32" t="s">
        <v>38</v>
      </c>
      <c r="C636" s="33" t="s">
        <v>533</v>
      </c>
      <c r="D636" s="36">
        <v>9</v>
      </c>
      <c r="E636" s="154">
        <v>251.25</v>
      </c>
      <c r="F636" s="36">
        <v>2475</v>
      </c>
      <c r="G636" s="34" t="s">
        <v>273</v>
      </c>
      <c r="H636" s="40">
        <v>41441</v>
      </c>
      <c r="I636" s="35">
        <v>79354.8</v>
      </c>
      <c r="J636" s="35" t="s">
        <v>793</v>
      </c>
      <c r="K636" s="153">
        <v>43867</v>
      </c>
      <c r="X636" s="6"/>
      <c r="Y636" s="6"/>
      <c r="Z636" s="6"/>
      <c r="AA636" s="128"/>
      <c r="AB636" s="60"/>
      <c r="AC636" s="167"/>
      <c r="AD636" s="167"/>
      <c r="AE636" s="232"/>
      <c r="AF636" s="5"/>
      <c r="AG636" s="5"/>
    </row>
    <row r="637" spans="2:33">
      <c r="B637" s="32" t="s">
        <v>38</v>
      </c>
      <c r="C637" s="33" t="s">
        <v>510</v>
      </c>
      <c r="D637" s="36">
        <v>20</v>
      </c>
      <c r="E637" s="154">
        <v>252.75</v>
      </c>
      <c r="F637" s="36">
        <v>2472</v>
      </c>
      <c r="G637" s="34" t="s">
        <v>256</v>
      </c>
      <c r="H637" s="40">
        <v>41447</v>
      </c>
      <c r="I637" s="35">
        <v>83154.75</v>
      </c>
      <c r="J637" s="35" t="s">
        <v>793</v>
      </c>
      <c r="K637" s="153">
        <v>43887</v>
      </c>
      <c r="X637" s="6"/>
      <c r="Y637" s="6"/>
      <c r="Z637" s="6"/>
      <c r="AA637" s="128"/>
      <c r="AB637" s="60"/>
      <c r="AC637" s="167"/>
      <c r="AD637" s="167"/>
      <c r="AE637" s="232"/>
      <c r="AF637" s="5"/>
      <c r="AG637" s="5"/>
    </row>
    <row r="638" spans="2:33">
      <c r="B638" s="32" t="s">
        <v>38</v>
      </c>
      <c r="C638" s="33" t="s">
        <v>512</v>
      </c>
      <c r="D638" s="36">
        <v>4</v>
      </c>
      <c r="E638" s="154">
        <v>265.02</v>
      </c>
      <c r="F638" s="36">
        <v>4870</v>
      </c>
      <c r="G638" s="34" t="s">
        <v>287</v>
      </c>
      <c r="H638" s="40">
        <v>42186</v>
      </c>
      <c r="I638" s="35">
        <v>114999.8</v>
      </c>
      <c r="J638" s="35" t="s">
        <v>793</v>
      </c>
      <c r="K638" s="153">
        <v>43882</v>
      </c>
      <c r="X638" s="6"/>
      <c r="Y638" s="6"/>
      <c r="Z638" s="6"/>
      <c r="AA638" s="128"/>
      <c r="AB638" s="60"/>
      <c r="AC638" s="167"/>
      <c r="AD638" s="167"/>
      <c r="AE638" s="232"/>
      <c r="AF638" s="5"/>
      <c r="AG638" s="5"/>
    </row>
    <row r="639" spans="2:33">
      <c r="B639" s="32" t="s">
        <v>36</v>
      </c>
      <c r="C639" s="33" t="s">
        <v>534</v>
      </c>
      <c r="D639" s="36">
        <v>8</v>
      </c>
      <c r="E639" s="154">
        <v>254</v>
      </c>
      <c r="F639" s="36">
        <v>3623</v>
      </c>
      <c r="G639" s="34" t="s">
        <v>268</v>
      </c>
      <c r="H639" s="40">
        <v>41730</v>
      </c>
      <c r="I639" s="35">
        <v>98669.94</v>
      </c>
      <c r="J639" s="35" t="s">
        <v>793</v>
      </c>
      <c r="K639" s="153">
        <v>43871</v>
      </c>
      <c r="X639" s="6"/>
      <c r="Y639" s="6"/>
      <c r="Z639" s="6"/>
      <c r="AA639" s="128"/>
      <c r="AB639" s="60"/>
      <c r="AC639" s="167"/>
      <c r="AD639" s="167"/>
      <c r="AE639" s="232"/>
      <c r="AF639" s="5"/>
      <c r="AG639" s="5"/>
    </row>
    <row r="640" spans="2:33">
      <c r="B640" s="32" t="s">
        <v>34</v>
      </c>
      <c r="C640" s="33" t="s">
        <v>507</v>
      </c>
      <c r="D640" s="36">
        <v>7</v>
      </c>
      <c r="E640" s="154">
        <v>263.74</v>
      </c>
      <c r="F640" s="36">
        <v>2509</v>
      </c>
      <c r="G640" s="34" t="s">
        <v>159</v>
      </c>
      <c r="H640" s="40">
        <v>41446</v>
      </c>
      <c r="I640" s="35">
        <v>96687.08</v>
      </c>
      <c r="J640" s="35" t="s">
        <v>793</v>
      </c>
      <c r="K640" s="153">
        <v>43907</v>
      </c>
      <c r="X640" s="6"/>
      <c r="Y640" s="6"/>
      <c r="Z640" s="6"/>
      <c r="AA640" s="128"/>
      <c r="AB640" s="60"/>
      <c r="AC640" s="167"/>
      <c r="AD640" s="167"/>
      <c r="AE640" s="232"/>
      <c r="AF640" s="5"/>
      <c r="AG640" s="5"/>
    </row>
    <row r="641" spans="2:33">
      <c r="B641" s="32" t="s">
        <v>34</v>
      </c>
      <c r="C641" s="33" t="s">
        <v>509</v>
      </c>
      <c r="D641" s="36">
        <v>12</v>
      </c>
      <c r="E641" s="154"/>
      <c r="F641" s="36"/>
      <c r="G641" s="34" t="s">
        <v>1145</v>
      </c>
      <c r="H641" s="40">
        <v>43906</v>
      </c>
      <c r="I641" s="35">
        <v>141000</v>
      </c>
      <c r="J641" s="35" t="s">
        <v>793</v>
      </c>
      <c r="K641" s="153">
        <v>43907</v>
      </c>
      <c r="X641" s="6"/>
      <c r="Y641" s="6"/>
      <c r="Z641" s="6"/>
      <c r="AA641" s="128"/>
      <c r="AB641" s="60"/>
      <c r="AC641" s="167"/>
      <c r="AD641" s="167"/>
      <c r="AE641" s="232"/>
      <c r="AF641" s="5"/>
      <c r="AG641" s="5"/>
    </row>
    <row r="642" spans="2:33">
      <c r="B642" s="32" t="s">
        <v>33</v>
      </c>
      <c r="C642" s="33" t="s">
        <v>527</v>
      </c>
      <c r="D642" s="36">
        <v>26</v>
      </c>
      <c r="E642" s="154">
        <v>256.75</v>
      </c>
      <c r="F642" s="36">
        <v>5926</v>
      </c>
      <c r="G642" s="34" t="s">
        <v>367</v>
      </c>
      <c r="H642" s="40">
        <v>43013</v>
      </c>
      <c r="I642" s="35">
        <v>117500</v>
      </c>
      <c r="J642" s="35" t="s">
        <v>793</v>
      </c>
      <c r="K642" s="153">
        <v>43936</v>
      </c>
      <c r="X642" s="6"/>
      <c r="Y642" s="6"/>
      <c r="Z642" s="6"/>
      <c r="AA642" s="128"/>
      <c r="AB642" s="60"/>
      <c r="AC642" s="167"/>
      <c r="AD642" s="167"/>
      <c r="AE642" s="232"/>
      <c r="AF642" s="5"/>
      <c r="AG642" s="5"/>
    </row>
    <row r="643" spans="2:33">
      <c r="B643" s="32" t="s">
        <v>33</v>
      </c>
      <c r="C643" s="33" t="s">
        <v>528</v>
      </c>
      <c r="D643" s="36">
        <v>21</v>
      </c>
      <c r="E643" s="154">
        <v>267.82</v>
      </c>
      <c r="F643" s="36">
        <v>5804</v>
      </c>
      <c r="G643" s="34" t="s">
        <v>44</v>
      </c>
      <c r="H643" s="40">
        <v>42977</v>
      </c>
      <c r="I643" s="35">
        <v>126900</v>
      </c>
      <c r="J643" s="35" t="s">
        <v>793</v>
      </c>
      <c r="K643" s="153">
        <v>43948</v>
      </c>
      <c r="X643" s="6"/>
      <c r="Y643" s="6"/>
      <c r="Z643" s="6"/>
      <c r="AA643" s="128"/>
      <c r="AB643" s="60"/>
      <c r="AC643" s="167"/>
      <c r="AD643" s="167"/>
      <c r="AE643" s="232"/>
      <c r="AF643" s="5"/>
      <c r="AG643" s="5"/>
    </row>
    <row r="644" spans="2:33">
      <c r="B644" s="32" t="s">
        <v>38</v>
      </c>
      <c r="C644" s="33" t="s">
        <v>511</v>
      </c>
      <c r="D644" s="36">
        <v>1</v>
      </c>
      <c r="E644" s="154">
        <v>367.85</v>
      </c>
      <c r="F644" s="36">
        <v>3407</v>
      </c>
      <c r="G644" s="34" t="s">
        <v>169</v>
      </c>
      <c r="H644" s="40">
        <v>41624</v>
      </c>
      <c r="I644" s="35">
        <v>138311.6</v>
      </c>
      <c r="J644" s="35" t="s">
        <v>793</v>
      </c>
      <c r="K644" s="153">
        <v>43941</v>
      </c>
      <c r="X644" s="6"/>
      <c r="Y644" s="6"/>
      <c r="Z644" s="6"/>
      <c r="AA644" s="128"/>
      <c r="AB644" s="60"/>
      <c r="AC644" s="167"/>
      <c r="AD644" s="167"/>
      <c r="AE644" s="232"/>
      <c r="AF644" s="5"/>
      <c r="AG644" s="5"/>
    </row>
    <row r="645" spans="2:33">
      <c r="B645" s="32" t="s">
        <v>34</v>
      </c>
      <c r="C645" s="33" t="s">
        <v>1076</v>
      </c>
      <c r="D645" s="36">
        <v>24</v>
      </c>
      <c r="E645" s="154">
        <v>257.62</v>
      </c>
      <c r="F645" s="36">
        <v>3761</v>
      </c>
      <c r="G645" s="34" t="s">
        <v>217</v>
      </c>
      <c r="H645" s="40">
        <v>41791</v>
      </c>
      <c r="I645" s="35">
        <v>102826.63</v>
      </c>
      <c r="J645" s="35" t="s">
        <v>793</v>
      </c>
      <c r="K645" s="153">
        <v>43973</v>
      </c>
      <c r="X645" s="6"/>
      <c r="Y645" s="6"/>
      <c r="Z645" s="6"/>
      <c r="AA645" s="128"/>
      <c r="AB645" s="60"/>
      <c r="AC645" s="167"/>
      <c r="AD645" s="167"/>
      <c r="AE645" s="232"/>
      <c r="AF645" s="5"/>
      <c r="AG645" s="5"/>
    </row>
    <row r="646" spans="2:33">
      <c r="B646" s="32" t="s">
        <v>33</v>
      </c>
      <c r="C646" s="33" t="s">
        <v>526</v>
      </c>
      <c r="D646" s="36">
        <v>3</v>
      </c>
      <c r="E646" s="154">
        <v>253.62</v>
      </c>
      <c r="F646" s="36">
        <v>7224</v>
      </c>
      <c r="G646" s="34" t="s">
        <v>974</v>
      </c>
      <c r="H646" s="40">
        <v>43594</v>
      </c>
      <c r="I646" s="35">
        <v>117500</v>
      </c>
      <c r="J646" s="35" t="s">
        <v>793</v>
      </c>
      <c r="K646" s="153">
        <v>43972</v>
      </c>
      <c r="X646" s="6"/>
      <c r="Y646" s="6"/>
      <c r="Z646" s="6"/>
      <c r="AA646" s="128"/>
      <c r="AB646" s="60"/>
      <c r="AC646" s="167"/>
      <c r="AD646" s="167"/>
      <c r="AE646" s="232"/>
      <c r="AF646" s="5"/>
      <c r="AG646" s="5"/>
    </row>
    <row r="647" spans="2:33">
      <c r="B647" s="32" t="s">
        <v>33</v>
      </c>
      <c r="C647" s="33" t="s">
        <v>529</v>
      </c>
      <c r="D647" s="36">
        <v>3</v>
      </c>
      <c r="E647" s="154">
        <v>257</v>
      </c>
      <c r="F647" s="36">
        <v>6028</v>
      </c>
      <c r="G647" s="34" t="s">
        <v>371</v>
      </c>
      <c r="H647" s="40">
        <v>43075</v>
      </c>
      <c r="I647" s="35">
        <v>128779.9</v>
      </c>
      <c r="J647" s="35" t="s">
        <v>793</v>
      </c>
      <c r="K647" s="153">
        <v>43978</v>
      </c>
      <c r="X647" s="6"/>
      <c r="Y647" s="6"/>
      <c r="Z647" s="6"/>
      <c r="AA647" s="128"/>
      <c r="AB647" s="60"/>
      <c r="AC647" s="167"/>
      <c r="AD647" s="167"/>
      <c r="AE647" s="232"/>
      <c r="AF647" s="5"/>
      <c r="AG647" s="5"/>
    </row>
    <row r="648" spans="2:33">
      <c r="B648" s="32" t="s">
        <v>35</v>
      </c>
      <c r="C648" s="33" t="s">
        <v>517</v>
      </c>
      <c r="D648" s="36">
        <v>23</v>
      </c>
      <c r="E648" s="154">
        <v>324.60000000000002</v>
      </c>
      <c r="F648" s="36">
        <v>2414</v>
      </c>
      <c r="G648" s="34" t="s">
        <v>385</v>
      </c>
      <c r="H648" s="40">
        <v>41444</v>
      </c>
      <c r="I648" s="35">
        <v>118998.36</v>
      </c>
      <c r="J648" s="35" t="s">
        <v>793</v>
      </c>
      <c r="K648" s="153">
        <v>43970</v>
      </c>
      <c r="X648" s="6"/>
      <c r="Y648" s="6"/>
      <c r="Z648" s="6"/>
      <c r="AA648" s="128"/>
      <c r="AB648" s="60"/>
      <c r="AC648" s="167"/>
      <c r="AD648" s="167"/>
      <c r="AE648" s="232"/>
      <c r="AF648" s="5"/>
      <c r="AG648" s="5"/>
    </row>
    <row r="649" spans="2:33">
      <c r="B649" s="32" t="s">
        <v>35</v>
      </c>
      <c r="C649" s="33" t="s">
        <v>518</v>
      </c>
      <c r="D649" s="36">
        <v>14</v>
      </c>
      <c r="E649" s="154">
        <v>267.12</v>
      </c>
      <c r="F649" s="36"/>
      <c r="G649" s="34" t="s">
        <v>979</v>
      </c>
      <c r="H649" s="40">
        <v>43635</v>
      </c>
      <c r="I649" s="35">
        <v>122200</v>
      </c>
      <c r="J649" s="35" t="s">
        <v>793</v>
      </c>
      <c r="K649" s="153">
        <v>43979</v>
      </c>
      <c r="X649" s="6"/>
      <c r="Y649" s="6"/>
      <c r="Z649" s="6"/>
      <c r="AA649" s="128"/>
      <c r="AB649" s="60"/>
      <c r="AC649" s="167"/>
      <c r="AD649" s="167"/>
      <c r="AE649" s="232"/>
      <c r="AF649" s="5"/>
      <c r="AG649" s="5"/>
    </row>
    <row r="650" spans="2:33">
      <c r="B650" s="32" t="s">
        <v>37</v>
      </c>
      <c r="C650" s="33" t="s">
        <v>532</v>
      </c>
      <c r="D650" s="36">
        <v>10</v>
      </c>
      <c r="E650" s="154">
        <v>252.5</v>
      </c>
      <c r="F650" s="36">
        <v>2294</v>
      </c>
      <c r="G650" s="34" t="s">
        <v>127</v>
      </c>
      <c r="H650" s="40">
        <v>41445</v>
      </c>
      <c r="I650" s="35">
        <v>79749.600000000006</v>
      </c>
      <c r="J650" s="35" t="s">
        <v>793</v>
      </c>
      <c r="K650" s="153">
        <v>44004</v>
      </c>
      <c r="X650" s="6"/>
      <c r="Y650" s="6"/>
      <c r="Z650" s="6"/>
      <c r="AA650" s="128"/>
      <c r="AB650" s="60"/>
      <c r="AC650" s="167"/>
      <c r="AD650" s="167"/>
      <c r="AE650" s="232"/>
      <c r="AF650" s="5"/>
      <c r="AG650" s="5"/>
    </row>
    <row r="651" spans="2:33">
      <c r="B651" s="32" t="s">
        <v>38</v>
      </c>
      <c r="C651" s="33" t="s">
        <v>511</v>
      </c>
      <c r="D651" s="36">
        <v>16</v>
      </c>
      <c r="E651" s="154">
        <v>253</v>
      </c>
      <c r="F651" s="36">
        <v>2789</v>
      </c>
      <c r="G651" s="34" t="s">
        <v>1135</v>
      </c>
      <c r="H651" s="40">
        <v>41513</v>
      </c>
      <c r="I651" s="35">
        <v>77529.320000000007</v>
      </c>
      <c r="J651" s="35" t="s">
        <v>793</v>
      </c>
      <c r="K651" s="153">
        <v>44004</v>
      </c>
      <c r="X651" s="6"/>
      <c r="Y651" s="6"/>
      <c r="Z651" s="6"/>
      <c r="AA651" s="128"/>
      <c r="AB651" s="60"/>
      <c r="AC651" s="167"/>
      <c r="AD651" s="167"/>
      <c r="AE651" s="232"/>
      <c r="AF651" s="5"/>
      <c r="AG651" s="5"/>
    </row>
    <row r="652" spans="2:33">
      <c r="B652" s="32" t="s">
        <v>35</v>
      </c>
      <c r="C652" s="33" t="s">
        <v>518</v>
      </c>
      <c r="D652" s="36">
        <v>20</v>
      </c>
      <c r="E652" s="154">
        <v>260.95999999999998</v>
      </c>
      <c r="F652" s="36"/>
      <c r="G652" s="34" t="s">
        <v>980</v>
      </c>
      <c r="H652" s="40">
        <v>43635</v>
      </c>
      <c r="I652" s="35">
        <v>122199.96</v>
      </c>
      <c r="J652" s="35" t="s">
        <v>793</v>
      </c>
      <c r="K652" s="153">
        <v>43985</v>
      </c>
      <c r="X652" s="6"/>
      <c r="Y652" s="6"/>
      <c r="Z652" s="6"/>
      <c r="AA652" s="128"/>
      <c r="AB652" s="60"/>
      <c r="AC652" s="167"/>
      <c r="AD652" s="167"/>
      <c r="AE652" s="232"/>
      <c r="AF652" s="5"/>
      <c r="AG652" s="5"/>
    </row>
    <row r="653" spans="2:33">
      <c r="B653" s="32" t="s">
        <v>33</v>
      </c>
      <c r="C653" s="33" t="s">
        <v>529</v>
      </c>
      <c r="D653" s="36">
        <v>9</v>
      </c>
      <c r="E653" s="154">
        <v>257</v>
      </c>
      <c r="F653" s="36">
        <v>5792</v>
      </c>
      <c r="G653" s="34" t="s">
        <v>425</v>
      </c>
      <c r="H653" s="40">
        <v>42962</v>
      </c>
      <c r="I653" s="35">
        <v>124079.9</v>
      </c>
      <c r="J653" s="35" t="s">
        <v>793</v>
      </c>
      <c r="K653" s="153">
        <v>43997</v>
      </c>
      <c r="X653" s="6"/>
      <c r="Y653" s="6"/>
      <c r="Z653" s="6"/>
      <c r="AA653" s="128"/>
      <c r="AB653" s="60"/>
      <c r="AC653" s="167"/>
      <c r="AD653" s="167"/>
      <c r="AE653" s="232"/>
      <c r="AF653" s="5"/>
      <c r="AG653" s="5"/>
    </row>
    <row r="654" spans="2:33">
      <c r="B654" s="32" t="s">
        <v>34</v>
      </c>
      <c r="C654" s="33" t="s">
        <v>507</v>
      </c>
      <c r="D654" s="36">
        <v>17</v>
      </c>
      <c r="E654" s="154"/>
      <c r="F654" s="36">
        <v>4203</v>
      </c>
      <c r="G654" s="34" t="s">
        <v>1167</v>
      </c>
      <c r="H654" s="40">
        <v>43987</v>
      </c>
      <c r="I654" s="35">
        <v>173900</v>
      </c>
      <c r="J654" s="35" t="s">
        <v>793</v>
      </c>
      <c r="K654" s="153">
        <v>43992</v>
      </c>
      <c r="X654" s="6"/>
      <c r="Y654" s="6"/>
      <c r="Z654" s="6"/>
      <c r="AA654" s="128"/>
      <c r="AB654" s="60"/>
      <c r="AC654" s="167"/>
      <c r="AD654" s="167"/>
      <c r="AE654" s="232"/>
      <c r="AF654" s="5"/>
      <c r="AG654" s="5"/>
    </row>
    <row r="655" spans="2:33">
      <c r="B655" s="32" t="s">
        <v>33</v>
      </c>
      <c r="C655" s="33" t="s">
        <v>529</v>
      </c>
      <c r="D655" s="36">
        <v>19</v>
      </c>
      <c r="E655" s="154"/>
      <c r="F655" s="36">
        <v>4189</v>
      </c>
      <c r="G655" s="34" t="s">
        <v>1168</v>
      </c>
      <c r="H655" s="40">
        <v>44011</v>
      </c>
      <c r="I655" s="35">
        <v>140060</v>
      </c>
      <c r="J655" s="35" t="s">
        <v>793</v>
      </c>
      <c r="K655" s="153">
        <v>43999</v>
      </c>
      <c r="X655" s="6"/>
      <c r="Y655" s="6"/>
      <c r="Z655" s="6"/>
      <c r="AA655" s="128"/>
      <c r="AB655" s="60"/>
      <c r="AC655" s="167"/>
      <c r="AD655" s="167"/>
      <c r="AE655" s="232"/>
      <c r="AF655" s="5"/>
      <c r="AG655" s="5"/>
    </row>
    <row r="656" spans="2:33">
      <c r="B656" s="32" t="s">
        <v>35</v>
      </c>
      <c r="C656" s="33" t="s">
        <v>517</v>
      </c>
      <c r="D656" s="36">
        <v>21</v>
      </c>
      <c r="E656" s="154">
        <v>277.73</v>
      </c>
      <c r="F656" s="36">
        <v>2707</v>
      </c>
      <c r="G656" s="34" t="s">
        <v>197</v>
      </c>
      <c r="H656" s="40">
        <v>41484</v>
      </c>
      <c r="I656" s="35">
        <v>101815.82</v>
      </c>
      <c r="J656" s="35" t="s">
        <v>793</v>
      </c>
      <c r="K656" s="153">
        <v>44012</v>
      </c>
      <c r="X656" s="6"/>
      <c r="Y656" s="6"/>
      <c r="Z656" s="6"/>
      <c r="AA656" s="128"/>
      <c r="AB656" s="60"/>
      <c r="AC656" s="167"/>
      <c r="AD656" s="167"/>
      <c r="AE656" s="232"/>
      <c r="AF656" s="5"/>
      <c r="AG656" s="5"/>
    </row>
    <row r="657" spans="2:33">
      <c r="B657" s="32" t="s">
        <v>33</v>
      </c>
      <c r="C657" s="33" t="s">
        <v>530</v>
      </c>
      <c r="D657" s="36">
        <v>14</v>
      </c>
      <c r="E657" s="154">
        <v>255.5</v>
      </c>
      <c r="F657" s="36">
        <v>3758</v>
      </c>
      <c r="G657" s="34" t="s">
        <v>1141</v>
      </c>
      <c r="H657" s="40">
        <v>43866</v>
      </c>
      <c r="I657" s="35">
        <v>142880</v>
      </c>
      <c r="J657" s="35" t="s">
        <v>793</v>
      </c>
      <c r="K657" s="153">
        <v>44012</v>
      </c>
      <c r="X657" s="6"/>
      <c r="Y657" s="6"/>
      <c r="Z657" s="6"/>
      <c r="AA657" s="128"/>
      <c r="AB657" s="60"/>
      <c r="AC657" s="167"/>
      <c r="AD657" s="167"/>
      <c r="AE657" s="232"/>
      <c r="AF657" s="5"/>
      <c r="AG657" s="5"/>
    </row>
    <row r="658" spans="2:33">
      <c r="B658" s="32" t="s">
        <v>878</v>
      </c>
      <c r="C658" s="33" t="s">
        <v>621</v>
      </c>
      <c r="D658" s="36">
        <v>14</v>
      </c>
      <c r="E658" s="154">
        <v>266.76</v>
      </c>
      <c r="F658" s="36">
        <v>4312</v>
      </c>
      <c r="G658" s="34" t="s">
        <v>1164</v>
      </c>
      <c r="H658" s="40">
        <v>44001</v>
      </c>
      <c r="I658" s="35">
        <v>99640</v>
      </c>
      <c r="J658" s="35" t="s">
        <v>793</v>
      </c>
      <c r="K658" s="153">
        <v>44013</v>
      </c>
      <c r="X658" s="6"/>
      <c r="Y658" s="6"/>
      <c r="Z658" s="6"/>
      <c r="AA658" s="128"/>
      <c r="AB658" s="60"/>
      <c r="AC658" s="167"/>
      <c r="AD658" s="167"/>
      <c r="AE658" s="232"/>
      <c r="AF658" s="5"/>
      <c r="AG658" s="5"/>
    </row>
    <row r="659" spans="2:33">
      <c r="B659" s="32" t="s">
        <v>878</v>
      </c>
      <c r="C659" s="33" t="s">
        <v>621</v>
      </c>
      <c r="D659" s="36">
        <v>13</v>
      </c>
      <c r="E659" s="154">
        <v>266.76</v>
      </c>
      <c r="F659" s="36">
        <v>4313</v>
      </c>
      <c r="G659" s="34" t="s">
        <v>1165</v>
      </c>
      <c r="H659" s="40">
        <v>44001</v>
      </c>
      <c r="I659" s="35">
        <v>99640</v>
      </c>
      <c r="J659" s="35" t="s">
        <v>793</v>
      </c>
      <c r="K659" s="153">
        <v>44013</v>
      </c>
      <c r="X659" s="6"/>
      <c r="Y659" s="6"/>
      <c r="Z659" s="6"/>
      <c r="AA659" s="128"/>
      <c r="AB659" s="60"/>
      <c r="AC659" s="167"/>
      <c r="AD659" s="167"/>
      <c r="AE659" s="232"/>
      <c r="AF659" s="5"/>
      <c r="AG659" s="5"/>
    </row>
    <row r="660" spans="2:33">
      <c r="B660" s="32" t="s">
        <v>33</v>
      </c>
      <c r="C660" s="33" t="s">
        <v>523</v>
      </c>
      <c r="D660" s="36">
        <v>6</v>
      </c>
      <c r="E660" s="154">
        <v>272.07</v>
      </c>
      <c r="F660" s="36">
        <v>4554</v>
      </c>
      <c r="G660" s="34" t="s">
        <v>1239</v>
      </c>
      <c r="H660" s="40">
        <v>44034</v>
      </c>
      <c r="I660" s="35">
        <v>136300</v>
      </c>
      <c r="J660" s="35" t="s">
        <v>793</v>
      </c>
      <c r="K660" s="153">
        <v>44041</v>
      </c>
      <c r="X660" s="6"/>
      <c r="Y660" s="6"/>
      <c r="Z660" s="6"/>
      <c r="AA660" s="128"/>
      <c r="AB660" s="60"/>
      <c r="AC660" s="167"/>
      <c r="AD660" s="167"/>
      <c r="AE660" s="232"/>
      <c r="AF660" s="5"/>
      <c r="AG660" s="5"/>
    </row>
    <row r="661" spans="2:33">
      <c r="B661" s="32" t="s">
        <v>33</v>
      </c>
      <c r="C661" s="33" t="s">
        <v>527</v>
      </c>
      <c r="D661" s="36">
        <v>4</v>
      </c>
      <c r="E661" s="154">
        <v>250.5</v>
      </c>
      <c r="F661" s="36">
        <v>4551</v>
      </c>
      <c r="G661" s="34" t="s">
        <v>1241</v>
      </c>
      <c r="H661" s="40">
        <v>44032</v>
      </c>
      <c r="I661" s="35">
        <v>135360</v>
      </c>
      <c r="J661" s="35" t="s">
        <v>793</v>
      </c>
      <c r="K661" s="153">
        <v>44035</v>
      </c>
      <c r="X661" s="6"/>
      <c r="Y661" s="6"/>
      <c r="Z661" s="6"/>
      <c r="AA661" s="128"/>
      <c r="AB661" s="60"/>
      <c r="AC661" s="167"/>
      <c r="AD661" s="167"/>
      <c r="AE661" s="232"/>
      <c r="AF661" s="5"/>
      <c r="AG661" s="5"/>
    </row>
    <row r="662" spans="2:33">
      <c r="B662" s="32" t="s">
        <v>33</v>
      </c>
      <c r="C662" s="33" t="s">
        <v>528</v>
      </c>
      <c r="D662" s="36">
        <v>1</v>
      </c>
      <c r="E662" s="154">
        <v>290.68</v>
      </c>
      <c r="F662" s="36">
        <v>4314</v>
      </c>
      <c r="G662" s="34" t="s">
        <v>1166</v>
      </c>
      <c r="H662" s="40">
        <v>44011</v>
      </c>
      <c r="I662" s="35">
        <v>150400</v>
      </c>
      <c r="J662" s="35" t="s">
        <v>793</v>
      </c>
      <c r="K662" s="153">
        <v>44015</v>
      </c>
      <c r="X662" s="6"/>
      <c r="Y662" s="6"/>
      <c r="Z662" s="6"/>
      <c r="AA662" s="128"/>
      <c r="AB662" s="60"/>
      <c r="AC662" s="167"/>
      <c r="AD662" s="167"/>
      <c r="AE662" s="232"/>
      <c r="AF662" s="5"/>
      <c r="AG662" s="5"/>
    </row>
    <row r="663" spans="2:33">
      <c r="B663" s="32" t="s">
        <v>33</v>
      </c>
      <c r="C663" s="33" t="s">
        <v>528</v>
      </c>
      <c r="D663" s="36">
        <v>12</v>
      </c>
      <c r="E663" s="154">
        <v>251.75</v>
      </c>
      <c r="F663" s="36">
        <v>5925</v>
      </c>
      <c r="G663" s="34" t="s">
        <v>255</v>
      </c>
      <c r="H663" s="40">
        <v>43013</v>
      </c>
      <c r="I663" s="35">
        <v>122200</v>
      </c>
      <c r="J663" s="35" t="s">
        <v>793</v>
      </c>
      <c r="K663" s="153">
        <v>44018</v>
      </c>
      <c r="X663" s="6"/>
      <c r="Y663" s="6"/>
      <c r="Z663" s="6"/>
      <c r="AA663" s="128"/>
      <c r="AB663" s="60"/>
      <c r="AC663" s="167"/>
      <c r="AD663" s="167"/>
      <c r="AE663" s="232"/>
      <c r="AF663" s="5"/>
      <c r="AG663" s="5"/>
    </row>
    <row r="664" spans="2:33">
      <c r="B664" s="32" t="s">
        <v>35</v>
      </c>
      <c r="C664" s="33" t="s">
        <v>513</v>
      </c>
      <c r="D664" s="36">
        <v>37</v>
      </c>
      <c r="E664" s="154">
        <v>258.7</v>
      </c>
      <c r="F664" s="36">
        <v>2550</v>
      </c>
      <c r="G664" s="34" t="s">
        <v>153</v>
      </c>
      <c r="H664" s="40">
        <v>41455</v>
      </c>
      <c r="I664" s="35">
        <v>94839.42</v>
      </c>
      <c r="J664" s="35" t="s">
        <v>793</v>
      </c>
      <c r="K664" s="153">
        <v>44013</v>
      </c>
      <c r="X664" s="6"/>
      <c r="Y664" s="6"/>
      <c r="Z664" s="6"/>
      <c r="AA664" s="128"/>
      <c r="AB664" s="60"/>
      <c r="AC664" s="167"/>
      <c r="AD664" s="167"/>
      <c r="AE664" s="232"/>
      <c r="AF664" s="5"/>
      <c r="AG664" s="5"/>
    </row>
    <row r="665" spans="2:33">
      <c r="B665" s="32" t="s">
        <v>38</v>
      </c>
      <c r="C665" s="33" t="s">
        <v>512</v>
      </c>
      <c r="D665" s="36">
        <v>10</v>
      </c>
      <c r="E665" s="154">
        <v>255.81</v>
      </c>
      <c r="F665" s="36"/>
      <c r="G665" s="34" t="s">
        <v>860</v>
      </c>
      <c r="H665" s="40">
        <v>43405</v>
      </c>
      <c r="I665" s="35">
        <v>79900.2</v>
      </c>
      <c r="J665" s="35" t="s">
        <v>793</v>
      </c>
      <c r="K665" s="153">
        <v>44019</v>
      </c>
      <c r="X665" s="6"/>
      <c r="Y665" s="6"/>
      <c r="Z665" s="6"/>
      <c r="AA665" s="128"/>
      <c r="AB665" s="60"/>
      <c r="AC665" s="167"/>
      <c r="AD665" s="167"/>
      <c r="AE665" s="232"/>
      <c r="AF665" s="5"/>
      <c r="AG665" s="5"/>
    </row>
    <row r="666" spans="2:33">
      <c r="B666" s="32" t="s">
        <v>33</v>
      </c>
      <c r="C666" s="33" t="s">
        <v>525</v>
      </c>
      <c r="D666" s="36">
        <v>3</v>
      </c>
      <c r="E666" s="154">
        <v>253.01</v>
      </c>
      <c r="F666" s="36">
        <v>6213</v>
      </c>
      <c r="G666" s="34" t="s">
        <v>551</v>
      </c>
      <c r="H666" s="40">
        <v>43146</v>
      </c>
      <c r="I666" s="35">
        <v>119380.1</v>
      </c>
      <c r="J666" s="35" t="s">
        <v>793</v>
      </c>
      <c r="K666" s="153">
        <v>44060</v>
      </c>
      <c r="X666" s="6"/>
      <c r="Y666" s="6"/>
      <c r="Z666" s="6"/>
      <c r="AA666" s="128"/>
      <c r="AB666" s="60"/>
      <c r="AC666" s="167"/>
      <c r="AD666" s="167"/>
      <c r="AE666" s="232"/>
      <c r="AF666" s="5"/>
      <c r="AG666" s="5"/>
    </row>
    <row r="667" spans="2:33">
      <c r="B667" s="32" t="s">
        <v>33</v>
      </c>
      <c r="C667" s="33" t="s">
        <v>530</v>
      </c>
      <c r="D667" s="36">
        <v>13</v>
      </c>
      <c r="E667" s="154">
        <v>255.5</v>
      </c>
      <c r="F667" s="36">
        <v>6296</v>
      </c>
      <c r="G667" s="34" t="s">
        <v>410</v>
      </c>
      <c r="H667" s="40">
        <v>43146</v>
      </c>
      <c r="I667" s="35">
        <v>141000</v>
      </c>
      <c r="J667" s="35" t="s">
        <v>793</v>
      </c>
      <c r="K667" s="153">
        <v>44067</v>
      </c>
      <c r="X667" s="6"/>
      <c r="Y667" s="6"/>
      <c r="Z667" s="6"/>
      <c r="AA667" s="128"/>
      <c r="AB667" s="60"/>
      <c r="AC667" s="167"/>
      <c r="AD667" s="167"/>
      <c r="AE667" s="232"/>
      <c r="AF667" s="5"/>
      <c r="AG667" s="5"/>
    </row>
    <row r="668" spans="2:33">
      <c r="B668" s="32" t="s">
        <v>33</v>
      </c>
      <c r="C668" s="33" t="s">
        <v>531</v>
      </c>
      <c r="D668" s="36">
        <v>36</v>
      </c>
      <c r="E668" s="154">
        <v>255.25</v>
      </c>
      <c r="F668" s="36">
        <v>3857</v>
      </c>
      <c r="G668" s="34" t="s">
        <v>342</v>
      </c>
      <c r="H668" s="40">
        <v>41859</v>
      </c>
      <c r="I668" s="35">
        <v>103099.76</v>
      </c>
      <c r="J668" s="35" t="s">
        <v>793</v>
      </c>
      <c r="K668" s="153">
        <v>44053</v>
      </c>
      <c r="X668" s="6"/>
      <c r="Y668" s="6"/>
      <c r="Z668" s="6"/>
      <c r="AA668" s="128"/>
      <c r="AB668" s="60"/>
      <c r="AC668" s="167"/>
      <c r="AD668" s="167"/>
      <c r="AE668" s="232"/>
      <c r="AF668" s="5"/>
      <c r="AG668" s="5"/>
    </row>
    <row r="669" spans="2:33">
      <c r="B669" s="32" t="s">
        <v>35</v>
      </c>
      <c r="C669" s="33" t="s">
        <v>517</v>
      </c>
      <c r="D669" s="36">
        <v>12</v>
      </c>
      <c r="E669" s="154">
        <v>259.51</v>
      </c>
      <c r="F669" s="36">
        <v>2357</v>
      </c>
      <c r="G669" s="34" t="s">
        <v>296</v>
      </c>
      <c r="H669" s="40">
        <v>41440</v>
      </c>
      <c r="I669" s="35">
        <v>95136.37</v>
      </c>
      <c r="J669" s="35" t="s">
        <v>793</v>
      </c>
      <c r="K669" s="153">
        <v>44067</v>
      </c>
      <c r="X669" s="6"/>
      <c r="Y669" s="6"/>
      <c r="Z669" s="6"/>
      <c r="AA669" s="128"/>
      <c r="AB669" s="60"/>
      <c r="AC669" s="167"/>
      <c r="AD669" s="167"/>
      <c r="AE669" s="232"/>
      <c r="AF669" s="5"/>
      <c r="AG669" s="5"/>
    </row>
    <row r="670" spans="2:33">
      <c r="B670" s="32" t="s">
        <v>36</v>
      </c>
      <c r="C670" s="33" t="s">
        <v>521</v>
      </c>
      <c r="D670" s="36">
        <v>22</v>
      </c>
      <c r="E670" s="154">
        <v>250.75</v>
      </c>
      <c r="F670" s="36">
        <v>4733</v>
      </c>
      <c r="G670" s="34" t="s">
        <v>1270</v>
      </c>
      <c r="H670" s="40">
        <v>44055</v>
      </c>
      <c r="I670" s="35">
        <v>122200</v>
      </c>
      <c r="J670" s="35" t="s">
        <v>793</v>
      </c>
      <c r="K670" s="153">
        <v>44057</v>
      </c>
      <c r="X670" s="6"/>
      <c r="Y670" s="6"/>
      <c r="Z670" s="6"/>
      <c r="AA670" s="128"/>
      <c r="AB670" s="60"/>
      <c r="AC670" s="167"/>
      <c r="AD670" s="167"/>
      <c r="AE670" s="232"/>
      <c r="AF670" s="5"/>
      <c r="AG670" s="5"/>
    </row>
    <row r="671" spans="2:33">
      <c r="B671" s="32" t="s">
        <v>34</v>
      </c>
      <c r="C671" s="33" t="s">
        <v>508</v>
      </c>
      <c r="D671" s="36">
        <v>4</v>
      </c>
      <c r="E671" s="154">
        <v>256.14</v>
      </c>
      <c r="F671" s="36">
        <v>4786</v>
      </c>
      <c r="G671" s="34" t="s">
        <v>1310</v>
      </c>
      <c r="H671" s="40">
        <v>44097</v>
      </c>
      <c r="I671" s="35">
        <v>141000</v>
      </c>
      <c r="J671" s="35" t="s">
        <v>793</v>
      </c>
      <c r="K671" s="153">
        <v>44102</v>
      </c>
      <c r="X671" s="6"/>
      <c r="Y671" s="6"/>
      <c r="Z671" s="6"/>
      <c r="AA671" s="128"/>
      <c r="AB671" s="60"/>
      <c r="AC671" s="167"/>
      <c r="AD671" s="167"/>
      <c r="AE671" s="232"/>
      <c r="AF671" s="5"/>
      <c r="AG671" s="5"/>
    </row>
    <row r="672" spans="2:33">
      <c r="B672" s="32" t="s">
        <v>878</v>
      </c>
      <c r="C672" s="33" t="s">
        <v>618</v>
      </c>
      <c r="D672" s="36">
        <v>21</v>
      </c>
      <c r="E672" s="154">
        <v>253.57</v>
      </c>
      <c r="F672" s="36">
        <v>4787</v>
      </c>
      <c r="G672" s="34" t="s">
        <v>1313</v>
      </c>
      <c r="H672" s="40">
        <v>44098</v>
      </c>
      <c r="I672" s="35">
        <v>131600</v>
      </c>
      <c r="J672" s="35" t="s">
        <v>793</v>
      </c>
      <c r="K672" s="153">
        <v>44102</v>
      </c>
      <c r="X672" s="6"/>
      <c r="Y672" s="6"/>
      <c r="Z672" s="6"/>
      <c r="AA672" s="128"/>
      <c r="AB672" s="60"/>
      <c r="AC672" s="167"/>
      <c r="AD672" s="167"/>
      <c r="AE672" s="232"/>
      <c r="AF672" s="5"/>
      <c r="AG672" s="5"/>
    </row>
    <row r="673" spans="2:33">
      <c r="B673" s="32" t="s">
        <v>33</v>
      </c>
      <c r="C673" s="33" t="s">
        <v>535</v>
      </c>
      <c r="D673" s="36">
        <v>1</v>
      </c>
      <c r="E673" s="154">
        <v>255.45</v>
      </c>
      <c r="F673" s="36">
        <v>4788</v>
      </c>
      <c r="G673" s="34" t="s">
        <v>1316</v>
      </c>
      <c r="H673" s="40">
        <v>44075</v>
      </c>
      <c r="I673" s="35">
        <v>119756</v>
      </c>
      <c r="J673" s="35" t="s">
        <v>793</v>
      </c>
      <c r="K673" s="153">
        <v>44083</v>
      </c>
      <c r="X673" s="6"/>
      <c r="Y673" s="6"/>
      <c r="Z673" s="6"/>
      <c r="AA673" s="128"/>
      <c r="AB673" s="60"/>
      <c r="AC673" s="167"/>
      <c r="AD673" s="167"/>
      <c r="AE673" s="232"/>
      <c r="AF673" s="5"/>
      <c r="AG673" s="5"/>
    </row>
    <row r="674" spans="2:33">
      <c r="B674" s="32" t="s">
        <v>33</v>
      </c>
      <c r="C674" s="33" t="s">
        <v>531</v>
      </c>
      <c r="D674" s="36">
        <v>2</v>
      </c>
      <c r="E674" s="154">
        <v>253.75</v>
      </c>
      <c r="F674" s="36">
        <v>4768</v>
      </c>
      <c r="G674" s="34" t="s">
        <v>1319</v>
      </c>
      <c r="H674" s="40">
        <v>44075</v>
      </c>
      <c r="I674" s="35">
        <v>137240</v>
      </c>
      <c r="J674" s="35" t="s">
        <v>793</v>
      </c>
      <c r="K674" s="153">
        <v>44075</v>
      </c>
      <c r="X674" s="6"/>
      <c r="Y674" s="6"/>
      <c r="Z674" s="6"/>
      <c r="AA674" s="128"/>
      <c r="AB674" s="60"/>
      <c r="AC674" s="167"/>
      <c r="AD674" s="167"/>
      <c r="AE674" s="232"/>
      <c r="AF674" s="5"/>
      <c r="AG674" s="5"/>
    </row>
    <row r="675" spans="2:33">
      <c r="B675" s="32" t="s">
        <v>38</v>
      </c>
      <c r="C675" s="33" t="s">
        <v>512</v>
      </c>
      <c r="D675" s="36">
        <v>19</v>
      </c>
      <c r="E675" s="154">
        <v>265.79000000000002</v>
      </c>
      <c r="F675" s="36"/>
      <c r="G675" s="34" t="s">
        <v>863</v>
      </c>
      <c r="H675" s="40">
        <v>43405</v>
      </c>
      <c r="I675" s="35">
        <v>79900</v>
      </c>
      <c r="J675" s="35" t="s">
        <v>793</v>
      </c>
      <c r="K675" s="153">
        <v>44083</v>
      </c>
      <c r="X675" s="6"/>
      <c r="Y675" s="6"/>
      <c r="Z675" s="6"/>
      <c r="AA675" s="128"/>
      <c r="AB675" s="60"/>
      <c r="AC675" s="167"/>
      <c r="AD675" s="167"/>
      <c r="AE675" s="232"/>
      <c r="AF675" s="5"/>
      <c r="AG675" s="5"/>
    </row>
    <row r="676" spans="2:33">
      <c r="B676" s="32" t="s">
        <v>35</v>
      </c>
      <c r="C676" s="33" t="s">
        <v>517</v>
      </c>
      <c r="D676" s="36">
        <v>29</v>
      </c>
      <c r="E676" s="154">
        <v>263.51</v>
      </c>
      <c r="F676" s="36">
        <v>3580</v>
      </c>
      <c r="G676" s="34" t="s">
        <v>463</v>
      </c>
      <c r="H676" s="40">
        <v>41703</v>
      </c>
      <c r="I676" s="35">
        <v>106510.84</v>
      </c>
      <c r="J676" s="35" t="s">
        <v>793</v>
      </c>
      <c r="K676" s="153">
        <v>44088</v>
      </c>
      <c r="X676" s="6"/>
      <c r="Y676" s="6"/>
      <c r="Z676" s="6"/>
      <c r="AA676" s="128"/>
      <c r="AB676" s="60"/>
      <c r="AC676" s="167"/>
      <c r="AD676" s="167"/>
      <c r="AE676" s="232"/>
      <c r="AF676" s="5"/>
      <c r="AG676" s="5"/>
    </row>
    <row r="677" spans="2:33">
      <c r="B677" s="32" t="s">
        <v>35</v>
      </c>
      <c r="C677" s="33" t="s">
        <v>517</v>
      </c>
      <c r="D677" s="36">
        <v>44</v>
      </c>
      <c r="E677" s="154">
        <v>250.97</v>
      </c>
      <c r="F677" s="36">
        <v>2459</v>
      </c>
      <c r="G677" s="34" t="s">
        <v>868</v>
      </c>
      <c r="H677" s="40">
        <v>41449</v>
      </c>
      <c r="I677" s="35">
        <v>96706.92</v>
      </c>
      <c r="J677" s="35" t="s">
        <v>793</v>
      </c>
      <c r="K677" s="153">
        <v>44083</v>
      </c>
      <c r="X677" s="6"/>
      <c r="Y677" s="6"/>
      <c r="Z677" s="6"/>
      <c r="AA677" s="128"/>
      <c r="AB677" s="60"/>
      <c r="AC677" s="167"/>
      <c r="AD677" s="167"/>
      <c r="AE677" s="232"/>
      <c r="AF677" s="5"/>
      <c r="AG677" s="5"/>
    </row>
    <row r="678" spans="2:33">
      <c r="B678" s="32" t="s">
        <v>33</v>
      </c>
      <c r="C678" s="33" t="s">
        <v>523</v>
      </c>
      <c r="D678" s="36">
        <v>23</v>
      </c>
      <c r="E678" s="154">
        <v>256.19</v>
      </c>
      <c r="F678" s="36">
        <v>4937</v>
      </c>
      <c r="G678" s="34" t="s">
        <v>315</v>
      </c>
      <c r="H678" s="40">
        <v>42230</v>
      </c>
      <c r="I678" s="35">
        <v>128899.7</v>
      </c>
      <c r="J678" s="35" t="s">
        <v>793</v>
      </c>
      <c r="K678" s="153">
        <v>44134</v>
      </c>
      <c r="X678" s="6"/>
      <c r="Y678" s="6"/>
      <c r="Z678" s="6"/>
      <c r="AA678" s="128"/>
      <c r="AB678" s="60"/>
      <c r="AC678" s="167"/>
      <c r="AD678" s="167"/>
      <c r="AE678" s="232"/>
      <c r="AF678" s="5"/>
      <c r="AG678" s="5"/>
    </row>
    <row r="679" spans="2:33">
      <c r="B679" s="32" t="s">
        <v>37</v>
      </c>
      <c r="C679" s="33" t="s">
        <v>532</v>
      </c>
      <c r="D679" s="36">
        <v>12</v>
      </c>
      <c r="E679" s="154">
        <v>252.5</v>
      </c>
      <c r="F679" s="36">
        <v>2515</v>
      </c>
      <c r="G679" s="34" t="s">
        <v>246</v>
      </c>
      <c r="H679" s="40">
        <v>41435</v>
      </c>
      <c r="I679" s="35">
        <v>79749.600000000006</v>
      </c>
      <c r="J679" s="35" t="s">
        <v>793</v>
      </c>
      <c r="K679" s="153">
        <v>44132</v>
      </c>
      <c r="X679" s="6"/>
      <c r="Y679" s="6"/>
      <c r="Z679" s="6"/>
      <c r="AA679" s="128"/>
      <c r="AB679" s="60"/>
      <c r="AC679" s="167"/>
      <c r="AD679" s="167"/>
      <c r="AE679" s="232"/>
      <c r="AF679" s="5"/>
      <c r="AG679" s="5"/>
    </row>
    <row r="680" spans="2:33">
      <c r="B680" s="32" t="s">
        <v>878</v>
      </c>
      <c r="C680" s="33" t="s">
        <v>620</v>
      </c>
      <c r="D680" s="36">
        <v>34</v>
      </c>
      <c r="E680" s="154">
        <v>256.73</v>
      </c>
      <c r="F680" s="36"/>
      <c r="G680" s="34" t="s">
        <v>1341</v>
      </c>
      <c r="H680" s="40">
        <v>44113</v>
      </c>
      <c r="I680" s="35">
        <v>119662</v>
      </c>
      <c r="J680" s="35" t="s">
        <v>793</v>
      </c>
      <c r="K680" s="153">
        <v>44118</v>
      </c>
      <c r="X680" s="6"/>
      <c r="Y680" s="6"/>
      <c r="Z680" s="6"/>
      <c r="AA680" s="128"/>
      <c r="AB680" s="60"/>
      <c r="AC680" s="167"/>
      <c r="AD680" s="167"/>
      <c r="AE680" s="232"/>
      <c r="AF680" s="5"/>
      <c r="AG680" s="5"/>
    </row>
    <row r="681" spans="2:33">
      <c r="B681" s="32" t="s">
        <v>33</v>
      </c>
      <c r="C681" s="33" t="s">
        <v>531</v>
      </c>
      <c r="D681" s="36">
        <v>17</v>
      </c>
      <c r="E681" s="154">
        <v>253.75</v>
      </c>
      <c r="F681" s="36"/>
      <c r="G681" s="34" t="s">
        <v>1342</v>
      </c>
      <c r="H681" s="40"/>
      <c r="I681" s="35"/>
      <c r="J681" s="35" t="s">
        <v>793</v>
      </c>
      <c r="K681" s="153"/>
      <c r="X681" s="6"/>
      <c r="Y681" s="6"/>
      <c r="Z681" s="6"/>
      <c r="AA681" s="128"/>
      <c r="AB681" s="60"/>
      <c r="AC681" s="167"/>
      <c r="AD681" s="167"/>
      <c r="AE681" s="232"/>
      <c r="AF681" s="5"/>
      <c r="AG681" s="5"/>
    </row>
    <row r="682" spans="2:33">
      <c r="B682" s="32" t="s">
        <v>878</v>
      </c>
      <c r="C682" s="33" t="s">
        <v>619</v>
      </c>
      <c r="D682" s="36">
        <v>22</v>
      </c>
      <c r="E682" s="154">
        <v>250.07</v>
      </c>
      <c r="F682" s="36">
        <v>4823</v>
      </c>
      <c r="G682" s="34" t="s">
        <v>1334</v>
      </c>
      <c r="H682" s="40">
        <v>44112</v>
      </c>
      <c r="I682" s="35">
        <v>117500</v>
      </c>
      <c r="J682" s="35" t="s">
        <v>793</v>
      </c>
      <c r="K682" s="153">
        <v>44145</v>
      </c>
      <c r="X682" s="6"/>
      <c r="Y682" s="6"/>
      <c r="Z682" s="6"/>
      <c r="AA682" s="128"/>
      <c r="AB682" s="60"/>
      <c r="AC682" s="167"/>
      <c r="AD682" s="167"/>
      <c r="AE682" s="232"/>
      <c r="AF682" s="5"/>
      <c r="AG682" s="5"/>
    </row>
    <row r="683" spans="2:33">
      <c r="B683" s="32" t="s">
        <v>878</v>
      </c>
      <c r="C683" s="33" t="s">
        <v>619</v>
      </c>
      <c r="D683" s="36">
        <v>28</v>
      </c>
      <c r="E683" s="154">
        <v>250.07</v>
      </c>
      <c r="F683" s="36">
        <v>4826</v>
      </c>
      <c r="G683" s="34" t="s">
        <v>1335</v>
      </c>
      <c r="H683" s="40">
        <v>44113</v>
      </c>
      <c r="I683" s="35">
        <v>117500</v>
      </c>
      <c r="J683" s="35" t="s">
        <v>793</v>
      </c>
      <c r="K683" s="153">
        <v>44145</v>
      </c>
      <c r="X683" s="6"/>
      <c r="Y683" s="6"/>
      <c r="Z683" s="6"/>
      <c r="AA683" s="128"/>
      <c r="AB683" s="60"/>
      <c r="AC683" s="167"/>
      <c r="AD683" s="167"/>
      <c r="AE683" s="232"/>
      <c r="AF683" s="5"/>
      <c r="AG683" s="5"/>
    </row>
    <row r="684" spans="2:33">
      <c r="B684" s="32" t="s">
        <v>878</v>
      </c>
      <c r="C684" s="33" t="s">
        <v>619</v>
      </c>
      <c r="D684" s="36">
        <v>5</v>
      </c>
      <c r="E684" s="154">
        <v>256.60000000000002</v>
      </c>
      <c r="F684" s="36">
        <v>7049</v>
      </c>
      <c r="G684" s="34" t="s">
        <v>939</v>
      </c>
      <c r="H684" s="40">
        <v>43538</v>
      </c>
      <c r="I684" s="35">
        <v>125093.26</v>
      </c>
      <c r="J684" s="35" t="s">
        <v>793</v>
      </c>
      <c r="K684" s="153">
        <v>44165</v>
      </c>
      <c r="X684" s="6"/>
      <c r="Y684" s="6"/>
      <c r="Z684" s="6"/>
      <c r="AA684" s="128"/>
      <c r="AB684" s="60"/>
      <c r="AC684" s="167"/>
      <c r="AD684" s="167"/>
      <c r="AE684" s="232"/>
      <c r="AF684" s="5"/>
      <c r="AG684" s="5"/>
    </row>
    <row r="685" spans="2:33">
      <c r="B685" s="32" t="s">
        <v>33</v>
      </c>
      <c r="C685" s="33" t="s">
        <v>528</v>
      </c>
      <c r="D685" s="36">
        <v>13</v>
      </c>
      <c r="E685" s="154">
        <v>251.75</v>
      </c>
      <c r="F685" s="36">
        <v>6337</v>
      </c>
      <c r="G685" s="34" t="s">
        <v>630</v>
      </c>
      <c r="H685" s="40">
        <v>43221</v>
      </c>
      <c r="I685" s="35">
        <v>146835.26</v>
      </c>
      <c r="J685" s="35" t="s">
        <v>793</v>
      </c>
      <c r="K685" s="153">
        <v>44151</v>
      </c>
      <c r="X685" s="6"/>
      <c r="Y685" s="6"/>
      <c r="Z685" s="6"/>
      <c r="AA685" s="128"/>
      <c r="AB685" s="60"/>
      <c r="AC685" s="167"/>
      <c r="AD685" s="167"/>
      <c r="AE685" s="232"/>
      <c r="AF685" s="5"/>
      <c r="AG685" s="5"/>
    </row>
    <row r="686" spans="2:33">
      <c r="B686" s="32" t="s">
        <v>33</v>
      </c>
      <c r="C686" s="33" t="s">
        <v>529</v>
      </c>
      <c r="D686" s="36">
        <v>20</v>
      </c>
      <c r="E686" s="154">
        <v>253.8</v>
      </c>
      <c r="F686" s="36">
        <v>6330</v>
      </c>
      <c r="G686" s="34" t="s">
        <v>588</v>
      </c>
      <c r="H686" s="40">
        <v>43213</v>
      </c>
      <c r="I686" s="35">
        <v>143820</v>
      </c>
      <c r="J686" s="35" t="s">
        <v>793</v>
      </c>
      <c r="K686" s="153">
        <v>44145</v>
      </c>
      <c r="X686" s="6"/>
      <c r="Y686" s="6"/>
      <c r="Z686" s="6"/>
      <c r="AA686" s="128"/>
      <c r="AB686" s="60"/>
      <c r="AC686" s="167"/>
      <c r="AD686" s="167"/>
      <c r="AE686" s="232"/>
      <c r="AF686" s="5"/>
      <c r="AG686" s="5"/>
    </row>
    <row r="687" spans="2:33">
      <c r="B687" s="32" t="s">
        <v>33</v>
      </c>
      <c r="C687" s="33" t="s">
        <v>531</v>
      </c>
      <c r="D687" s="36">
        <v>32</v>
      </c>
      <c r="E687" s="154">
        <v>255.25</v>
      </c>
      <c r="F687" s="36">
        <v>5132</v>
      </c>
      <c r="G687" s="34" t="s">
        <v>359</v>
      </c>
      <c r="H687" s="40">
        <v>42432</v>
      </c>
      <c r="I687" s="35">
        <v>130049.2</v>
      </c>
      <c r="J687" s="35" t="s">
        <v>793</v>
      </c>
      <c r="K687" s="153">
        <v>44138</v>
      </c>
      <c r="X687" s="6"/>
      <c r="Y687" s="6"/>
      <c r="Z687" s="6"/>
      <c r="AA687" s="128"/>
      <c r="AB687" s="60"/>
      <c r="AC687" s="167"/>
      <c r="AD687" s="167"/>
      <c r="AE687" s="232"/>
      <c r="AF687" s="5"/>
      <c r="AG687" s="5"/>
    </row>
    <row r="688" spans="2:33">
      <c r="B688" s="32" t="s">
        <v>33</v>
      </c>
      <c r="C688" s="33" t="s">
        <v>531</v>
      </c>
      <c r="D688" s="36">
        <v>42</v>
      </c>
      <c r="E688" s="154">
        <v>353.3</v>
      </c>
      <c r="F688" s="36">
        <v>6381</v>
      </c>
      <c r="G688" s="34" t="s">
        <v>207</v>
      </c>
      <c r="H688" s="40">
        <v>43245</v>
      </c>
      <c r="I688" s="35">
        <v>145000</v>
      </c>
      <c r="J688" s="35" t="s">
        <v>793</v>
      </c>
      <c r="K688" s="153">
        <v>44138</v>
      </c>
      <c r="X688" s="6"/>
      <c r="Y688" s="6"/>
      <c r="Z688" s="6"/>
      <c r="AA688" s="128"/>
      <c r="AB688" s="60"/>
      <c r="AC688" s="167"/>
      <c r="AD688" s="167"/>
      <c r="AE688" s="232"/>
      <c r="AF688" s="5"/>
      <c r="AG688" s="5"/>
    </row>
    <row r="689" spans="2:33">
      <c r="B689" s="32" t="s">
        <v>38</v>
      </c>
      <c r="C689" s="33" t="s">
        <v>511</v>
      </c>
      <c r="D689" s="36">
        <v>14</v>
      </c>
      <c r="E689" s="154">
        <v>253</v>
      </c>
      <c r="F689" s="36">
        <v>4482</v>
      </c>
      <c r="G689" s="34" t="s">
        <v>432</v>
      </c>
      <c r="H689" s="40">
        <v>42066</v>
      </c>
      <c r="I689" s="35">
        <v>110000.6</v>
      </c>
      <c r="J689" s="35" t="s">
        <v>793</v>
      </c>
      <c r="K689" s="153">
        <v>44153</v>
      </c>
      <c r="X689" s="6"/>
      <c r="Y689" s="6"/>
      <c r="Z689" s="6"/>
      <c r="AA689" s="128"/>
      <c r="AB689" s="60"/>
      <c r="AC689" s="167"/>
      <c r="AD689" s="167"/>
      <c r="AE689" s="232"/>
      <c r="AF689" s="5"/>
      <c r="AG689" s="5"/>
    </row>
    <row r="690" spans="2:33">
      <c r="B690" s="32" t="s">
        <v>38</v>
      </c>
      <c r="C690" s="33" t="s">
        <v>512</v>
      </c>
      <c r="D690" s="36">
        <v>9</v>
      </c>
      <c r="E690" s="154">
        <v>255.81</v>
      </c>
      <c r="F690" s="36">
        <v>6795</v>
      </c>
      <c r="G690" s="34" t="s">
        <v>875</v>
      </c>
      <c r="H690" s="40">
        <v>43437</v>
      </c>
      <c r="I690" s="35">
        <v>79900</v>
      </c>
      <c r="J690" s="35" t="s">
        <v>793</v>
      </c>
      <c r="K690" s="153">
        <v>44152</v>
      </c>
      <c r="X690" s="6"/>
      <c r="Y690" s="6"/>
      <c r="Z690" s="6"/>
      <c r="AA690" s="128"/>
      <c r="AB690" s="60"/>
      <c r="AC690" s="167"/>
      <c r="AD690" s="167"/>
      <c r="AE690" s="232"/>
      <c r="AF690" s="5"/>
      <c r="AG690" s="5"/>
    </row>
    <row r="691" spans="2:33">
      <c r="B691" s="32" t="s">
        <v>35</v>
      </c>
      <c r="C691" s="33" t="s">
        <v>513</v>
      </c>
      <c r="D691" s="36">
        <v>1</v>
      </c>
      <c r="E691" s="154">
        <v>318.86</v>
      </c>
      <c r="F691" s="36">
        <v>3843</v>
      </c>
      <c r="G691" s="34" t="s">
        <v>386</v>
      </c>
      <c r="H691" s="40">
        <v>41843</v>
      </c>
      <c r="I691" s="35">
        <v>116153.83</v>
      </c>
      <c r="J691" s="35" t="s">
        <v>793</v>
      </c>
      <c r="K691" s="153">
        <v>44155</v>
      </c>
      <c r="X691" s="6"/>
      <c r="Y691" s="6"/>
      <c r="Z691" s="6"/>
      <c r="AA691" s="128"/>
      <c r="AB691" s="60"/>
      <c r="AC691" s="167"/>
      <c r="AD691" s="167"/>
      <c r="AE691" s="232"/>
      <c r="AF691" s="5"/>
      <c r="AG691" s="5"/>
    </row>
    <row r="692" spans="2:33">
      <c r="B692" s="32" t="s">
        <v>35</v>
      </c>
      <c r="C692" s="33" t="s">
        <v>513</v>
      </c>
      <c r="D692" s="36">
        <v>42</v>
      </c>
      <c r="E692" s="154">
        <v>258.7</v>
      </c>
      <c r="F692" s="36">
        <v>2523</v>
      </c>
      <c r="G692" s="34" t="s">
        <v>299</v>
      </c>
      <c r="H692" s="40">
        <v>41441</v>
      </c>
      <c r="I692" s="35">
        <v>94839.42</v>
      </c>
      <c r="J692" s="35" t="s">
        <v>793</v>
      </c>
      <c r="K692" s="153">
        <v>44162</v>
      </c>
      <c r="X692" s="6"/>
      <c r="Y692" s="6"/>
      <c r="Z692" s="6"/>
      <c r="AA692" s="128"/>
      <c r="AB692" s="60"/>
      <c r="AC692" s="167"/>
      <c r="AD692" s="167"/>
      <c r="AE692" s="232"/>
      <c r="AF692" s="5"/>
      <c r="AG692" s="5"/>
    </row>
    <row r="693" spans="2:33">
      <c r="B693" s="32" t="s">
        <v>35</v>
      </c>
      <c r="C693" s="33" t="s">
        <v>519</v>
      </c>
      <c r="D693" s="36">
        <v>12</v>
      </c>
      <c r="E693" s="154">
        <v>257.33</v>
      </c>
      <c r="F693" s="36"/>
      <c r="G693" s="34" t="s">
        <v>1178</v>
      </c>
      <c r="H693" s="40">
        <v>43678</v>
      </c>
      <c r="I693" s="35">
        <v>150400</v>
      </c>
      <c r="J693" s="35" t="s">
        <v>793</v>
      </c>
      <c r="K693" s="153">
        <v>44161</v>
      </c>
      <c r="X693" s="6"/>
      <c r="Y693" s="6"/>
      <c r="Z693" s="6"/>
      <c r="AA693" s="128"/>
      <c r="AB693" s="60"/>
      <c r="AC693" s="167"/>
      <c r="AD693" s="167"/>
      <c r="AE693" s="232"/>
      <c r="AF693" s="5"/>
      <c r="AG693" s="5"/>
    </row>
    <row r="694" spans="2:33">
      <c r="B694" s="32" t="s">
        <v>35</v>
      </c>
      <c r="C694" s="33" t="s">
        <v>519</v>
      </c>
      <c r="D694" s="36">
        <v>9</v>
      </c>
      <c r="E694" s="154">
        <v>257.33</v>
      </c>
      <c r="F694" s="36">
        <v>3518</v>
      </c>
      <c r="G694" s="34" t="s">
        <v>243</v>
      </c>
      <c r="H694" s="40">
        <v>41655</v>
      </c>
      <c r="I694" s="35">
        <v>96514.19</v>
      </c>
      <c r="J694" s="35" t="s">
        <v>793</v>
      </c>
      <c r="K694" s="153">
        <v>44153</v>
      </c>
      <c r="X694" s="6"/>
      <c r="Y694" s="6"/>
      <c r="Z694" s="6"/>
      <c r="AA694" s="128"/>
      <c r="AB694" s="60"/>
      <c r="AC694" s="167"/>
      <c r="AD694" s="167"/>
      <c r="AE694" s="232"/>
      <c r="AF694" s="5"/>
      <c r="AG694" s="5"/>
    </row>
    <row r="695" spans="2:33">
      <c r="B695" s="32" t="s">
        <v>33</v>
      </c>
      <c r="C695" s="33" t="s">
        <v>527</v>
      </c>
      <c r="D695" s="36">
        <v>8</v>
      </c>
      <c r="E695" s="154">
        <v>250.5</v>
      </c>
      <c r="F695" s="36">
        <v>7138</v>
      </c>
      <c r="G695" s="34" t="s">
        <v>949</v>
      </c>
      <c r="H695" s="40">
        <v>43559</v>
      </c>
      <c r="I695" s="35">
        <v>148520</v>
      </c>
      <c r="J695" s="35" t="s">
        <v>793</v>
      </c>
      <c r="K695" s="153">
        <v>44162</v>
      </c>
      <c r="X695" s="6"/>
      <c r="Y695" s="6"/>
      <c r="Z695" s="6"/>
      <c r="AA695" s="128"/>
      <c r="AB695" s="60"/>
      <c r="AC695" s="167"/>
      <c r="AD695" s="167"/>
      <c r="AE695" s="232"/>
      <c r="AF695" s="5"/>
      <c r="AG695" s="5"/>
    </row>
    <row r="696" spans="2:33">
      <c r="B696" s="32" t="s">
        <v>33</v>
      </c>
      <c r="C696" s="33" t="s">
        <v>529</v>
      </c>
      <c r="D696" s="36">
        <v>2</v>
      </c>
      <c r="E696" s="154">
        <v>257</v>
      </c>
      <c r="F696" s="36">
        <v>4794</v>
      </c>
      <c r="G696" s="34" t="s">
        <v>1318</v>
      </c>
      <c r="H696" s="40">
        <v>44102</v>
      </c>
      <c r="I696" s="35">
        <v>152327</v>
      </c>
      <c r="J696" s="35" t="s">
        <v>793</v>
      </c>
      <c r="K696" s="153">
        <v>44160</v>
      </c>
      <c r="X696" s="6"/>
      <c r="Y696" s="6"/>
      <c r="Z696" s="6"/>
      <c r="AA696" s="128"/>
      <c r="AB696" s="60"/>
      <c r="AC696" s="167"/>
      <c r="AD696" s="167"/>
      <c r="AE696" s="232"/>
      <c r="AF696" s="5"/>
      <c r="AG696" s="5"/>
    </row>
    <row r="697" spans="2:33">
      <c r="B697" s="32" t="s">
        <v>612</v>
      </c>
      <c r="C697" s="33" t="s">
        <v>614</v>
      </c>
      <c r="D697" s="36">
        <v>13</v>
      </c>
      <c r="E697" s="154">
        <v>257</v>
      </c>
      <c r="F697" s="36">
        <v>4812</v>
      </c>
      <c r="G697" s="34" t="s">
        <v>1331</v>
      </c>
      <c r="H697" s="40">
        <v>44111</v>
      </c>
      <c r="I697" s="35">
        <v>112800</v>
      </c>
      <c r="J697" s="35" t="s">
        <v>793</v>
      </c>
      <c r="K697" s="153">
        <v>44145</v>
      </c>
      <c r="X697" s="6"/>
      <c r="Y697" s="6"/>
      <c r="Z697" s="6"/>
      <c r="AA697" s="128"/>
      <c r="AB697" s="60"/>
      <c r="AC697" s="167"/>
      <c r="AD697" s="167"/>
      <c r="AE697" s="232"/>
      <c r="AF697" s="5"/>
      <c r="AG697" s="5"/>
    </row>
    <row r="698" spans="2:33">
      <c r="B698" s="32" t="s">
        <v>878</v>
      </c>
      <c r="C698" s="33" t="s">
        <v>619</v>
      </c>
      <c r="D698" s="36">
        <v>23</v>
      </c>
      <c r="E698" s="154">
        <v>250.07</v>
      </c>
      <c r="F698" s="36">
        <v>4840</v>
      </c>
      <c r="G698" s="34" t="s">
        <v>1337</v>
      </c>
      <c r="H698" s="40">
        <v>44106</v>
      </c>
      <c r="I698" s="35">
        <v>117500</v>
      </c>
      <c r="J698" s="35" t="s">
        <v>793</v>
      </c>
      <c r="K698" s="153">
        <v>44145</v>
      </c>
      <c r="X698" s="6"/>
      <c r="Y698" s="6"/>
      <c r="Z698" s="6"/>
      <c r="AA698" s="128"/>
      <c r="AB698" s="60"/>
      <c r="AC698" s="167"/>
      <c r="AD698" s="167"/>
      <c r="AE698" s="232"/>
      <c r="AF698" s="5"/>
      <c r="AG698" s="5"/>
    </row>
    <row r="699" spans="2:33">
      <c r="B699" s="32" t="s">
        <v>878</v>
      </c>
      <c r="C699" s="33" t="s">
        <v>619</v>
      </c>
      <c r="D699" s="36">
        <v>24</v>
      </c>
      <c r="E699" s="154">
        <v>250.07</v>
      </c>
      <c r="F699" s="36">
        <v>4832</v>
      </c>
      <c r="G699" s="34" t="s">
        <v>1336</v>
      </c>
      <c r="H699" s="40">
        <v>44106</v>
      </c>
      <c r="I699" s="35">
        <v>117500</v>
      </c>
      <c r="J699" s="35" t="s">
        <v>793</v>
      </c>
      <c r="K699" s="153">
        <v>44145</v>
      </c>
      <c r="X699" s="6"/>
      <c r="Y699" s="6"/>
      <c r="Z699" s="6"/>
      <c r="AA699" s="128"/>
      <c r="AB699" s="60"/>
      <c r="AC699" s="167"/>
      <c r="AD699" s="167"/>
      <c r="AE699" s="232"/>
      <c r="AF699" s="5"/>
      <c r="AG699" s="5"/>
    </row>
    <row r="700" spans="2:33">
      <c r="B700" s="32" t="s">
        <v>878</v>
      </c>
      <c r="C700" s="33" t="s">
        <v>619</v>
      </c>
      <c r="D700" s="36">
        <v>25</v>
      </c>
      <c r="E700" s="154">
        <v>250.07</v>
      </c>
      <c r="F700" s="36">
        <v>4833</v>
      </c>
      <c r="G700" s="34" t="s">
        <v>1336</v>
      </c>
      <c r="H700" s="40">
        <v>44110</v>
      </c>
      <c r="I700" s="35">
        <v>117500</v>
      </c>
      <c r="J700" s="35" t="s">
        <v>793</v>
      </c>
      <c r="K700" s="153">
        <v>44145</v>
      </c>
      <c r="X700" s="6"/>
      <c r="Y700" s="6"/>
      <c r="Z700" s="6"/>
      <c r="AA700" s="128"/>
      <c r="AB700" s="60"/>
      <c r="AC700" s="167"/>
      <c r="AD700" s="167"/>
      <c r="AE700" s="232"/>
      <c r="AF700" s="5"/>
      <c r="AG700" s="5"/>
    </row>
    <row r="701" spans="2:33">
      <c r="B701" s="32" t="s">
        <v>878</v>
      </c>
      <c r="C701" s="33" t="s">
        <v>619</v>
      </c>
      <c r="D701" s="36">
        <v>26</v>
      </c>
      <c r="E701" s="154">
        <v>250.07</v>
      </c>
      <c r="F701" s="36">
        <v>4835</v>
      </c>
      <c r="G701" s="34" t="s">
        <v>1345</v>
      </c>
      <c r="H701" s="40">
        <v>44112</v>
      </c>
      <c r="I701" s="35">
        <v>117500</v>
      </c>
      <c r="J701" s="35" t="s">
        <v>793</v>
      </c>
      <c r="K701" s="153">
        <v>44145</v>
      </c>
      <c r="X701" s="6"/>
      <c r="Y701" s="6"/>
      <c r="Z701" s="6"/>
      <c r="AA701" s="128"/>
      <c r="AB701" s="60"/>
      <c r="AC701" s="167"/>
      <c r="AD701" s="167"/>
      <c r="AE701" s="232"/>
      <c r="AF701" s="5"/>
      <c r="AG701" s="5"/>
    </row>
    <row r="702" spans="2:33">
      <c r="B702" s="32" t="s">
        <v>878</v>
      </c>
      <c r="C702" s="33" t="s">
        <v>619</v>
      </c>
      <c r="D702" s="36">
        <v>27</v>
      </c>
      <c r="E702" s="154">
        <v>250.07</v>
      </c>
      <c r="F702" s="36">
        <v>4824</v>
      </c>
      <c r="G702" s="34" t="s">
        <v>1345</v>
      </c>
      <c r="H702" s="40">
        <v>44112</v>
      </c>
      <c r="I702" s="35">
        <v>117500</v>
      </c>
      <c r="J702" s="35" t="s">
        <v>793</v>
      </c>
      <c r="K702" s="153">
        <v>44145</v>
      </c>
      <c r="X702" s="6"/>
      <c r="Y702" s="6"/>
      <c r="Z702" s="6"/>
      <c r="AA702" s="128"/>
      <c r="AB702" s="60"/>
      <c r="AC702" s="167"/>
      <c r="AD702" s="167"/>
      <c r="AE702" s="232"/>
      <c r="AF702" s="5"/>
      <c r="AG702" s="5"/>
    </row>
    <row r="703" spans="2:33">
      <c r="B703" s="32" t="s">
        <v>878</v>
      </c>
      <c r="C703" s="33" t="s">
        <v>619</v>
      </c>
      <c r="D703" s="36">
        <v>29</v>
      </c>
      <c r="E703" s="154">
        <v>250.07</v>
      </c>
      <c r="F703" s="36">
        <v>4822</v>
      </c>
      <c r="G703" s="34" t="s">
        <v>1333</v>
      </c>
      <c r="H703" s="40">
        <v>44113</v>
      </c>
      <c r="I703" s="35">
        <v>117500</v>
      </c>
      <c r="J703" s="35" t="s">
        <v>793</v>
      </c>
      <c r="K703" s="153">
        <v>44145</v>
      </c>
      <c r="X703" s="6"/>
      <c r="Y703" s="6"/>
      <c r="Z703" s="6"/>
      <c r="AA703" s="128"/>
      <c r="AB703" s="60"/>
      <c r="AC703" s="167"/>
      <c r="AD703" s="167"/>
      <c r="AE703" s="232"/>
      <c r="AF703" s="5"/>
      <c r="AG703" s="5"/>
    </row>
    <row r="704" spans="2:33">
      <c r="B704" s="32" t="s">
        <v>878</v>
      </c>
      <c r="C704" s="33" t="s">
        <v>619</v>
      </c>
      <c r="D704" s="36">
        <v>30</v>
      </c>
      <c r="E704" s="154">
        <v>250.07</v>
      </c>
      <c r="F704" s="36">
        <v>4821</v>
      </c>
      <c r="G704" s="34" t="s">
        <v>1332</v>
      </c>
      <c r="H704" s="40">
        <v>44112</v>
      </c>
      <c r="I704" s="35">
        <v>117500</v>
      </c>
      <c r="J704" s="35" t="s">
        <v>793</v>
      </c>
      <c r="K704" s="153">
        <v>44145</v>
      </c>
      <c r="X704" s="6"/>
      <c r="Y704" s="6"/>
      <c r="Z704" s="6"/>
      <c r="AA704" s="128"/>
      <c r="AB704" s="60"/>
      <c r="AC704" s="167"/>
      <c r="AD704" s="167"/>
      <c r="AE704" s="232"/>
      <c r="AF704" s="5"/>
      <c r="AG704" s="5"/>
    </row>
    <row r="705" spans="1:33">
      <c r="B705" s="32" t="s">
        <v>34</v>
      </c>
      <c r="C705" s="33" t="s">
        <v>509</v>
      </c>
      <c r="D705" s="36">
        <v>21</v>
      </c>
      <c r="E705" s="154">
        <v>260</v>
      </c>
      <c r="F705" s="36">
        <v>3828</v>
      </c>
      <c r="G705" s="34" t="s">
        <v>449</v>
      </c>
      <c r="H705" s="40">
        <v>41822</v>
      </c>
      <c r="I705" s="35">
        <v>104825.04</v>
      </c>
      <c r="J705" s="35" t="s">
        <v>793</v>
      </c>
      <c r="K705" s="153">
        <v>44186</v>
      </c>
      <c r="X705" s="6"/>
      <c r="Y705" s="6"/>
      <c r="Z705" s="6"/>
      <c r="AA705" s="128"/>
      <c r="AB705" s="60"/>
      <c r="AC705" s="167"/>
      <c r="AD705" s="167"/>
      <c r="AE705" s="232"/>
      <c r="AF705" s="5"/>
      <c r="AG705" s="5"/>
    </row>
    <row r="706" spans="1:33">
      <c r="B706" s="32" t="s">
        <v>34</v>
      </c>
      <c r="C706" s="33" t="s">
        <v>1076</v>
      </c>
      <c r="D706" s="36">
        <v>13</v>
      </c>
      <c r="E706" s="154">
        <v>257.62</v>
      </c>
      <c r="F706" s="36">
        <v>2560</v>
      </c>
      <c r="G706" s="34" t="s">
        <v>360</v>
      </c>
      <c r="H706" s="40">
        <v>41445</v>
      </c>
      <c r="I706" s="35">
        <v>93232.68</v>
      </c>
      <c r="J706" s="35" t="s">
        <v>793</v>
      </c>
      <c r="K706" s="153">
        <v>44186</v>
      </c>
      <c r="X706" s="6"/>
      <c r="Y706" s="6"/>
      <c r="Z706" s="6"/>
      <c r="AA706" s="128"/>
      <c r="AB706" s="60"/>
      <c r="AC706" s="167"/>
      <c r="AD706" s="167"/>
      <c r="AE706" s="232"/>
      <c r="AF706" s="5"/>
      <c r="AG706" s="5"/>
    </row>
    <row r="707" spans="1:33">
      <c r="B707" s="32" t="s">
        <v>33</v>
      </c>
      <c r="C707" s="33" t="s">
        <v>524</v>
      </c>
      <c r="D707" s="36">
        <v>6</v>
      </c>
      <c r="E707" s="154">
        <v>262.42</v>
      </c>
      <c r="F707" s="36">
        <v>7178</v>
      </c>
      <c r="G707" s="34" t="s">
        <v>973</v>
      </c>
      <c r="H707" s="40">
        <v>43587</v>
      </c>
      <c r="I707" s="35">
        <v>121025</v>
      </c>
      <c r="J707" s="35" t="s">
        <v>793</v>
      </c>
      <c r="K707" s="153">
        <v>44176</v>
      </c>
      <c r="X707" s="6"/>
      <c r="Y707" s="6"/>
      <c r="Z707" s="6"/>
      <c r="AA707" s="128"/>
      <c r="AB707" s="60"/>
      <c r="AC707" s="167"/>
      <c r="AD707" s="167"/>
      <c r="AE707" s="232"/>
      <c r="AF707" s="5"/>
      <c r="AG707" s="5"/>
    </row>
    <row r="708" spans="1:33">
      <c r="B708" s="32" t="s">
        <v>33</v>
      </c>
      <c r="C708" s="33" t="s">
        <v>527</v>
      </c>
      <c r="D708" s="36">
        <v>14</v>
      </c>
      <c r="E708" s="154">
        <v>250.5</v>
      </c>
      <c r="F708" s="36">
        <v>5261</v>
      </c>
      <c r="G708" s="34" t="s">
        <v>985</v>
      </c>
      <c r="H708" s="40">
        <v>42587</v>
      </c>
      <c r="I708" s="35">
        <v>141081.9</v>
      </c>
      <c r="J708" s="35" t="s">
        <v>793</v>
      </c>
      <c r="K708" s="153">
        <v>44189</v>
      </c>
      <c r="X708" s="6"/>
      <c r="Y708" s="6"/>
      <c r="Z708" s="6"/>
      <c r="AA708" s="128"/>
      <c r="AB708" s="60"/>
      <c r="AC708" s="167"/>
      <c r="AD708" s="167"/>
      <c r="AE708" s="232"/>
      <c r="AF708" s="5"/>
      <c r="AG708" s="5"/>
    </row>
    <row r="709" spans="1:33">
      <c r="B709" s="32" t="s">
        <v>33</v>
      </c>
      <c r="C709" s="33" t="s">
        <v>529</v>
      </c>
      <c r="D709" s="36">
        <v>17</v>
      </c>
      <c r="E709" s="154">
        <v>257</v>
      </c>
      <c r="F709" s="36">
        <v>6262</v>
      </c>
      <c r="G709" s="34" t="s">
        <v>564</v>
      </c>
      <c r="H709" s="40">
        <v>43179</v>
      </c>
      <c r="I709" s="35">
        <v>152573.28</v>
      </c>
      <c r="J709" s="35" t="s">
        <v>793</v>
      </c>
      <c r="K709" s="153">
        <v>44180</v>
      </c>
      <c r="X709" s="6"/>
      <c r="Y709" s="6"/>
      <c r="Z709" s="6"/>
      <c r="AA709" s="128"/>
      <c r="AB709" s="60"/>
      <c r="AC709" s="167"/>
      <c r="AD709" s="167"/>
      <c r="AE709" s="232"/>
      <c r="AF709" s="5"/>
      <c r="AG709" s="5"/>
    </row>
    <row r="710" spans="1:33">
      <c r="B710" s="32" t="s">
        <v>33</v>
      </c>
      <c r="C710" s="33" t="s">
        <v>530</v>
      </c>
      <c r="D710" s="36">
        <v>21</v>
      </c>
      <c r="E710" s="154">
        <v>340.83</v>
      </c>
      <c r="F710" s="36">
        <v>3730</v>
      </c>
      <c r="G710" s="34" t="s">
        <v>104</v>
      </c>
      <c r="H710" s="40">
        <v>41760</v>
      </c>
      <c r="I710" s="35">
        <v>138664.25</v>
      </c>
      <c r="J710" s="35" t="s">
        <v>793</v>
      </c>
      <c r="K710" s="153">
        <v>44187</v>
      </c>
      <c r="X710" s="6"/>
      <c r="Y710" s="6"/>
      <c r="Z710" s="6"/>
      <c r="AA710" s="128"/>
      <c r="AB710" s="60"/>
      <c r="AC710" s="167"/>
      <c r="AD710" s="167"/>
      <c r="AE710" s="232"/>
      <c r="AF710" s="5"/>
      <c r="AG710" s="5"/>
    </row>
    <row r="711" spans="1:33">
      <c r="B711" s="32" t="s">
        <v>612</v>
      </c>
      <c r="C711" s="33" t="s">
        <v>614</v>
      </c>
      <c r="D711" s="36">
        <v>5</v>
      </c>
      <c r="E711" s="154">
        <v>257</v>
      </c>
      <c r="F711" s="36">
        <v>7017</v>
      </c>
      <c r="G711" s="34" t="s">
        <v>940</v>
      </c>
      <c r="H711" s="40">
        <v>43525</v>
      </c>
      <c r="I711" s="35">
        <v>124413.42</v>
      </c>
      <c r="J711" s="35" t="s">
        <v>793</v>
      </c>
      <c r="K711" s="153">
        <v>44166</v>
      </c>
      <c r="X711" s="6"/>
      <c r="Y711" s="6"/>
      <c r="Z711" s="6"/>
      <c r="AA711" s="128"/>
      <c r="AB711" s="60"/>
      <c r="AC711" s="167"/>
      <c r="AD711" s="167"/>
      <c r="AE711" s="232"/>
      <c r="AF711" s="5"/>
      <c r="AG711" s="5"/>
    </row>
    <row r="712" spans="1:33">
      <c r="B712" s="32" t="s">
        <v>33</v>
      </c>
      <c r="C712" s="33" t="s">
        <v>524</v>
      </c>
      <c r="D712" s="36">
        <v>10</v>
      </c>
      <c r="E712" s="154">
        <v>262.42</v>
      </c>
      <c r="F712" s="36">
        <v>3729</v>
      </c>
      <c r="G712" s="34" t="s">
        <v>1122</v>
      </c>
      <c r="H712" s="40">
        <v>43854</v>
      </c>
      <c r="I712" s="35">
        <v>122200.2</v>
      </c>
      <c r="J712" s="35" t="s">
        <v>793</v>
      </c>
      <c r="K712" s="153">
        <v>44174</v>
      </c>
      <c r="X712" s="6"/>
      <c r="Y712" s="6"/>
      <c r="Z712" s="6"/>
      <c r="AA712" s="128"/>
      <c r="AB712" s="60"/>
      <c r="AC712" s="167"/>
      <c r="AD712" s="167"/>
      <c r="AE712" s="232"/>
      <c r="AF712" s="5"/>
      <c r="AG712" s="5"/>
    </row>
    <row r="713" spans="1:33">
      <c r="B713" s="32" t="s">
        <v>37</v>
      </c>
      <c r="C713" s="33" t="s">
        <v>532</v>
      </c>
      <c r="D713" s="36">
        <v>13</v>
      </c>
      <c r="E713" s="154">
        <v>252.5</v>
      </c>
      <c r="F713" s="36">
        <v>2516</v>
      </c>
      <c r="G713" s="34" t="s">
        <v>246</v>
      </c>
      <c r="H713" s="40">
        <v>41435</v>
      </c>
      <c r="I713" s="35">
        <v>79749.600000000006</v>
      </c>
      <c r="J713" s="35" t="s">
        <v>793</v>
      </c>
      <c r="K713" s="153">
        <v>44221</v>
      </c>
      <c r="X713" s="6"/>
      <c r="Y713" s="6"/>
      <c r="Z713" s="6"/>
      <c r="AA713" s="128"/>
      <c r="AB713" s="60"/>
      <c r="AC713" s="167"/>
      <c r="AD713" s="167"/>
      <c r="AE713" s="232"/>
      <c r="AF713" s="5"/>
      <c r="AG713" s="5"/>
    </row>
    <row r="714" spans="1:33">
      <c r="B714" s="32" t="s">
        <v>37</v>
      </c>
      <c r="C714" s="33" t="s">
        <v>503</v>
      </c>
      <c r="D714" s="36">
        <v>21</v>
      </c>
      <c r="E714" s="154">
        <v>252.75</v>
      </c>
      <c r="F714" s="36">
        <v>6530</v>
      </c>
      <c r="G714" s="34" t="s">
        <v>1125</v>
      </c>
      <c r="H714" s="40">
        <v>43282</v>
      </c>
      <c r="I714" s="35">
        <v>135360</v>
      </c>
      <c r="J714" s="35" t="s">
        <v>793</v>
      </c>
      <c r="K714" s="153">
        <v>44202</v>
      </c>
      <c r="X714" s="6"/>
      <c r="Y714" s="6"/>
      <c r="Z714" s="6"/>
      <c r="AA714" s="128"/>
      <c r="AB714" s="60"/>
      <c r="AC714" s="167"/>
      <c r="AD714" s="167"/>
      <c r="AE714" s="232"/>
      <c r="AF714" s="5"/>
      <c r="AG714" s="5"/>
    </row>
    <row r="715" spans="1:33">
      <c r="B715" s="32" t="s">
        <v>38</v>
      </c>
      <c r="C715" s="33" t="s">
        <v>511</v>
      </c>
      <c r="D715" s="36">
        <v>7</v>
      </c>
      <c r="E715" s="154">
        <v>253</v>
      </c>
      <c r="F715" s="36">
        <v>5760</v>
      </c>
      <c r="G715" s="34" t="s">
        <v>418</v>
      </c>
      <c r="H715" s="40">
        <v>42948</v>
      </c>
      <c r="I715" s="35">
        <v>114992.22</v>
      </c>
      <c r="J715" s="35" t="s">
        <v>793</v>
      </c>
      <c r="K715" s="153">
        <v>44222</v>
      </c>
      <c r="X715" s="6"/>
      <c r="Y715" s="6"/>
      <c r="Z715" s="6"/>
      <c r="AA715" s="128"/>
      <c r="AB715" s="60"/>
      <c r="AC715" s="167"/>
      <c r="AD715" s="167"/>
      <c r="AE715" s="232"/>
      <c r="AF715" s="5"/>
      <c r="AG715" s="5"/>
    </row>
    <row r="716" spans="1:33">
      <c r="B716" s="32" t="s">
        <v>38</v>
      </c>
      <c r="C716" s="33" t="s">
        <v>512</v>
      </c>
      <c r="D716" s="36">
        <v>2</v>
      </c>
      <c r="E716" s="154">
        <v>265.02</v>
      </c>
      <c r="F716" s="36">
        <v>5287</v>
      </c>
      <c r="G716" s="34" t="s">
        <v>87</v>
      </c>
      <c r="H716" s="40">
        <v>42628</v>
      </c>
      <c r="I716" s="35">
        <v>128501.96</v>
      </c>
      <c r="J716" s="35" t="s">
        <v>793</v>
      </c>
      <c r="K716" s="153">
        <v>44211</v>
      </c>
      <c r="X716" s="6"/>
      <c r="Y716" s="6"/>
      <c r="Z716" s="6"/>
      <c r="AA716" s="128"/>
      <c r="AB716" s="60"/>
      <c r="AC716" s="167"/>
      <c r="AD716" s="167"/>
      <c r="AE716" s="232"/>
      <c r="AF716" s="5"/>
      <c r="AG716" s="5"/>
    </row>
    <row r="717" spans="1:33">
      <c r="A717" s="450"/>
      <c r="B717" s="32" t="s">
        <v>35</v>
      </c>
      <c r="C717" s="33" t="s">
        <v>515</v>
      </c>
      <c r="D717" s="36">
        <v>10</v>
      </c>
      <c r="E717" s="154">
        <v>262.25</v>
      </c>
      <c r="F717" s="36">
        <v>2420</v>
      </c>
      <c r="G717" s="34" t="s">
        <v>448</v>
      </c>
      <c r="H717" s="40">
        <v>41450</v>
      </c>
      <c r="I717" s="35">
        <v>96140.85</v>
      </c>
      <c r="J717" s="35" t="s">
        <v>793</v>
      </c>
      <c r="K717" s="153">
        <v>44203</v>
      </c>
      <c r="L717" s="448"/>
      <c r="M717" s="455"/>
      <c r="X717" s="6"/>
      <c r="Y717" s="6"/>
      <c r="Z717" s="6"/>
      <c r="AA717" s="128"/>
      <c r="AB717" s="60"/>
      <c r="AC717" s="167"/>
      <c r="AD717" s="167"/>
      <c r="AE717" s="232"/>
      <c r="AF717" s="5"/>
      <c r="AG717" s="5"/>
    </row>
    <row r="718" spans="1:33">
      <c r="A718" s="450"/>
      <c r="B718" s="32" t="s">
        <v>35</v>
      </c>
      <c r="C718" s="33" t="s">
        <v>519</v>
      </c>
      <c r="D718" s="36">
        <v>13</v>
      </c>
      <c r="E718" s="154">
        <v>257.33</v>
      </c>
      <c r="F718" s="36">
        <v>3563</v>
      </c>
      <c r="G718" s="34" t="s">
        <v>185</v>
      </c>
      <c r="H718" s="40">
        <v>41687</v>
      </c>
      <c r="I718" s="35">
        <v>96130.48</v>
      </c>
      <c r="J718" s="35" t="s">
        <v>793</v>
      </c>
      <c r="K718" s="153">
        <v>44204</v>
      </c>
      <c r="L718" s="448"/>
      <c r="M718" s="455"/>
      <c r="X718" s="6"/>
      <c r="Y718" s="6"/>
      <c r="Z718" s="6"/>
      <c r="AA718" s="128"/>
      <c r="AB718" s="60"/>
      <c r="AC718" s="167"/>
      <c r="AD718" s="167"/>
      <c r="AE718" s="232"/>
      <c r="AF718" s="5"/>
      <c r="AG718" s="5"/>
    </row>
    <row r="719" spans="1:33">
      <c r="A719" s="450"/>
      <c r="B719" s="32" t="s">
        <v>35</v>
      </c>
      <c r="C719" s="33" t="s">
        <v>517</v>
      </c>
      <c r="D719" s="36">
        <v>47</v>
      </c>
      <c r="E719" s="154">
        <v>334.77</v>
      </c>
      <c r="F719" s="36">
        <v>3736</v>
      </c>
      <c r="G719" s="34" t="s">
        <v>1143</v>
      </c>
      <c r="H719" s="40">
        <v>43864</v>
      </c>
      <c r="I719" s="35">
        <v>205488.41</v>
      </c>
      <c r="J719" s="35" t="s">
        <v>793</v>
      </c>
      <c r="K719" s="153">
        <v>44252</v>
      </c>
      <c r="L719" s="448"/>
      <c r="X719" s="6"/>
      <c r="Y719" s="6"/>
      <c r="Z719" s="6"/>
      <c r="AA719" s="128"/>
      <c r="AB719" s="60"/>
      <c r="AC719" s="167"/>
      <c r="AD719" s="167"/>
      <c r="AE719" s="232"/>
      <c r="AF719" s="5"/>
      <c r="AG719" s="5"/>
    </row>
    <row r="720" spans="1:33">
      <c r="A720" s="450"/>
      <c r="B720" s="32" t="s">
        <v>35</v>
      </c>
      <c r="C720" s="33" t="s">
        <v>515</v>
      </c>
      <c r="D720" s="36">
        <v>21</v>
      </c>
      <c r="E720" s="154">
        <v>262.25</v>
      </c>
      <c r="F720" s="36">
        <v>2665</v>
      </c>
      <c r="G720" s="34" t="s">
        <v>429</v>
      </c>
      <c r="H720" s="40">
        <v>41468</v>
      </c>
      <c r="I720" s="35">
        <v>98700</v>
      </c>
      <c r="J720" s="35" t="s">
        <v>793</v>
      </c>
      <c r="K720" s="153">
        <v>44238</v>
      </c>
      <c r="L720" s="479"/>
      <c r="X720" s="6"/>
      <c r="Y720" s="6"/>
      <c r="Z720" s="6"/>
      <c r="AA720" s="128"/>
      <c r="AB720" s="60"/>
      <c r="AC720" s="167"/>
      <c r="AD720" s="167"/>
      <c r="AE720" s="232"/>
      <c r="AF720" s="5"/>
      <c r="AG720" s="5"/>
    </row>
    <row r="721" spans="1:33">
      <c r="A721" s="450"/>
      <c r="B721" s="32" t="s">
        <v>35</v>
      </c>
      <c r="C721" s="33" t="s">
        <v>513</v>
      </c>
      <c r="D721" s="36">
        <v>32</v>
      </c>
      <c r="E721" s="154">
        <v>273.55</v>
      </c>
      <c r="F721" s="36">
        <v>2598</v>
      </c>
      <c r="G721" s="34" t="s">
        <v>180</v>
      </c>
      <c r="H721" s="40">
        <v>41443</v>
      </c>
      <c r="I721" s="35">
        <v>101350.5</v>
      </c>
      <c r="J721" s="35" t="s">
        <v>793</v>
      </c>
      <c r="K721" s="153">
        <v>44238</v>
      </c>
      <c r="L721" s="479"/>
      <c r="X721" s="6"/>
      <c r="Y721" s="6"/>
      <c r="Z721" s="6"/>
      <c r="AA721" s="128"/>
      <c r="AB721" s="60"/>
      <c r="AC721" s="167"/>
      <c r="AD721" s="167"/>
      <c r="AE721" s="232"/>
      <c r="AF721" s="5"/>
      <c r="AG721" s="5"/>
    </row>
    <row r="722" spans="1:33">
      <c r="A722" s="450"/>
      <c r="B722" s="32" t="s">
        <v>36</v>
      </c>
      <c r="C722" s="33" t="s">
        <v>534</v>
      </c>
      <c r="D722" s="36">
        <v>29</v>
      </c>
      <c r="E722" s="154">
        <v>254</v>
      </c>
      <c r="F722" s="36">
        <v>5150</v>
      </c>
      <c r="G722" s="34" t="s">
        <v>353</v>
      </c>
      <c r="H722" s="40">
        <v>42439</v>
      </c>
      <c r="I722" s="35">
        <v>116820</v>
      </c>
      <c r="J722" s="35" t="s">
        <v>793</v>
      </c>
      <c r="K722" s="153">
        <v>44230</v>
      </c>
      <c r="L722" s="479"/>
      <c r="X722" s="6"/>
      <c r="Y722" s="6"/>
      <c r="Z722" s="6"/>
      <c r="AA722" s="128"/>
      <c r="AB722" s="60"/>
      <c r="AC722" s="167"/>
      <c r="AD722" s="167"/>
      <c r="AE722" s="232"/>
      <c r="AF722" s="5"/>
      <c r="AG722" s="5"/>
    </row>
    <row r="723" spans="1:33">
      <c r="A723" s="450"/>
      <c r="B723" s="32" t="s">
        <v>878</v>
      </c>
      <c r="C723" s="33" t="s">
        <v>617</v>
      </c>
      <c r="D723" s="36">
        <v>18</v>
      </c>
      <c r="E723" s="154">
        <v>252.75</v>
      </c>
      <c r="F723" s="36">
        <v>5021</v>
      </c>
      <c r="G723" s="34" t="s">
        <v>1477</v>
      </c>
      <c r="H723" s="40">
        <v>44230</v>
      </c>
      <c r="I723" s="35">
        <v>144625.85999999999</v>
      </c>
      <c r="J723" s="35" t="s">
        <v>793</v>
      </c>
      <c r="K723" s="153">
        <v>44244</v>
      </c>
      <c r="L723" s="479"/>
      <c r="X723" s="6"/>
      <c r="Y723" s="6"/>
      <c r="Z723" s="6"/>
      <c r="AA723" s="128"/>
      <c r="AB723" s="60"/>
      <c r="AC723" s="167"/>
      <c r="AD723" s="167"/>
      <c r="AE723" s="232"/>
      <c r="AF723" s="5"/>
      <c r="AG723" s="5"/>
    </row>
    <row r="724" spans="1:33">
      <c r="A724" s="450"/>
      <c r="B724" s="263" t="s">
        <v>34</v>
      </c>
      <c r="C724" s="337" t="s">
        <v>1076</v>
      </c>
      <c r="D724" s="73">
        <v>17</v>
      </c>
      <c r="E724" s="315">
        <v>257.62</v>
      </c>
      <c r="F724" s="166">
        <v>2432</v>
      </c>
      <c r="G724" s="74" t="s">
        <v>398</v>
      </c>
      <c r="H724" s="40">
        <v>41446</v>
      </c>
      <c r="I724" s="35">
        <v>93232.68</v>
      </c>
      <c r="J724" s="35" t="s">
        <v>793</v>
      </c>
      <c r="K724" s="153">
        <v>44257</v>
      </c>
      <c r="L724" s="479"/>
      <c r="X724" s="6"/>
      <c r="Y724" s="6"/>
      <c r="Z724" s="6"/>
      <c r="AA724" s="128"/>
      <c r="AB724" s="60"/>
      <c r="AC724" s="167"/>
      <c r="AD724" s="167"/>
      <c r="AE724" s="232"/>
      <c r="AF724" s="5"/>
      <c r="AG724" s="5"/>
    </row>
    <row r="725" spans="1:33">
      <c r="A725" s="450"/>
      <c r="B725" s="263" t="s">
        <v>878</v>
      </c>
      <c r="C725" s="337" t="s">
        <v>621</v>
      </c>
      <c r="D725" s="166">
        <v>4</v>
      </c>
      <c r="E725" s="197">
        <v>266.76</v>
      </c>
      <c r="F725" s="166">
        <v>3110</v>
      </c>
      <c r="G725" s="338" t="s">
        <v>1072</v>
      </c>
      <c r="H725" s="40">
        <v>43741</v>
      </c>
      <c r="I725" s="35">
        <v>99640.8</v>
      </c>
      <c r="J725" s="35" t="s">
        <v>793</v>
      </c>
      <c r="K725" s="153">
        <v>44263</v>
      </c>
      <c r="L725" s="509"/>
      <c r="X725" s="6"/>
      <c r="Y725" s="6"/>
      <c r="Z725" s="6"/>
      <c r="AA725" s="128"/>
      <c r="AB725" s="60"/>
      <c r="AC725" s="167"/>
      <c r="AD725" s="167"/>
      <c r="AE725" s="232"/>
      <c r="AF725" s="5"/>
      <c r="AG725" s="5"/>
    </row>
    <row r="726" spans="1:33">
      <c r="A726" s="450"/>
      <c r="B726" s="263" t="s">
        <v>38</v>
      </c>
      <c r="C726" s="337" t="s">
        <v>512</v>
      </c>
      <c r="D726" s="73">
        <v>18</v>
      </c>
      <c r="E726" s="315">
        <v>261.55</v>
      </c>
      <c r="F726" s="166">
        <v>4172</v>
      </c>
      <c r="G726" s="74" t="s">
        <v>1176</v>
      </c>
      <c r="H726" s="40">
        <v>43990</v>
      </c>
      <c r="I726" s="35">
        <v>93060</v>
      </c>
      <c r="J726" s="35" t="s">
        <v>793</v>
      </c>
      <c r="K726" s="153">
        <v>44267</v>
      </c>
      <c r="L726" s="509"/>
      <c r="X726" s="6"/>
      <c r="Y726" s="6"/>
      <c r="Z726" s="6"/>
      <c r="AA726" s="128"/>
      <c r="AB726" s="60"/>
      <c r="AC726" s="167"/>
      <c r="AD726" s="167"/>
      <c r="AE726" s="232"/>
      <c r="AF726" s="5"/>
      <c r="AG726" s="5"/>
    </row>
    <row r="727" spans="1:33">
      <c r="A727" s="450"/>
      <c r="B727" s="263" t="s">
        <v>36</v>
      </c>
      <c r="C727" s="337" t="s">
        <v>521</v>
      </c>
      <c r="D727" s="166">
        <v>26</v>
      </c>
      <c r="E727" s="197">
        <v>250.75</v>
      </c>
      <c r="F727" s="166">
        <v>4163</v>
      </c>
      <c r="G727" s="338" t="s">
        <v>193</v>
      </c>
      <c r="H727" s="40">
        <v>41947</v>
      </c>
      <c r="I727" s="35">
        <v>108291.8</v>
      </c>
      <c r="J727" s="35" t="s">
        <v>793</v>
      </c>
      <c r="K727" s="153">
        <v>44256</v>
      </c>
      <c r="L727" s="509"/>
      <c r="X727" s="6"/>
      <c r="Y727" s="6"/>
      <c r="Z727" s="6"/>
      <c r="AA727" s="128"/>
      <c r="AB727" s="60"/>
      <c r="AC727" s="167"/>
      <c r="AD727" s="167"/>
      <c r="AE727" s="232"/>
      <c r="AF727" s="5"/>
      <c r="AG727" s="5"/>
    </row>
    <row r="728" spans="1:33">
      <c r="A728" s="450"/>
      <c r="B728" s="263" t="s">
        <v>35</v>
      </c>
      <c r="C728" s="337" t="s">
        <v>517</v>
      </c>
      <c r="D728" s="166">
        <v>34</v>
      </c>
      <c r="E728" s="197">
        <v>250.97</v>
      </c>
      <c r="F728" s="166">
        <v>2461</v>
      </c>
      <c r="G728" s="338" t="s">
        <v>409</v>
      </c>
      <c r="H728" s="40">
        <v>41441</v>
      </c>
      <c r="I728" s="35">
        <v>96723.839999999997</v>
      </c>
      <c r="J728" s="35" t="s">
        <v>793</v>
      </c>
      <c r="K728" s="153">
        <v>40983</v>
      </c>
      <c r="L728" s="509"/>
      <c r="X728" s="6"/>
      <c r="Y728" s="6"/>
      <c r="Z728" s="6"/>
      <c r="AA728" s="128"/>
      <c r="AB728" s="60"/>
      <c r="AC728" s="167"/>
      <c r="AD728" s="167"/>
      <c r="AE728" s="232"/>
      <c r="AF728" s="5"/>
      <c r="AG728" s="5"/>
    </row>
    <row r="729" spans="1:33">
      <c r="A729" s="450"/>
      <c r="B729" s="263" t="s">
        <v>35</v>
      </c>
      <c r="C729" s="337" t="s">
        <v>518</v>
      </c>
      <c r="D729" s="73">
        <v>13</v>
      </c>
      <c r="E729" s="315">
        <v>267.12</v>
      </c>
      <c r="F729" s="166">
        <v>4185</v>
      </c>
      <c r="G729" s="74" t="s">
        <v>242</v>
      </c>
      <c r="H729" s="40">
        <v>41947</v>
      </c>
      <c r="I729" s="35">
        <v>124357.18</v>
      </c>
      <c r="J729" s="35" t="s">
        <v>793</v>
      </c>
      <c r="K729" s="153">
        <v>44280</v>
      </c>
      <c r="L729" s="479"/>
      <c r="X729" s="6"/>
      <c r="Y729" s="6"/>
      <c r="Z729" s="6"/>
      <c r="AA729" s="128"/>
      <c r="AB729" s="60"/>
      <c r="AC729" s="167"/>
      <c r="AD729" s="167"/>
      <c r="AE729" s="232"/>
      <c r="AF729" s="5"/>
      <c r="AG729" s="5"/>
    </row>
    <row r="730" spans="1:33">
      <c r="A730" s="450"/>
      <c r="B730" s="263" t="s">
        <v>35</v>
      </c>
      <c r="C730" s="337" t="s">
        <v>520</v>
      </c>
      <c r="D730" s="166">
        <v>7</v>
      </c>
      <c r="E730" s="197">
        <v>253.5</v>
      </c>
      <c r="F730" s="166">
        <v>2447</v>
      </c>
      <c r="G730" s="338" t="s">
        <v>346</v>
      </c>
      <c r="H730" s="40">
        <v>41449</v>
      </c>
      <c r="I730" s="35">
        <v>91741.65</v>
      </c>
      <c r="J730" s="35" t="s">
        <v>793</v>
      </c>
      <c r="K730" s="153">
        <v>44285</v>
      </c>
      <c r="L730" s="509"/>
      <c r="X730" s="6"/>
      <c r="Y730" s="6"/>
      <c r="Z730" s="6"/>
      <c r="AA730" s="128"/>
      <c r="AB730" s="60"/>
      <c r="AC730" s="167"/>
      <c r="AD730" s="167"/>
      <c r="AE730" s="232"/>
      <c r="AF730" s="5"/>
      <c r="AG730" s="5"/>
    </row>
    <row r="731" spans="1:33">
      <c r="A731" s="450"/>
      <c r="B731" s="263" t="s">
        <v>35</v>
      </c>
      <c r="C731" s="337" t="s">
        <v>520</v>
      </c>
      <c r="D731" s="73">
        <v>8</v>
      </c>
      <c r="E731" s="315">
        <v>253.5</v>
      </c>
      <c r="F731" s="166">
        <v>2446</v>
      </c>
      <c r="G731" s="74" t="s">
        <v>346</v>
      </c>
      <c r="H731" s="40">
        <v>41449</v>
      </c>
      <c r="I731" s="35">
        <v>91741.65</v>
      </c>
      <c r="J731" s="35" t="s">
        <v>793</v>
      </c>
      <c r="K731" s="153">
        <v>44285</v>
      </c>
      <c r="L731" s="509"/>
      <c r="X731" s="6"/>
      <c r="Y731" s="6"/>
      <c r="Z731" s="6"/>
      <c r="AA731" s="128"/>
      <c r="AB731" s="60"/>
      <c r="AC731" s="167"/>
      <c r="AD731" s="167"/>
      <c r="AE731" s="232"/>
      <c r="AF731" s="5"/>
      <c r="AG731" s="5"/>
    </row>
    <row r="732" spans="1:33">
      <c r="A732" s="450"/>
      <c r="B732" s="263" t="s">
        <v>33</v>
      </c>
      <c r="C732" s="337" t="s">
        <v>523</v>
      </c>
      <c r="D732" s="166">
        <v>17</v>
      </c>
      <c r="E732" s="197">
        <v>354.59</v>
      </c>
      <c r="F732" s="166">
        <v>5120</v>
      </c>
      <c r="G732" s="74" t="s">
        <v>1498</v>
      </c>
      <c r="H732" s="40">
        <v>44260</v>
      </c>
      <c r="I732" s="35">
        <v>208680</v>
      </c>
      <c r="J732" s="35" t="s">
        <v>793</v>
      </c>
      <c r="K732" s="153">
        <v>44260</v>
      </c>
      <c r="L732" s="509"/>
      <c r="X732" s="6"/>
      <c r="Y732" s="6"/>
      <c r="Z732" s="6"/>
      <c r="AA732" s="128"/>
      <c r="AB732" s="60"/>
      <c r="AC732" s="167"/>
      <c r="AD732" s="167"/>
      <c r="AE732" s="232"/>
      <c r="AF732" s="5"/>
      <c r="AG732" s="5"/>
    </row>
    <row r="733" spans="1:33">
      <c r="A733" s="450"/>
      <c r="B733" s="451"/>
      <c r="C733" s="516"/>
      <c r="D733" s="517"/>
      <c r="E733" s="518"/>
      <c r="F733" s="517"/>
      <c r="G733" s="519"/>
      <c r="H733" s="228"/>
      <c r="I733" s="59"/>
      <c r="J733" s="59"/>
      <c r="K733" s="509"/>
      <c r="L733" s="509"/>
      <c r="X733" s="6"/>
      <c r="Y733" s="6"/>
      <c r="Z733" s="6"/>
      <c r="AA733" s="128"/>
      <c r="AB733" s="60"/>
      <c r="AC733" s="167"/>
      <c r="AD733" s="167"/>
      <c r="AE733" s="232"/>
      <c r="AF733" s="5"/>
      <c r="AG733" s="5"/>
    </row>
    <row r="734" spans="1:33">
      <c r="A734" s="450"/>
      <c r="B734" s="451"/>
      <c r="C734" s="516"/>
      <c r="D734" s="517"/>
      <c r="E734" s="518"/>
      <c r="F734" s="517"/>
      <c r="G734" s="519"/>
      <c r="H734" s="228"/>
      <c r="I734" s="59"/>
      <c r="J734" s="59"/>
      <c r="K734" s="509"/>
      <c r="L734" s="509"/>
      <c r="X734" s="6"/>
      <c r="Y734" s="6"/>
      <c r="Z734" s="6"/>
      <c r="AA734" s="128"/>
      <c r="AB734" s="60"/>
      <c r="AC734" s="167"/>
      <c r="AD734" s="167"/>
      <c r="AE734" s="232"/>
      <c r="AF734" s="5"/>
      <c r="AG734" s="5"/>
    </row>
    <row r="735" spans="1:33">
      <c r="A735" s="450"/>
      <c r="B735" s="451"/>
      <c r="C735" s="452"/>
      <c r="D735" s="453"/>
      <c r="E735" s="63"/>
      <c r="F735" s="453"/>
      <c r="G735" s="454"/>
      <c r="H735" s="228"/>
      <c r="I735" s="59"/>
      <c r="J735" s="59"/>
      <c r="K735" s="448"/>
      <c r="L735" s="448"/>
      <c r="X735" s="6"/>
      <c r="Y735" s="6"/>
      <c r="Z735" s="6"/>
      <c r="AA735" s="128"/>
      <c r="AB735" s="60"/>
      <c r="AC735" s="167"/>
      <c r="AD735" s="167"/>
      <c r="AE735" s="232"/>
      <c r="AF735" s="5"/>
      <c r="AG735" s="5"/>
    </row>
    <row r="736" spans="1:33" ht="30">
      <c r="B736" s="1" t="s">
        <v>3</v>
      </c>
      <c r="C736" s="2" t="s">
        <v>22</v>
      </c>
      <c r="D736" s="2" t="s">
        <v>23</v>
      </c>
      <c r="E736" s="4"/>
      <c r="F736" s="2"/>
      <c r="G736" s="1" t="s">
        <v>6</v>
      </c>
      <c r="H736" s="3" t="s">
        <v>9</v>
      </c>
      <c r="I736" s="4" t="s">
        <v>10</v>
      </c>
      <c r="J736" s="4" t="s">
        <v>7</v>
      </c>
      <c r="K736" s="4" t="s">
        <v>552</v>
      </c>
      <c r="X736" s="6"/>
      <c r="Y736" s="6"/>
      <c r="Z736" s="6"/>
      <c r="AB736" s="5"/>
      <c r="AC736" s="9"/>
      <c r="AD736" s="167"/>
      <c r="AE736" s="232"/>
      <c r="AF736" s="5"/>
      <c r="AG736" s="5"/>
    </row>
    <row r="737" spans="2:33">
      <c r="B737" s="32" t="s">
        <v>37</v>
      </c>
      <c r="C737" s="33" t="s">
        <v>503</v>
      </c>
      <c r="D737" s="36">
        <v>21</v>
      </c>
      <c r="E737" s="154"/>
      <c r="F737" s="36"/>
      <c r="G737" s="34" t="s">
        <v>393</v>
      </c>
      <c r="H737" s="40" t="s">
        <v>492</v>
      </c>
      <c r="I737" s="35">
        <v>83154.75</v>
      </c>
      <c r="J737" s="35" t="s">
        <v>1011</v>
      </c>
      <c r="K737" s="153">
        <v>43160</v>
      </c>
      <c r="X737" s="6"/>
      <c r="Y737" s="6"/>
      <c r="Z737" s="6"/>
      <c r="AB737" s="5"/>
      <c r="AC737" s="9"/>
      <c r="AD737" s="167"/>
      <c r="AE737" s="232"/>
      <c r="AF737" s="5"/>
      <c r="AG737" s="5"/>
    </row>
    <row r="738" spans="2:33">
      <c r="B738" s="32" t="s">
        <v>36</v>
      </c>
      <c r="C738" s="33" t="s">
        <v>534</v>
      </c>
      <c r="D738" s="36">
        <v>17</v>
      </c>
      <c r="E738" s="154"/>
      <c r="F738" s="36"/>
      <c r="G738" s="34" t="s">
        <v>45</v>
      </c>
      <c r="H738" s="40" t="s">
        <v>490</v>
      </c>
      <c r="I738" s="35">
        <v>98671.12</v>
      </c>
      <c r="J738" s="35" t="s">
        <v>1011</v>
      </c>
      <c r="K738" s="153">
        <v>43245</v>
      </c>
      <c r="X738" s="6"/>
      <c r="Y738" s="6"/>
      <c r="Z738" s="6"/>
      <c r="AB738" s="5"/>
      <c r="AC738" s="9"/>
      <c r="AD738" s="167"/>
      <c r="AE738" s="232"/>
      <c r="AF738" s="5"/>
      <c r="AG738" s="5"/>
    </row>
    <row r="739" spans="2:33">
      <c r="B739" s="32" t="s">
        <v>36</v>
      </c>
      <c r="C739" s="33" t="s">
        <v>521</v>
      </c>
      <c r="D739" s="36">
        <v>22</v>
      </c>
      <c r="E739" s="154"/>
      <c r="F739" s="36"/>
      <c r="G739" s="34" t="s">
        <v>451</v>
      </c>
      <c r="H739" s="40" t="s">
        <v>493</v>
      </c>
      <c r="I739" s="35">
        <v>110502.62</v>
      </c>
      <c r="J739" s="35" t="s">
        <v>1011</v>
      </c>
      <c r="K739" s="153">
        <v>43203</v>
      </c>
      <c r="X739" s="6"/>
      <c r="Y739" s="6"/>
      <c r="Z739" s="6"/>
      <c r="AB739" s="5"/>
      <c r="AC739" s="9"/>
      <c r="AD739" s="167"/>
      <c r="AE739" s="232"/>
      <c r="AF739" s="5"/>
      <c r="AG739" s="5"/>
    </row>
    <row r="740" spans="2:33">
      <c r="B740" s="32" t="s">
        <v>33</v>
      </c>
      <c r="C740" s="33" t="s">
        <v>527</v>
      </c>
      <c r="D740" s="36">
        <v>20</v>
      </c>
      <c r="E740" s="154">
        <v>250.5</v>
      </c>
      <c r="F740" s="36">
        <v>5528</v>
      </c>
      <c r="G740" s="34" t="s">
        <v>91</v>
      </c>
      <c r="H740" s="40">
        <v>42767</v>
      </c>
      <c r="I740" s="35">
        <v>141786.09</v>
      </c>
      <c r="J740" s="35" t="s">
        <v>1011</v>
      </c>
      <c r="K740" s="153">
        <v>43630</v>
      </c>
      <c r="X740" s="6"/>
      <c r="Y740" s="6"/>
      <c r="Z740" s="6"/>
      <c r="AB740" s="5"/>
      <c r="AC740" s="9"/>
      <c r="AD740" s="167"/>
      <c r="AE740" s="232"/>
      <c r="AF740" s="5"/>
      <c r="AG740" s="5"/>
    </row>
    <row r="741" spans="2:33">
      <c r="B741" s="32" t="s">
        <v>33</v>
      </c>
      <c r="C741" s="33" t="s">
        <v>530</v>
      </c>
      <c r="D741" s="36">
        <v>12</v>
      </c>
      <c r="E741" s="154"/>
      <c r="F741" s="36"/>
      <c r="G741" s="34" t="s">
        <v>133</v>
      </c>
      <c r="H741" s="40" t="s">
        <v>496</v>
      </c>
      <c r="I741" s="35">
        <v>102460</v>
      </c>
      <c r="J741" s="35" t="s">
        <v>1011</v>
      </c>
      <c r="K741" s="153">
        <v>43210</v>
      </c>
      <c r="X741" s="6"/>
      <c r="Y741" s="6"/>
      <c r="Z741" s="6"/>
      <c r="AB741" s="5"/>
      <c r="AC741" s="9"/>
      <c r="AD741" s="167"/>
      <c r="AE741" s="232"/>
      <c r="AF741" s="5"/>
      <c r="AG741" s="5"/>
    </row>
    <row r="742" spans="2:33">
      <c r="B742" s="32" t="s">
        <v>33</v>
      </c>
      <c r="C742" s="33" t="s">
        <v>531</v>
      </c>
      <c r="D742" s="36">
        <v>39</v>
      </c>
      <c r="E742" s="154"/>
      <c r="F742" s="36"/>
      <c r="G742" s="34" t="s">
        <v>473</v>
      </c>
      <c r="H742" s="40" t="s">
        <v>493</v>
      </c>
      <c r="I742" s="35">
        <v>127291.2</v>
      </c>
      <c r="J742" s="35" t="s">
        <v>1011</v>
      </c>
      <c r="K742" s="153">
        <v>43187</v>
      </c>
      <c r="X742" s="6"/>
      <c r="Y742" s="6"/>
      <c r="Z742" s="6"/>
      <c r="AB742" s="5"/>
      <c r="AC742" s="9"/>
      <c r="AD742" s="167"/>
      <c r="AE742" s="232"/>
      <c r="AF742" s="5"/>
      <c r="AG742" s="5"/>
    </row>
    <row r="743" spans="2:33">
      <c r="B743" s="32" t="s">
        <v>33</v>
      </c>
      <c r="C743" s="33" t="s">
        <v>526</v>
      </c>
      <c r="D743" s="36">
        <v>1</v>
      </c>
      <c r="E743" s="154"/>
      <c r="F743" s="36"/>
      <c r="G743" s="34" t="s">
        <v>207</v>
      </c>
      <c r="H743" s="40" t="s">
        <v>498</v>
      </c>
      <c r="I743" s="35">
        <v>145000.1</v>
      </c>
      <c r="J743" s="35" t="s">
        <v>1011</v>
      </c>
      <c r="K743" s="153">
        <v>43245</v>
      </c>
      <c r="X743" s="6"/>
      <c r="Y743" s="6"/>
      <c r="Z743" s="6"/>
      <c r="AB743" s="5"/>
      <c r="AC743" s="9"/>
      <c r="AD743" s="167"/>
      <c r="AE743" s="232"/>
      <c r="AF743" s="5"/>
      <c r="AG743" s="5"/>
    </row>
    <row r="744" spans="2:33">
      <c r="B744" s="32" t="s">
        <v>34</v>
      </c>
      <c r="C744" s="33" t="s">
        <v>507</v>
      </c>
      <c r="D744" s="36">
        <v>19</v>
      </c>
      <c r="E744" s="154"/>
      <c r="F744" s="36">
        <v>2688</v>
      </c>
      <c r="G744" s="34" t="s">
        <v>469</v>
      </c>
      <c r="H744" s="40">
        <v>41445</v>
      </c>
      <c r="I744" s="35">
        <v>98461.43</v>
      </c>
      <c r="J744" s="35" t="s">
        <v>1011</v>
      </c>
      <c r="K744" s="153">
        <v>43227</v>
      </c>
      <c r="X744" s="6"/>
      <c r="Y744" s="6"/>
      <c r="Z744" s="6"/>
      <c r="AB744" s="5"/>
      <c r="AC744" s="9"/>
      <c r="AD744" s="167"/>
      <c r="AE744" s="232"/>
      <c r="AF744" s="5"/>
      <c r="AG744" s="5"/>
    </row>
    <row r="745" spans="2:33">
      <c r="B745" s="32" t="s">
        <v>36</v>
      </c>
      <c r="C745" s="33" t="s">
        <v>521</v>
      </c>
      <c r="D745" s="36">
        <v>7</v>
      </c>
      <c r="E745" s="154"/>
      <c r="F745" s="36">
        <v>3876</v>
      </c>
      <c r="G745" s="34" t="s">
        <v>469</v>
      </c>
      <c r="H745" s="40">
        <v>41872</v>
      </c>
      <c r="I745" s="35">
        <v>99562.15</v>
      </c>
      <c r="J745" s="35" t="s">
        <v>1011</v>
      </c>
      <c r="K745" s="153">
        <v>43227</v>
      </c>
      <c r="X745" s="6"/>
      <c r="Y745" s="6"/>
      <c r="Z745" s="6"/>
      <c r="AB745" s="5"/>
      <c r="AC745" s="9"/>
      <c r="AD745" s="167"/>
      <c r="AE745" s="232"/>
      <c r="AF745" s="5"/>
      <c r="AG745" s="5"/>
    </row>
    <row r="746" spans="2:33">
      <c r="B746" s="32" t="s">
        <v>34</v>
      </c>
      <c r="C746" s="33" t="s">
        <v>507</v>
      </c>
      <c r="D746" s="36">
        <v>17</v>
      </c>
      <c r="E746" s="154">
        <v>322.95999999999998</v>
      </c>
      <c r="F746" s="36">
        <v>2291</v>
      </c>
      <c r="G746" s="34" t="s">
        <v>377</v>
      </c>
      <c r="H746" s="40">
        <v>41446</v>
      </c>
      <c r="I746" s="35">
        <v>115361.31</v>
      </c>
      <c r="J746" s="35" t="s">
        <v>1011</v>
      </c>
      <c r="K746" s="153">
        <v>43622</v>
      </c>
      <c r="X746" s="6"/>
      <c r="Y746" s="6"/>
      <c r="Z746" s="6"/>
      <c r="AB746" s="5"/>
      <c r="AC746" s="9"/>
      <c r="AD746" s="167"/>
      <c r="AE746" s="232"/>
      <c r="AF746" s="5"/>
      <c r="AG746" s="5"/>
    </row>
    <row r="747" spans="2:33">
      <c r="B747" s="32" t="s">
        <v>34</v>
      </c>
      <c r="C747" s="33" t="s">
        <v>507</v>
      </c>
      <c r="D747" s="36">
        <v>20</v>
      </c>
      <c r="E747" s="154"/>
      <c r="F747" s="36">
        <v>2489</v>
      </c>
      <c r="G747" s="34" t="s">
        <v>301</v>
      </c>
      <c r="H747" s="40">
        <v>41446</v>
      </c>
      <c r="I747" s="35">
        <v>98461.43</v>
      </c>
      <c r="J747" s="35" t="s">
        <v>1011</v>
      </c>
      <c r="K747" s="153">
        <v>43266</v>
      </c>
      <c r="X747" s="6"/>
      <c r="Y747" s="6"/>
      <c r="Z747" s="6"/>
      <c r="AB747" s="5"/>
      <c r="AC747" s="9"/>
      <c r="AD747" s="167"/>
      <c r="AE747" s="232"/>
      <c r="AF747" s="5"/>
      <c r="AG747" s="5"/>
    </row>
    <row r="748" spans="2:33">
      <c r="B748" s="32" t="s">
        <v>35</v>
      </c>
      <c r="C748" s="33" t="s">
        <v>518</v>
      </c>
      <c r="D748" s="36">
        <v>14</v>
      </c>
      <c r="E748" s="154"/>
      <c r="F748" s="36">
        <v>5093</v>
      </c>
      <c r="G748" s="34" t="s">
        <v>372</v>
      </c>
      <c r="H748" s="40">
        <v>42411</v>
      </c>
      <c r="I748" s="35">
        <v>133559.70000000001</v>
      </c>
      <c r="J748" s="35" t="s">
        <v>1011</v>
      </c>
      <c r="K748" s="153">
        <v>43266</v>
      </c>
      <c r="X748" s="6"/>
      <c r="Y748" s="6"/>
      <c r="Z748" s="6"/>
      <c r="AB748" s="5"/>
      <c r="AC748" s="9"/>
      <c r="AD748" s="167"/>
      <c r="AE748" s="232"/>
      <c r="AF748" s="5"/>
      <c r="AG748" s="5"/>
    </row>
    <row r="749" spans="2:33">
      <c r="B749" s="32" t="s">
        <v>38</v>
      </c>
      <c r="C749" s="33" t="s">
        <v>533</v>
      </c>
      <c r="D749" s="36">
        <v>28</v>
      </c>
      <c r="E749" s="154"/>
      <c r="F749" s="36">
        <v>2576</v>
      </c>
      <c r="G749" s="34" t="s">
        <v>471</v>
      </c>
      <c r="H749" s="40">
        <v>41447</v>
      </c>
      <c r="I749" s="35">
        <v>79354.8</v>
      </c>
      <c r="J749" s="35" t="s">
        <v>1011</v>
      </c>
      <c r="K749" s="153">
        <v>43262</v>
      </c>
      <c r="X749" s="6"/>
      <c r="Y749" s="6"/>
      <c r="Z749" s="6"/>
      <c r="AB749" s="5"/>
      <c r="AC749" s="9"/>
      <c r="AD749" s="167"/>
      <c r="AE749" s="232"/>
      <c r="AF749" s="5"/>
      <c r="AG749" s="5"/>
    </row>
    <row r="750" spans="2:33">
      <c r="B750" s="32" t="s">
        <v>33</v>
      </c>
      <c r="C750" s="33" t="s">
        <v>528</v>
      </c>
      <c r="D750" s="36">
        <v>25</v>
      </c>
      <c r="E750" s="154"/>
      <c r="F750" s="36">
        <v>5928</v>
      </c>
      <c r="G750" s="34" t="s">
        <v>200</v>
      </c>
      <c r="H750" s="40">
        <v>43018</v>
      </c>
      <c r="I750" s="35">
        <v>126900</v>
      </c>
      <c r="J750" s="35" t="s">
        <v>1011</v>
      </c>
      <c r="K750" s="153">
        <v>43262</v>
      </c>
      <c r="X750" s="6"/>
      <c r="Y750" s="6"/>
      <c r="Z750" s="6"/>
      <c r="AB750" s="5"/>
      <c r="AC750" s="9"/>
      <c r="AD750" s="167"/>
      <c r="AE750" s="232"/>
      <c r="AF750" s="5"/>
      <c r="AG750" s="5"/>
    </row>
    <row r="751" spans="2:33">
      <c r="B751" s="32" t="s">
        <v>33</v>
      </c>
      <c r="C751" s="33" t="s">
        <v>529</v>
      </c>
      <c r="D751" s="36">
        <v>19</v>
      </c>
      <c r="E751" s="154"/>
      <c r="F751" s="36">
        <v>4955</v>
      </c>
      <c r="G751" s="34" t="s">
        <v>175</v>
      </c>
      <c r="H751" s="40">
        <v>42248</v>
      </c>
      <c r="I751" s="35">
        <v>147899.70000000001</v>
      </c>
      <c r="J751" s="35" t="s">
        <v>1011</v>
      </c>
      <c r="K751" s="153">
        <v>43262</v>
      </c>
      <c r="X751" s="6"/>
      <c r="Y751" s="6"/>
      <c r="Z751" s="6"/>
      <c r="AB751" s="5"/>
      <c r="AC751" s="9"/>
      <c r="AD751" s="167"/>
      <c r="AE751" s="232"/>
      <c r="AF751" s="5"/>
      <c r="AG751" s="5"/>
    </row>
    <row r="752" spans="2:33">
      <c r="B752" s="32" t="s">
        <v>33</v>
      </c>
      <c r="C752" s="33" t="s">
        <v>530</v>
      </c>
      <c r="D752" s="36">
        <v>14</v>
      </c>
      <c r="E752" s="154"/>
      <c r="F752" s="36">
        <v>3834</v>
      </c>
      <c r="G752" s="34" t="s">
        <v>328</v>
      </c>
      <c r="H752" s="40">
        <v>41841</v>
      </c>
      <c r="I752" s="35">
        <v>103197.98</v>
      </c>
      <c r="J752" s="35" t="s">
        <v>1011</v>
      </c>
      <c r="K752" s="153">
        <v>43262</v>
      </c>
      <c r="X752" s="6"/>
      <c r="Y752" s="6"/>
      <c r="Z752" s="6"/>
      <c r="AB752" s="5"/>
      <c r="AC752" s="9"/>
      <c r="AD752" s="167"/>
      <c r="AE752" s="232"/>
      <c r="AF752" s="5"/>
      <c r="AG752" s="5"/>
    </row>
    <row r="753" spans="2:33">
      <c r="B753" s="32" t="s">
        <v>33</v>
      </c>
      <c r="C753" s="33" t="s">
        <v>531</v>
      </c>
      <c r="D753" s="36">
        <v>5</v>
      </c>
      <c r="E753" s="154"/>
      <c r="F753" s="36">
        <v>4826</v>
      </c>
      <c r="G753" s="34" t="s">
        <v>132</v>
      </c>
      <c r="H753" s="40">
        <v>42166</v>
      </c>
      <c r="I753" s="35">
        <v>141800.4</v>
      </c>
      <c r="J753" s="35" t="s">
        <v>1011</v>
      </c>
      <c r="K753" s="153">
        <v>43262</v>
      </c>
      <c r="X753" s="6"/>
      <c r="Y753" s="6"/>
      <c r="Z753" s="6"/>
      <c r="AB753" s="5"/>
      <c r="AC753" s="9"/>
      <c r="AD753" s="167"/>
      <c r="AE753" s="232"/>
      <c r="AF753" s="5"/>
      <c r="AG753" s="5"/>
    </row>
    <row r="754" spans="2:33">
      <c r="B754" s="32" t="s">
        <v>33</v>
      </c>
      <c r="C754" s="33" t="s">
        <v>531</v>
      </c>
      <c r="D754" s="36">
        <v>2</v>
      </c>
      <c r="E754" s="154"/>
      <c r="F754" s="36">
        <v>6081</v>
      </c>
      <c r="G754" s="34" t="s">
        <v>97</v>
      </c>
      <c r="H754" s="40">
        <v>43073</v>
      </c>
      <c r="I754" s="35">
        <v>136300.34</v>
      </c>
      <c r="J754" s="35" t="s">
        <v>1011</v>
      </c>
      <c r="K754" s="153">
        <v>43262</v>
      </c>
      <c r="X754" s="6"/>
      <c r="Y754" s="6"/>
      <c r="Z754" s="6"/>
      <c r="AB754" s="5"/>
      <c r="AC754" s="9"/>
      <c r="AD754" s="167"/>
      <c r="AE754" s="232"/>
      <c r="AF754" s="5"/>
      <c r="AG754" s="5"/>
    </row>
    <row r="755" spans="2:33">
      <c r="B755" s="32" t="s">
        <v>33</v>
      </c>
      <c r="C755" s="33" t="s">
        <v>527</v>
      </c>
      <c r="D755" s="36">
        <v>19</v>
      </c>
      <c r="E755" s="154"/>
      <c r="F755" s="36">
        <v>5315</v>
      </c>
      <c r="G755" s="34" t="s">
        <v>142</v>
      </c>
      <c r="H755" s="40">
        <v>42663</v>
      </c>
      <c r="I755" s="35">
        <v>141080.01</v>
      </c>
      <c r="J755" s="35" t="s">
        <v>1011</v>
      </c>
      <c r="K755" s="153">
        <v>43262</v>
      </c>
      <c r="X755" s="6"/>
      <c r="Y755" s="6"/>
      <c r="Z755" s="6"/>
      <c r="AB755" s="5"/>
      <c r="AC755" s="9"/>
      <c r="AD755" s="167"/>
      <c r="AE755" s="232"/>
      <c r="AF755" s="5"/>
      <c r="AG755" s="5"/>
    </row>
    <row r="756" spans="2:33">
      <c r="B756" s="32" t="s">
        <v>33</v>
      </c>
      <c r="C756" s="33" t="s">
        <v>526</v>
      </c>
      <c r="D756" s="36">
        <v>5</v>
      </c>
      <c r="E756" s="154"/>
      <c r="F756" s="36">
        <v>4186</v>
      </c>
      <c r="G756" s="34" t="s">
        <v>64</v>
      </c>
      <c r="H756" s="40">
        <v>41974</v>
      </c>
      <c r="I756" s="35">
        <v>114336.57</v>
      </c>
      <c r="J756" s="35" t="s">
        <v>1011</v>
      </c>
      <c r="K756" s="153">
        <v>43262</v>
      </c>
      <c r="X756" s="6"/>
      <c r="Y756" s="6"/>
      <c r="Z756" s="6"/>
      <c r="AB756" s="5"/>
      <c r="AC756" s="9"/>
      <c r="AD756" s="167"/>
      <c r="AE756" s="232"/>
      <c r="AF756" s="5"/>
      <c r="AG756" s="5"/>
    </row>
    <row r="757" spans="2:33">
      <c r="B757" s="32" t="s">
        <v>36</v>
      </c>
      <c r="C757" s="33" t="s">
        <v>522</v>
      </c>
      <c r="D757" s="36">
        <v>24</v>
      </c>
      <c r="E757" s="154"/>
      <c r="F757" s="36">
        <v>3734</v>
      </c>
      <c r="G757" s="34" t="s">
        <v>397</v>
      </c>
      <c r="H757" s="40">
        <v>41768</v>
      </c>
      <c r="I757" s="35">
        <v>85387.1</v>
      </c>
      <c r="J757" s="35" t="s">
        <v>1011</v>
      </c>
      <c r="K757" s="153">
        <v>43262</v>
      </c>
      <c r="X757" s="6"/>
      <c r="Y757" s="6"/>
      <c r="Z757" s="6"/>
      <c r="AB757" s="5"/>
      <c r="AC757" s="9"/>
      <c r="AD757" s="167"/>
      <c r="AE757" s="232"/>
      <c r="AF757" s="5"/>
      <c r="AG757" s="5"/>
    </row>
    <row r="758" spans="2:33">
      <c r="B758" s="32" t="s">
        <v>34</v>
      </c>
      <c r="C758" s="33" t="s">
        <v>538</v>
      </c>
      <c r="D758" s="36">
        <v>25</v>
      </c>
      <c r="E758" s="154"/>
      <c r="F758" s="36">
        <v>3811</v>
      </c>
      <c r="G758" s="34" t="s">
        <v>217</v>
      </c>
      <c r="H758" s="40">
        <v>41791</v>
      </c>
      <c r="I758" s="35">
        <v>102826.63</v>
      </c>
      <c r="J758" s="35" t="s">
        <v>1011</v>
      </c>
      <c r="K758" s="153">
        <v>43282</v>
      </c>
      <c r="X758" s="6"/>
      <c r="Y758" s="6"/>
      <c r="Z758" s="6"/>
      <c r="AB758" s="5"/>
      <c r="AC758" s="9"/>
      <c r="AD758" s="167"/>
      <c r="AE758" s="232"/>
      <c r="AF758" s="5"/>
      <c r="AG758" s="5"/>
    </row>
    <row r="759" spans="2:33">
      <c r="B759" s="32" t="s">
        <v>34</v>
      </c>
      <c r="C759" s="33" t="s">
        <v>508</v>
      </c>
      <c r="D759" s="36">
        <v>6</v>
      </c>
      <c r="E759" s="154"/>
      <c r="F759" s="36">
        <v>2814</v>
      </c>
      <c r="G759" s="34" t="s">
        <v>120</v>
      </c>
      <c r="H759" s="40">
        <v>41548</v>
      </c>
      <c r="I759" s="35">
        <v>103531.79</v>
      </c>
      <c r="J759" s="35" t="s">
        <v>1011</v>
      </c>
      <c r="K759" s="153">
        <v>43299</v>
      </c>
      <c r="X759" s="6"/>
      <c r="Y759" s="6"/>
      <c r="Z759" s="6"/>
      <c r="AB759" s="5"/>
      <c r="AC759" s="9"/>
      <c r="AD759" s="167"/>
      <c r="AE759" s="232"/>
      <c r="AF759" s="5"/>
      <c r="AG759" s="5"/>
    </row>
    <row r="760" spans="2:33">
      <c r="B760" s="32" t="s">
        <v>35</v>
      </c>
      <c r="C760" s="33" t="s">
        <v>517</v>
      </c>
      <c r="D760" s="36">
        <v>47</v>
      </c>
      <c r="E760" s="154"/>
      <c r="F760" s="36">
        <v>2793</v>
      </c>
      <c r="G760" s="34" t="s">
        <v>334</v>
      </c>
      <c r="H760" s="40">
        <v>41516</v>
      </c>
      <c r="I760" s="35">
        <v>126130.71</v>
      </c>
      <c r="J760" s="35" t="s">
        <v>1011</v>
      </c>
      <c r="K760" s="153">
        <v>43282</v>
      </c>
      <c r="X760" s="6"/>
      <c r="Y760" s="6"/>
      <c r="Z760" s="6"/>
      <c r="AB760" s="5"/>
      <c r="AC760" s="9"/>
      <c r="AD760" s="167"/>
      <c r="AE760" s="232"/>
      <c r="AF760" s="5"/>
      <c r="AG760" s="5"/>
    </row>
    <row r="761" spans="2:33">
      <c r="B761" s="32" t="s">
        <v>35</v>
      </c>
      <c r="C761" s="33" t="s">
        <v>513</v>
      </c>
      <c r="D761" s="36">
        <v>44</v>
      </c>
      <c r="E761" s="154"/>
      <c r="F761" s="36">
        <v>2673</v>
      </c>
      <c r="G761" s="34" t="s">
        <v>314</v>
      </c>
      <c r="H761" s="40">
        <v>41436</v>
      </c>
      <c r="I761" s="35">
        <v>94839.42</v>
      </c>
      <c r="J761" s="35" t="s">
        <v>1011</v>
      </c>
      <c r="K761" s="153">
        <v>43282</v>
      </c>
      <c r="X761" s="6"/>
      <c r="Y761" s="6"/>
      <c r="Z761" s="6"/>
      <c r="AB761" s="5"/>
      <c r="AC761" s="9"/>
      <c r="AD761" s="167"/>
      <c r="AE761" s="232"/>
      <c r="AF761" s="5"/>
      <c r="AG761" s="5"/>
    </row>
    <row r="762" spans="2:33">
      <c r="B762" s="32" t="s">
        <v>34</v>
      </c>
      <c r="C762" s="33" t="s">
        <v>506</v>
      </c>
      <c r="D762" s="36">
        <v>22</v>
      </c>
      <c r="E762" s="154"/>
      <c r="F762" s="36">
        <v>2437</v>
      </c>
      <c r="G762" s="34" t="s">
        <v>462</v>
      </c>
      <c r="H762" s="40">
        <v>41449</v>
      </c>
      <c r="I762" s="35">
        <v>97812.55</v>
      </c>
      <c r="J762" s="35" t="s">
        <v>1011</v>
      </c>
      <c r="K762" s="153">
        <v>43322</v>
      </c>
      <c r="X762" s="6"/>
      <c r="Y762" s="6"/>
      <c r="Z762" s="6"/>
      <c r="AB762" s="5"/>
      <c r="AC762" s="9"/>
      <c r="AD762" s="167"/>
      <c r="AE762" s="232"/>
      <c r="AF762" s="5"/>
      <c r="AG762" s="5"/>
    </row>
    <row r="763" spans="2:33">
      <c r="B763" s="32" t="s">
        <v>34</v>
      </c>
      <c r="C763" s="33" t="s">
        <v>538</v>
      </c>
      <c r="D763" s="36">
        <v>18</v>
      </c>
      <c r="E763" s="154"/>
      <c r="F763" s="36">
        <v>3548</v>
      </c>
      <c r="G763" s="34" t="s">
        <v>249</v>
      </c>
      <c r="H763" s="40">
        <v>41671</v>
      </c>
      <c r="I763" s="35">
        <v>97833.77</v>
      </c>
      <c r="J763" s="35" t="s">
        <v>1011</v>
      </c>
      <c r="K763" s="153">
        <v>43325</v>
      </c>
      <c r="X763" s="6"/>
      <c r="Y763" s="6"/>
      <c r="Z763" s="6"/>
      <c r="AB763" s="5"/>
      <c r="AC763" s="9"/>
      <c r="AD763" s="167"/>
      <c r="AE763" s="232"/>
      <c r="AF763" s="5"/>
      <c r="AG763" s="5"/>
    </row>
    <row r="764" spans="2:33">
      <c r="B764" s="32" t="s">
        <v>35</v>
      </c>
      <c r="C764" s="33" t="s">
        <v>514</v>
      </c>
      <c r="D764" s="36">
        <v>9</v>
      </c>
      <c r="E764" s="154"/>
      <c r="F764" s="36">
        <v>2436</v>
      </c>
      <c r="G764" s="34" t="s">
        <v>462</v>
      </c>
      <c r="H764" s="40">
        <v>41448</v>
      </c>
      <c r="I764" s="35">
        <v>95110.94</v>
      </c>
      <c r="J764" s="35" t="s">
        <v>1011</v>
      </c>
      <c r="K764" s="153">
        <v>43322</v>
      </c>
      <c r="X764" s="6"/>
      <c r="Y764" s="6"/>
      <c r="Z764" s="6"/>
      <c r="AB764" s="5"/>
      <c r="AC764" s="9"/>
      <c r="AD764" s="167"/>
      <c r="AE764" s="232"/>
      <c r="AF764" s="5"/>
      <c r="AG764" s="5"/>
    </row>
    <row r="765" spans="2:33">
      <c r="B765" s="32" t="s">
        <v>35</v>
      </c>
      <c r="C765" s="33" t="s">
        <v>514</v>
      </c>
      <c r="D765" s="36">
        <v>3</v>
      </c>
      <c r="E765" s="154"/>
      <c r="F765" s="36">
        <v>2845</v>
      </c>
      <c r="G765" s="34" t="s">
        <v>211</v>
      </c>
      <c r="H765" s="40">
        <v>41591</v>
      </c>
      <c r="I765" s="35">
        <v>100359.18</v>
      </c>
      <c r="J765" s="35" t="s">
        <v>1011</v>
      </c>
      <c r="K765" s="153">
        <v>43322</v>
      </c>
      <c r="X765" s="6"/>
      <c r="Y765" s="6"/>
      <c r="Z765" s="6"/>
      <c r="AB765" s="5"/>
      <c r="AC765" s="9"/>
      <c r="AD765" s="167"/>
      <c r="AE765" s="232"/>
      <c r="AF765" s="5"/>
      <c r="AG765" s="5"/>
    </row>
    <row r="766" spans="2:33">
      <c r="B766" s="32" t="s">
        <v>35</v>
      </c>
      <c r="C766" s="33" t="s">
        <v>519</v>
      </c>
      <c r="D766" s="36">
        <v>12</v>
      </c>
      <c r="E766" s="154"/>
      <c r="F766" s="36">
        <v>2297</v>
      </c>
      <c r="G766" s="34" t="s">
        <v>435</v>
      </c>
      <c r="H766" s="40">
        <v>41442</v>
      </c>
      <c r="I766" s="35">
        <v>91918.28</v>
      </c>
      <c r="J766" s="35" t="s">
        <v>1011</v>
      </c>
      <c r="K766" s="153">
        <v>43335</v>
      </c>
      <c r="X766" s="6"/>
      <c r="Y766" s="6"/>
      <c r="Z766" s="6"/>
      <c r="AB766" s="5"/>
      <c r="AC766" s="9"/>
      <c r="AD766" s="167"/>
      <c r="AE766" s="232"/>
      <c r="AF766" s="5"/>
      <c r="AG766" s="5"/>
    </row>
    <row r="767" spans="2:33">
      <c r="B767" s="32" t="s">
        <v>35</v>
      </c>
      <c r="C767" s="33" t="s">
        <v>517</v>
      </c>
      <c r="D767" s="36">
        <v>39</v>
      </c>
      <c r="E767" s="154"/>
      <c r="F767" s="36">
        <v>2678</v>
      </c>
      <c r="G767" s="34" t="s">
        <v>464</v>
      </c>
      <c r="H767" s="40">
        <v>41467</v>
      </c>
      <c r="I767" s="35">
        <v>96723.839999999997</v>
      </c>
      <c r="J767" s="35" t="s">
        <v>1011</v>
      </c>
      <c r="K767" s="153">
        <v>43336</v>
      </c>
      <c r="X767" s="6"/>
      <c r="Y767" s="6"/>
      <c r="Z767" s="6"/>
      <c r="AB767" s="5"/>
      <c r="AC767" s="9"/>
      <c r="AD767" s="167"/>
      <c r="AE767" s="232"/>
      <c r="AF767" s="5"/>
      <c r="AG767" s="5"/>
    </row>
    <row r="768" spans="2:33">
      <c r="B768" s="32" t="s">
        <v>35</v>
      </c>
      <c r="C768" s="33" t="s">
        <v>520</v>
      </c>
      <c r="D768" s="36">
        <v>11</v>
      </c>
      <c r="E768" s="154"/>
      <c r="F768" s="36">
        <v>3838</v>
      </c>
      <c r="G768" s="34" t="s">
        <v>282</v>
      </c>
      <c r="H768" s="40">
        <v>41828</v>
      </c>
      <c r="I768" s="35">
        <v>101274.21</v>
      </c>
      <c r="J768" s="35" t="s">
        <v>1011</v>
      </c>
      <c r="K768" s="153">
        <v>43336</v>
      </c>
      <c r="X768" s="6"/>
      <c r="Y768" s="6"/>
      <c r="Z768" s="6"/>
      <c r="AB768" s="5"/>
      <c r="AC768" s="9"/>
      <c r="AD768" s="167"/>
      <c r="AE768" s="232"/>
      <c r="AF768" s="5"/>
      <c r="AG768" s="5"/>
    </row>
    <row r="769" spans="2:33">
      <c r="B769" s="32" t="s">
        <v>35</v>
      </c>
      <c r="C769" s="33" t="s">
        <v>513</v>
      </c>
      <c r="D769" s="36">
        <v>14</v>
      </c>
      <c r="E769" s="154"/>
      <c r="F769" s="36">
        <v>2821</v>
      </c>
      <c r="G769" s="34" t="s">
        <v>363</v>
      </c>
      <c r="H769" s="40">
        <v>41556</v>
      </c>
      <c r="I769" s="35">
        <v>104226.89</v>
      </c>
      <c r="J769" s="35" t="s">
        <v>1011</v>
      </c>
      <c r="K769" s="153">
        <v>43322</v>
      </c>
      <c r="X769" s="6"/>
      <c r="Y769" s="6"/>
      <c r="Z769" s="6"/>
      <c r="AB769" s="5"/>
      <c r="AC769" s="9"/>
      <c r="AD769" s="167"/>
      <c r="AE769" s="232"/>
      <c r="AF769" s="5"/>
      <c r="AG769" s="5"/>
    </row>
    <row r="770" spans="2:33">
      <c r="B770" s="32" t="s">
        <v>36</v>
      </c>
      <c r="C770" s="33" t="s">
        <v>534</v>
      </c>
      <c r="D770" s="36">
        <v>1</v>
      </c>
      <c r="E770" s="154"/>
      <c r="F770" s="36">
        <v>3622</v>
      </c>
      <c r="G770" s="34" t="s">
        <v>181</v>
      </c>
      <c r="H770" s="40">
        <v>41730</v>
      </c>
      <c r="I770" s="35">
        <v>145876.95000000001</v>
      </c>
      <c r="J770" s="35" t="s">
        <v>1011</v>
      </c>
      <c r="K770" s="153">
        <v>43313</v>
      </c>
      <c r="X770" s="6"/>
      <c r="Y770" s="6"/>
      <c r="Z770" s="6"/>
      <c r="AB770" s="5"/>
      <c r="AC770" s="9"/>
      <c r="AD770" s="167"/>
      <c r="AE770" s="232"/>
      <c r="AF770" s="5"/>
      <c r="AG770" s="5"/>
    </row>
    <row r="771" spans="2:33">
      <c r="B771" s="32" t="s">
        <v>36</v>
      </c>
      <c r="C771" s="33" t="s">
        <v>522</v>
      </c>
      <c r="D771" s="36">
        <v>11</v>
      </c>
      <c r="E771" s="154"/>
      <c r="F771" s="36">
        <v>3837</v>
      </c>
      <c r="G771" s="34" t="s">
        <v>282</v>
      </c>
      <c r="H771" s="40">
        <v>41828</v>
      </c>
      <c r="I771" s="35">
        <v>89434.7</v>
      </c>
      <c r="J771" s="35" t="s">
        <v>1011</v>
      </c>
      <c r="K771" s="153">
        <v>43336</v>
      </c>
      <c r="X771" s="6"/>
      <c r="Y771" s="6"/>
      <c r="Z771" s="6"/>
      <c r="AB771" s="5"/>
      <c r="AC771" s="9"/>
      <c r="AD771" s="167"/>
      <c r="AE771" s="232"/>
      <c r="AF771" s="5"/>
      <c r="AG771" s="5"/>
    </row>
    <row r="772" spans="2:33">
      <c r="B772" s="32" t="s">
        <v>33</v>
      </c>
      <c r="C772" s="33" t="s">
        <v>526</v>
      </c>
      <c r="D772" s="36">
        <v>9</v>
      </c>
      <c r="E772" s="154"/>
      <c r="F772" s="36">
        <v>6182</v>
      </c>
      <c r="G772" s="34" t="s">
        <v>238</v>
      </c>
      <c r="H772" s="40">
        <v>43132</v>
      </c>
      <c r="I772" s="35">
        <v>145700.25</v>
      </c>
      <c r="J772" s="35" t="s">
        <v>1011</v>
      </c>
      <c r="K772" s="153">
        <v>43313</v>
      </c>
      <c r="X772" s="6"/>
      <c r="Y772" s="6"/>
      <c r="Z772" s="6"/>
      <c r="AB772" s="5"/>
      <c r="AC772" s="9"/>
      <c r="AD772" s="167"/>
      <c r="AE772" s="232"/>
      <c r="AF772" s="5"/>
      <c r="AG772" s="5"/>
    </row>
    <row r="773" spans="2:33">
      <c r="B773" s="32" t="s">
        <v>33</v>
      </c>
      <c r="C773" s="33" t="s">
        <v>527</v>
      </c>
      <c r="D773" s="36">
        <v>4</v>
      </c>
      <c r="E773" s="154"/>
      <c r="F773" s="36">
        <v>5733</v>
      </c>
      <c r="G773" s="34" t="s">
        <v>240</v>
      </c>
      <c r="H773" s="40">
        <v>42908</v>
      </c>
      <c r="I773" s="35">
        <v>146940.79999999999</v>
      </c>
      <c r="J773" s="35" t="s">
        <v>1011</v>
      </c>
      <c r="K773" s="153">
        <v>43333</v>
      </c>
      <c r="X773" s="6"/>
      <c r="Y773" s="6"/>
      <c r="Z773" s="6"/>
      <c r="AB773" s="5"/>
      <c r="AC773" s="9"/>
      <c r="AD773" s="167"/>
      <c r="AE773" s="232"/>
      <c r="AF773" s="5"/>
      <c r="AG773" s="5"/>
    </row>
    <row r="774" spans="2:33">
      <c r="B774" s="32" t="s">
        <v>37</v>
      </c>
      <c r="C774" s="33" t="s">
        <v>503</v>
      </c>
      <c r="D774" s="36">
        <v>17</v>
      </c>
      <c r="E774" s="154"/>
      <c r="F774" s="36">
        <v>2441</v>
      </c>
      <c r="G774" s="34" t="s">
        <v>79</v>
      </c>
      <c r="H774" s="40">
        <v>41440</v>
      </c>
      <c r="I774" s="35">
        <v>83154.75</v>
      </c>
      <c r="J774" s="35" t="s">
        <v>1011</v>
      </c>
      <c r="K774" s="153">
        <v>43362</v>
      </c>
      <c r="X774" s="6"/>
      <c r="Y774" s="6"/>
      <c r="Z774" s="6"/>
      <c r="AB774" s="5"/>
      <c r="AC774" s="9"/>
      <c r="AD774" s="167"/>
      <c r="AE774" s="232"/>
      <c r="AF774" s="5"/>
      <c r="AG774" s="5"/>
    </row>
    <row r="775" spans="2:33">
      <c r="B775" s="32" t="s">
        <v>34</v>
      </c>
      <c r="C775" s="33" t="s">
        <v>506</v>
      </c>
      <c r="D775" s="36">
        <v>31</v>
      </c>
      <c r="E775" s="154"/>
      <c r="F775" s="36">
        <v>2323</v>
      </c>
      <c r="G775" s="34" t="s">
        <v>208</v>
      </c>
      <c r="H775" s="40">
        <v>41441</v>
      </c>
      <c r="I775" s="35">
        <v>97812.6</v>
      </c>
      <c r="J775" s="35" t="s">
        <v>1011</v>
      </c>
      <c r="K775" s="153">
        <v>43364</v>
      </c>
      <c r="X775" s="6"/>
      <c r="Y775" s="6"/>
      <c r="Z775" s="6"/>
      <c r="AB775" s="5"/>
      <c r="AC775" s="9"/>
      <c r="AD775" s="167"/>
      <c r="AE775" s="232"/>
      <c r="AF775" s="5"/>
      <c r="AG775" s="5"/>
    </row>
    <row r="776" spans="2:33">
      <c r="B776" s="32" t="s">
        <v>36</v>
      </c>
      <c r="C776" s="33" t="s">
        <v>534</v>
      </c>
      <c r="D776" s="36">
        <v>31</v>
      </c>
      <c r="E776" s="154"/>
      <c r="F776" s="36">
        <v>5108</v>
      </c>
      <c r="G776" s="34" t="s">
        <v>51</v>
      </c>
      <c r="H776" s="40">
        <v>42424</v>
      </c>
      <c r="I776" s="35">
        <v>116820.45</v>
      </c>
      <c r="J776" s="35" t="s">
        <v>1011</v>
      </c>
      <c r="K776" s="153">
        <v>43362</v>
      </c>
      <c r="X776" s="6"/>
      <c r="Y776" s="6"/>
      <c r="Z776" s="6"/>
      <c r="AB776" s="5"/>
      <c r="AC776" s="9"/>
      <c r="AD776" s="167"/>
      <c r="AE776" s="232"/>
      <c r="AF776" s="5"/>
      <c r="AG776" s="5"/>
    </row>
    <row r="777" spans="2:33">
      <c r="B777" s="32" t="s">
        <v>33</v>
      </c>
      <c r="C777" s="33" t="s">
        <v>524</v>
      </c>
      <c r="D777" s="36">
        <v>10</v>
      </c>
      <c r="E777" s="154"/>
      <c r="F777" s="36">
        <v>5096</v>
      </c>
      <c r="G777" s="34" t="s">
        <v>213</v>
      </c>
      <c r="H777" s="40">
        <v>42403</v>
      </c>
      <c r="I777" s="35">
        <v>118710</v>
      </c>
      <c r="J777" s="35" t="s">
        <v>1011</v>
      </c>
      <c r="K777" s="153">
        <v>43364</v>
      </c>
      <c r="X777" s="6"/>
      <c r="Y777" s="6"/>
      <c r="Z777" s="6"/>
      <c r="AB777" s="5"/>
      <c r="AC777" s="9"/>
      <c r="AD777" s="167"/>
      <c r="AE777" s="232"/>
      <c r="AF777" s="5"/>
      <c r="AG777" s="5"/>
    </row>
    <row r="778" spans="2:33">
      <c r="B778" s="32" t="s">
        <v>34</v>
      </c>
      <c r="C778" s="33" t="s">
        <v>505</v>
      </c>
      <c r="D778" s="36">
        <v>4</v>
      </c>
      <c r="E778" s="154"/>
      <c r="F778" s="36">
        <v>2733</v>
      </c>
      <c r="G778" s="34" t="s">
        <v>189</v>
      </c>
      <c r="H778" s="40">
        <v>41480</v>
      </c>
      <c r="I778" s="35">
        <v>98947.6</v>
      </c>
      <c r="J778" s="35" t="s">
        <v>1011</v>
      </c>
      <c r="K778" s="153">
        <v>43364</v>
      </c>
      <c r="X778" s="6"/>
      <c r="Y778" s="6"/>
      <c r="Z778" s="6"/>
      <c r="AB778" s="5"/>
      <c r="AC778" s="9"/>
      <c r="AD778" s="167"/>
      <c r="AE778" s="232"/>
      <c r="AF778" s="5"/>
      <c r="AG778" s="5"/>
    </row>
    <row r="779" spans="2:33">
      <c r="B779" s="32" t="s">
        <v>38</v>
      </c>
      <c r="C779" s="33" t="s">
        <v>512</v>
      </c>
      <c r="D779" s="36">
        <v>13</v>
      </c>
      <c r="E779" s="154"/>
      <c r="F779" s="36">
        <v>2589</v>
      </c>
      <c r="G779" s="34" t="s">
        <v>358</v>
      </c>
      <c r="H779" s="40">
        <v>41446</v>
      </c>
      <c r="I779" s="35">
        <v>81756.88</v>
      </c>
      <c r="J779" s="35" t="s">
        <v>1011</v>
      </c>
      <c r="K779" s="153">
        <v>43397</v>
      </c>
      <c r="X779" s="6"/>
      <c r="Y779" s="6"/>
      <c r="Z779" s="6"/>
      <c r="AB779" s="5"/>
      <c r="AC779" s="9"/>
      <c r="AD779" s="167"/>
      <c r="AE779" s="232"/>
      <c r="AF779" s="5"/>
      <c r="AG779" s="5"/>
    </row>
    <row r="780" spans="2:33">
      <c r="B780" s="32" t="s">
        <v>33</v>
      </c>
      <c r="C780" s="33" t="s">
        <v>528</v>
      </c>
      <c r="D780" s="36">
        <v>1</v>
      </c>
      <c r="E780" s="154"/>
      <c r="F780" s="36">
        <v>3839</v>
      </c>
      <c r="G780" s="34" t="s">
        <v>67</v>
      </c>
      <c r="H780" s="40">
        <v>41837</v>
      </c>
      <c r="I780" s="35">
        <v>117366.3</v>
      </c>
      <c r="J780" s="35" t="s">
        <v>1011</v>
      </c>
      <c r="K780" s="153">
        <v>43383</v>
      </c>
      <c r="X780" s="6"/>
      <c r="Y780" s="6"/>
      <c r="Z780" s="6"/>
      <c r="AB780" s="5"/>
      <c r="AC780" s="9"/>
      <c r="AD780" s="167"/>
      <c r="AE780" s="232"/>
      <c r="AF780" s="5"/>
      <c r="AG780" s="5"/>
    </row>
    <row r="781" spans="2:33">
      <c r="B781" s="32" t="s">
        <v>33</v>
      </c>
      <c r="C781" s="33" t="s">
        <v>530</v>
      </c>
      <c r="D781" s="36">
        <v>33</v>
      </c>
      <c r="E781" s="154"/>
      <c r="F781" s="36">
        <v>3650</v>
      </c>
      <c r="G781" s="34" t="s">
        <v>380</v>
      </c>
      <c r="H781" s="40">
        <v>41730</v>
      </c>
      <c r="I781" s="35">
        <v>103642.34</v>
      </c>
      <c r="J781" s="35" t="s">
        <v>1011</v>
      </c>
      <c r="K781" s="153">
        <v>43383</v>
      </c>
      <c r="X781" s="6"/>
      <c r="Y781" s="6"/>
      <c r="Z781" s="6"/>
      <c r="AB781" s="5"/>
      <c r="AC781" s="9"/>
      <c r="AD781" s="167"/>
      <c r="AE781" s="232"/>
      <c r="AF781" s="5"/>
      <c r="AG781" s="5"/>
    </row>
    <row r="782" spans="2:33">
      <c r="B782" s="32" t="s">
        <v>33</v>
      </c>
      <c r="C782" s="33" t="s">
        <v>531</v>
      </c>
      <c r="D782" s="36">
        <v>17</v>
      </c>
      <c r="E782" s="154"/>
      <c r="F782" s="36">
        <v>5194</v>
      </c>
      <c r="G782" s="34" t="s">
        <v>90</v>
      </c>
      <c r="H782" s="40">
        <v>42467</v>
      </c>
      <c r="I782" s="35">
        <v>144500.6</v>
      </c>
      <c r="J782" s="35" t="s">
        <v>1011</v>
      </c>
      <c r="K782" s="153">
        <v>43375</v>
      </c>
      <c r="X782" s="6"/>
      <c r="Y782" s="6"/>
      <c r="Z782" s="6"/>
      <c r="AB782" s="5"/>
      <c r="AC782" s="9"/>
      <c r="AD782" s="167"/>
      <c r="AE782" s="232"/>
      <c r="AF782" s="5"/>
      <c r="AG782" s="5"/>
    </row>
    <row r="783" spans="2:33">
      <c r="B783" s="32" t="s">
        <v>33</v>
      </c>
      <c r="C783" s="33" t="s">
        <v>524</v>
      </c>
      <c r="D783" s="36">
        <v>6</v>
      </c>
      <c r="E783" s="154"/>
      <c r="F783" s="36">
        <v>6596</v>
      </c>
      <c r="G783" s="34" t="s">
        <v>792</v>
      </c>
      <c r="H783" s="40">
        <v>43244</v>
      </c>
      <c r="I783" s="35">
        <v>127839.43</v>
      </c>
      <c r="J783" s="35" t="s">
        <v>1011</v>
      </c>
      <c r="K783" s="153">
        <v>43369</v>
      </c>
      <c r="X783" s="6"/>
      <c r="Y783" s="6"/>
      <c r="Z783" s="6"/>
      <c r="AB783" s="5"/>
      <c r="AC783" s="9"/>
      <c r="AD783" s="167"/>
      <c r="AE783" s="232"/>
      <c r="AF783" s="5"/>
      <c r="AG783" s="5"/>
    </row>
    <row r="784" spans="2:33">
      <c r="B784" s="32" t="s">
        <v>36</v>
      </c>
      <c r="C784" s="33" t="s">
        <v>534</v>
      </c>
      <c r="D784" s="36">
        <v>7</v>
      </c>
      <c r="E784" s="154"/>
      <c r="F784" s="36">
        <v>3813</v>
      </c>
      <c r="G784" s="34" t="s">
        <v>262</v>
      </c>
      <c r="H784" s="40">
        <v>41824</v>
      </c>
      <c r="I784" s="35">
        <v>101100.75</v>
      </c>
      <c r="J784" s="35" t="s">
        <v>1011</v>
      </c>
      <c r="K784" s="153">
        <v>43383</v>
      </c>
      <c r="X784" s="6"/>
      <c r="Y784" s="6"/>
      <c r="Z784" s="6"/>
      <c r="AB784" s="5"/>
      <c r="AC784" s="9"/>
      <c r="AD784" s="167"/>
      <c r="AE784" s="232"/>
      <c r="AF784" s="5"/>
      <c r="AG784" s="5"/>
    </row>
    <row r="785" spans="2:33">
      <c r="B785" s="32" t="s">
        <v>36</v>
      </c>
      <c r="C785" s="33" t="s">
        <v>534</v>
      </c>
      <c r="D785" s="36">
        <v>24</v>
      </c>
      <c r="E785" s="154"/>
      <c r="F785" s="36">
        <v>5077</v>
      </c>
      <c r="G785" s="34" t="s">
        <v>381</v>
      </c>
      <c r="H785" s="40">
        <v>42389</v>
      </c>
      <c r="I785" s="35">
        <v>123000.6</v>
      </c>
      <c r="J785" s="35" t="s">
        <v>1011</v>
      </c>
      <c r="K785" s="153">
        <v>43404</v>
      </c>
      <c r="X785" s="6"/>
      <c r="Y785" s="6"/>
      <c r="Z785" s="6"/>
      <c r="AB785" s="5"/>
      <c r="AC785" s="9"/>
      <c r="AD785" s="167"/>
      <c r="AE785" s="232"/>
      <c r="AF785" s="5"/>
      <c r="AG785" s="5"/>
    </row>
    <row r="786" spans="2:33">
      <c r="B786" s="32" t="s">
        <v>34</v>
      </c>
      <c r="C786" s="33" t="s">
        <v>509</v>
      </c>
      <c r="D786" s="36">
        <v>23</v>
      </c>
      <c r="E786" s="154"/>
      <c r="F786" s="36">
        <v>3764</v>
      </c>
      <c r="G786" s="34" t="s">
        <v>134</v>
      </c>
      <c r="H786" s="40">
        <v>41791</v>
      </c>
      <c r="I786" s="35">
        <v>101520</v>
      </c>
      <c r="J786" s="35" t="s">
        <v>1011</v>
      </c>
      <c r="K786" s="153">
        <v>43413</v>
      </c>
      <c r="X786" s="6"/>
      <c r="Y786" s="6"/>
      <c r="Z786" s="6"/>
      <c r="AB786" s="5"/>
      <c r="AC786" s="9"/>
      <c r="AD786" s="167"/>
      <c r="AE786" s="232"/>
      <c r="AF786" s="5"/>
      <c r="AG786" s="5"/>
    </row>
    <row r="787" spans="2:33">
      <c r="B787" s="32" t="s">
        <v>38</v>
      </c>
      <c r="C787" s="33" t="s">
        <v>533</v>
      </c>
      <c r="D787" s="36">
        <v>14</v>
      </c>
      <c r="E787" s="154"/>
      <c r="F787" s="36">
        <v>3849</v>
      </c>
      <c r="G787" s="34" t="s">
        <v>119</v>
      </c>
      <c r="H787" s="40">
        <v>41855</v>
      </c>
      <c r="I787" s="35">
        <v>95651.199999999997</v>
      </c>
      <c r="J787" s="35" t="s">
        <v>1011</v>
      </c>
      <c r="K787" s="153">
        <v>43566</v>
      </c>
      <c r="X787" s="6"/>
      <c r="Y787" s="6"/>
      <c r="Z787" s="6"/>
      <c r="AB787" s="5"/>
      <c r="AC787" s="9"/>
      <c r="AD787" s="167"/>
      <c r="AE787" s="232"/>
      <c r="AF787" s="5"/>
      <c r="AG787" s="5"/>
    </row>
    <row r="788" spans="2:33">
      <c r="B788" s="32" t="s">
        <v>38</v>
      </c>
      <c r="C788" s="33" t="s">
        <v>533</v>
      </c>
      <c r="D788" s="36">
        <v>26</v>
      </c>
      <c r="E788" s="154"/>
      <c r="F788" s="36">
        <v>2758</v>
      </c>
      <c r="G788" s="34" t="s">
        <v>123</v>
      </c>
      <c r="H788" s="40">
        <v>41491</v>
      </c>
      <c r="I788" s="35">
        <v>83322.539999999994</v>
      </c>
      <c r="J788" s="35" t="s">
        <v>1011</v>
      </c>
      <c r="K788" s="153">
        <v>43566</v>
      </c>
      <c r="X788" s="6"/>
      <c r="Y788" s="6"/>
      <c r="Z788" s="6"/>
      <c r="AB788" s="5"/>
      <c r="AC788" s="9"/>
      <c r="AD788" s="167"/>
      <c r="AE788" s="232"/>
      <c r="AF788" s="5"/>
      <c r="AG788" s="5"/>
    </row>
    <row r="789" spans="2:33">
      <c r="B789" s="32" t="s">
        <v>35</v>
      </c>
      <c r="C789" s="33" t="s">
        <v>518</v>
      </c>
      <c r="D789" s="36">
        <v>10</v>
      </c>
      <c r="E789" s="154"/>
      <c r="F789" s="36">
        <v>4361</v>
      </c>
      <c r="G789" s="34" t="s">
        <v>437</v>
      </c>
      <c r="H789" s="40">
        <v>42012</v>
      </c>
      <c r="I789" s="35">
        <v>129300.36</v>
      </c>
      <c r="J789" s="35" t="s">
        <v>1011</v>
      </c>
      <c r="K789" s="153">
        <v>43509</v>
      </c>
      <c r="X789" s="6"/>
      <c r="Y789" s="6"/>
      <c r="Z789" s="6"/>
      <c r="AB789" s="5"/>
      <c r="AC789" s="9"/>
      <c r="AD789" s="167"/>
      <c r="AE789" s="232"/>
      <c r="AF789" s="5"/>
      <c r="AG789" s="5"/>
    </row>
    <row r="790" spans="2:33">
      <c r="B790" s="32" t="s">
        <v>34</v>
      </c>
      <c r="C790" s="33" t="s">
        <v>509</v>
      </c>
      <c r="D790" s="36">
        <v>12</v>
      </c>
      <c r="E790" s="154">
        <v>260</v>
      </c>
      <c r="F790" s="36">
        <v>2512</v>
      </c>
      <c r="G790" s="34" t="s">
        <v>370</v>
      </c>
      <c r="H790" s="40">
        <v>41440</v>
      </c>
      <c r="I790" s="35">
        <v>94094</v>
      </c>
      <c r="J790" s="35" t="s">
        <v>1011</v>
      </c>
      <c r="K790" s="153">
        <v>43510</v>
      </c>
      <c r="X790" s="6"/>
      <c r="Y790" s="6"/>
      <c r="Z790" s="6"/>
      <c r="AB790" s="5"/>
      <c r="AC790" s="9"/>
      <c r="AD790" s="167"/>
      <c r="AE790" s="232"/>
      <c r="AF790" s="5"/>
      <c r="AG790" s="5"/>
    </row>
    <row r="791" spans="2:33">
      <c r="B791" s="32" t="s">
        <v>35</v>
      </c>
      <c r="C791" s="33" t="s">
        <v>514</v>
      </c>
      <c r="D791" s="36">
        <v>9</v>
      </c>
      <c r="E791" s="154">
        <v>262.81</v>
      </c>
      <c r="F791" s="36"/>
      <c r="G791" s="34" t="s">
        <v>865</v>
      </c>
      <c r="H791" s="40">
        <v>43405</v>
      </c>
      <c r="I791" s="35">
        <v>162413.22</v>
      </c>
      <c r="J791" s="35" t="s">
        <v>1011</v>
      </c>
      <c r="K791" s="153">
        <v>43510</v>
      </c>
      <c r="AB791" s="5"/>
      <c r="AC791" s="9"/>
      <c r="AD791" s="167"/>
      <c r="AE791" s="232"/>
    </row>
    <row r="792" spans="2:33">
      <c r="B792" s="32" t="s">
        <v>35</v>
      </c>
      <c r="C792" s="33" t="s">
        <v>517</v>
      </c>
      <c r="D792" s="36">
        <v>22</v>
      </c>
      <c r="E792" s="154">
        <v>277.73</v>
      </c>
      <c r="F792" s="36">
        <v>2527</v>
      </c>
      <c r="G792" s="34" t="s">
        <v>170</v>
      </c>
      <c r="H792" s="40">
        <v>41458</v>
      </c>
      <c r="I792" s="35">
        <v>101815.82</v>
      </c>
      <c r="J792" s="35" t="s">
        <v>1011</v>
      </c>
      <c r="K792" s="153">
        <v>43482</v>
      </c>
      <c r="AB792" s="5"/>
      <c r="AC792" s="9"/>
      <c r="AD792" s="167"/>
      <c r="AE792" s="232"/>
    </row>
    <row r="793" spans="2:33">
      <c r="B793" s="32" t="s">
        <v>33</v>
      </c>
      <c r="C793" s="33" t="s">
        <v>523</v>
      </c>
      <c r="D793" s="36">
        <v>24</v>
      </c>
      <c r="E793" s="154">
        <v>256.19</v>
      </c>
      <c r="F793" s="36">
        <v>5737</v>
      </c>
      <c r="G793" s="34" t="s">
        <v>307</v>
      </c>
      <c r="H793" s="40">
        <v>42921</v>
      </c>
      <c r="I793" s="35">
        <v>131600.4</v>
      </c>
      <c r="J793" s="35" t="s">
        <v>1011</v>
      </c>
      <c r="K793" s="153">
        <v>43510</v>
      </c>
      <c r="AB793" s="5"/>
      <c r="AC793" s="9"/>
      <c r="AD793" s="167"/>
      <c r="AE793" s="232"/>
    </row>
    <row r="794" spans="2:33">
      <c r="B794" s="32" t="s">
        <v>33</v>
      </c>
      <c r="C794" s="33" t="s">
        <v>527</v>
      </c>
      <c r="D794" s="36">
        <v>8</v>
      </c>
      <c r="E794" s="154">
        <v>250.5</v>
      </c>
      <c r="F794" s="36">
        <v>5201</v>
      </c>
      <c r="G794" s="34" t="s">
        <v>483</v>
      </c>
      <c r="H794" s="40">
        <v>42488</v>
      </c>
      <c r="I794" s="35">
        <v>141100</v>
      </c>
      <c r="J794" s="35" t="s">
        <v>1011</v>
      </c>
      <c r="K794" s="153">
        <v>43433</v>
      </c>
      <c r="AB794" s="5"/>
      <c r="AC794" s="9"/>
      <c r="AD794" s="167"/>
      <c r="AE794" s="232"/>
    </row>
    <row r="795" spans="2:33">
      <c r="B795" s="32" t="s">
        <v>33</v>
      </c>
      <c r="C795" s="33" t="s">
        <v>531</v>
      </c>
      <c r="D795" s="36">
        <v>22</v>
      </c>
      <c r="E795" s="154">
        <v>365.62</v>
      </c>
      <c r="F795" s="36">
        <v>5170</v>
      </c>
      <c r="G795" s="34" t="s">
        <v>440</v>
      </c>
      <c r="H795" s="40">
        <v>42450</v>
      </c>
      <c r="I795" s="35">
        <v>206486.69</v>
      </c>
      <c r="J795" s="35" t="s">
        <v>1011</v>
      </c>
      <c r="K795" s="153">
        <v>43556</v>
      </c>
      <c r="AB795" s="5"/>
      <c r="AC795" s="9"/>
      <c r="AD795" s="167"/>
      <c r="AE795" s="232"/>
    </row>
    <row r="796" spans="2:33">
      <c r="B796" s="32" t="s">
        <v>36</v>
      </c>
      <c r="C796" s="33" t="s">
        <v>534</v>
      </c>
      <c r="D796" s="36">
        <v>23</v>
      </c>
      <c r="E796" s="154">
        <v>254</v>
      </c>
      <c r="F796" s="36">
        <v>5079</v>
      </c>
      <c r="G796" s="34" t="s">
        <v>303</v>
      </c>
      <c r="H796" s="40">
        <v>42387</v>
      </c>
      <c r="I796" s="35">
        <v>132800</v>
      </c>
      <c r="J796" s="35" t="s">
        <v>1011</v>
      </c>
      <c r="K796" s="153">
        <v>43558</v>
      </c>
      <c r="AB796" s="5"/>
      <c r="AC796" s="9"/>
      <c r="AD796" s="167"/>
      <c r="AE796" s="232"/>
    </row>
    <row r="797" spans="2:33">
      <c r="B797" s="32" t="s">
        <v>33</v>
      </c>
      <c r="C797" s="33" t="s">
        <v>523</v>
      </c>
      <c r="D797" s="36">
        <v>12</v>
      </c>
      <c r="E797" s="154">
        <v>287.39999999999998</v>
      </c>
      <c r="F797" s="36">
        <v>5092</v>
      </c>
      <c r="G797" s="34" t="s">
        <v>187</v>
      </c>
      <c r="H797" s="40">
        <v>42411</v>
      </c>
      <c r="I797" s="35">
        <v>144809.95000000001</v>
      </c>
      <c r="J797" s="35" t="s">
        <v>1011</v>
      </c>
      <c r="K797" s="153">
        <v>43584</v>
      </c>
      <c r="AB797" s="5"/>
      <c r="AC797" s="9"/>
      <c r="AD797" s="167"/>
      <c r="AE797" s="232"/>
    </row>
    <row r="798" spans="2:33">
      <c r="B798" s="32" t="s">
        <v>33</v>
      </c>
      <c r="C798" s="33" t="s">
        <v>525</v>
      </c>
      <c r="D798" s="36">
        <v>19</v>
      </c>
      <c r="E798" s="154">
        <v>304.64</v>
      </c>
      <c r="F798" s="36">
        <v>4884</v>
      </c>
      <c r="G798" s="34" t="s">
        <v>93</v>
      </c>
      <c r="H798" s="40">
        <v>42207</v>
      </c>
      <c r="I798" s="35">
        <v>157100.4</v>
      </c>
      <c r="J798" s="35" t="s">
        <v>1011</v>
      </c>
      <c r="K798" s="153">
        <v>43585</v>
      </c>
      <c r="AB798" s="5"/>
      <c r="AC798" s="9"/>
      <c r="AD798" s="167"/>
      <c r="AE798" s="232"/>
    </row>
    <row r="799" spans="2:33">
      <c r="B799" s="32" t="s">
        <v>34</v>
      </c>
      <c r="C799" s="33" t="s">
        <v>507</v>
      </c>
      <c r="D799" s="36">
        <v>25</v>
      </c>
      <c r="E799" s="154">
        <v>268.58</v>
      </c>
      <c r="F799" s="36">
        <v>2416</v>
      </c>
      <c r="G799" s="34" t="s">
        <v>40</v>
      </c>
      <c r="H799" s="40">
        <v>41441</v>
      </c>
      <c r="I799" s="35">
        <v>98461.43</v>
      </c>
      <c r="J799" s="35" t="s">
        <v>1011</v>
      </c>
      <c r="K799" s="153">
        <v>43605</v>
      </c>
      <c r="AB799" s="5"/>
      <c r="AC799" s="9"/>
      <c r="AD799" s="167"/>
      <c r="AE799" s="232"/>
    </row>
    <row r="800" spans="2:33">
      <c r="B800" s="32" t="s">
        <v>35</v>
      </c>
      <c r="C800" s="33" t="s">
        <v>517</v>
      </c>
      <c r="D800" s="36">
        <v>17</v>
      </c>
      <c r="E800" s="154">
        <v>277.73</v>
      </c>
      <c r="F800" s="36">
        <v>2415</v>
      </c>
      <c r="G800" s="34" t="s">
        <v>40</v>
      </c>
      <c r="H800" s="40">
        <v>41441</v>
      </c>
      <c r="I800" s="35">
        <v>101815.82</v>
      </c>
      <c r="J800" s="35" t="s">
        <v>1011</v>
      </c>
      <c r="K800" s="153">
        <v>43605</v>
      </c>
      <c r="AB800" s="5"/>
      <c r="AC800" s="9"/>
      <c r="AD800" s="167"/>
      <c r="AE800" s="232"/>
    </row>
    <row r="801" spans="2:31">
      <c r="B801" s="32" t="s">
        <v>35</v>
      </c>
      <c r="C801" s="33" t="s">
        <v>516</v>
      </c>
      <c r="D801" s="36">
        <v>17</v>
      </c>
      <c r="E801" s="154">
        <v>476.72</v>
      </c>
      <c r="F801" s="36">
        <v>3685</v>
      </c>
      <c r="G801" s="34" t="s">
        <v>58</v>
      </c>
      <c r="H801" s="40">
        <v>41736</v>
      </c>
      <c r="I801" s="35">
        <v>188000</v>
      </c>
      <c r="J801" s="35" t="s">
        <v>1011</v>
      </c>
      <c r="K801" s="153">
        <v>43613</v>
      </c>
      <c r="AB801" s="5"/>
      <c r="AC801" s="9"/>
      <c r="AD801" s="167"/>
      <c r="AE801" s="232"/>
    </row>
    <row r="802" spans="2:31">
      <c r="B802" s="32" t="s">
        <v>35</v>
      </c>
      <c r="C802" s="33" t="s">
        <v>515</v>
      </c>
      <c r="D802" s="36">
        <v>1</v>
      </c>
      <c r="E802" s="154">
        <v>320.82</v>
      </c>
      <c r="F802" s="36">
        <v>2662</v>
      </c>
      <c r="G802" s="34" t="s">
        <v>640</v>
      </c>
      <c r="H802" s="40">
        <v>41462</v>
      </c>
      <c r="I802" s="35">
        <v>117442.43</v>
      </c>
      <c r="J802" s="35" t="s">
        <v>1011</v>
      </c>
      <c r="K802" s="153">
        <v>43616</v>
      </c>
      <c r="AB802" s="5"/>
      <c r="AC802" s="9"/>
      <c r="AD802" s="167"/>
      <c r="AE802" s="232"/>
    </row>
    <row r="803" spans="2:31">
      <c r="B803" s="32" t="s">
        <v>34</v>
      </c>
      <c r="C803" s="33" t="s">
        <v>509</v>
      </c>
      <c r="D803" s="36">
        <v>15</v>
      </c>
      <c r="E803" s="154">
        <v>260</v>
      </c>
      <c r="F803" s="36">
        <v>2684</v>
      </c>
      <c r="G803" s="34" t="s">
        <v>163</v>
      </c>
      <c r="H803" s="40">
        <v>41470</v>
      </c>
      <c r="I803" s="35">
        <v>94094</v>
      </c>
      <c r="J803" s="35" t="s">
        <v>1011</v>
      </c>
      <c r="K803" s="153">
        <v>43599</v>
      </c>
      <c r="AB803" s="5"/>
      <c r="AC803" s="9"/>
      <c r="AD803" s="167"/>
      <c r="AE803" s="232"/>
    </row>
    <row r="804" spans="2:31">
      <c r="B804" s="32" t="s">
        <v>38</v>
      </c>
      <c r="C804" s="33" t="s">
        <v>533</v>
      </c>
      <c r="D804" s="36">
        <v>12</v>
      </c>
      <c r="E804" s="154">
        <v>251.25</v>
      </c>
      <c r="F804" s="36">
        <v>2680</v>
      </c>
      <c r="G804" s="34" t="s">
        <v>163</v>
      </c>
      <c r="H804" s="40">
        <v>41469</v>
      </c>
      <c r="I804" s="35">
        <v>83369.77</v>
      </c>
      <c r="J804" s="35" t="s">
        <v>1011</v>
      </c>
      <c r="K804" s="153">
        <v>43599</v>
      </c>
      <c r="AB804" s="5"/>
      <c r="AC804" s="9"/>
      <c r="AD804" s="167"/>
      <c r="AE804" s="232"/>
    </row>
    <row r="805" spans="2:31">
      <c r="B805" s="32" t="s">
        <v>33</v>
      </c>
      <c r="C805" s="33" t="s">
        <v>530</v>
      </c>
      <c r="D805" s="36">
        <v>38</v>
      </c>
      <c r="E805" s="64">
        <v>254.5</v>
      </c>
      <c r="F805" s="36">
        <v>3884</v>
      </c>
      <c r="G805" s="34" t="s">
        <v>251</v>
      </c>
      <c r="H805" s="40">
        <v>41883</v>
      </c>
      <c r="I805" s="35">
        <v>105891.06</v>
      </c>
      <c r="J805" s="35" t="s">
        <v>1011</v>
      </c>
      <c r="K805" s="153">
        <v>43595</v>
      </c>
      <c r="AB805" s="5"/>
      <c r="AC805" s="9"/>
      <c r="AD805" s="167"/>
      <c r="AE805" s="232"/>
    </row>
    <row r="806" spans="2:31">
      <c r="B806" s="32" t="s">
        <v>33</v>
      </c>
      <c r="C806" s="33" t="s">
        <v>531</v>
      </c>
      <c r="D806" s="36">
        <v>30</v>
      </c>
      <c r="E806" s="154">
        <v>255.25</v>
      </c>
      <c r="F806" s="36">
        <v>4759</v>
      </c>
      <c r="G806" s="34" t="s">
        <v>475</v>
      </c>
      <c r="H806" s="40">
        <v>42138</v>
      </c>
      <c r="I806" s="35">
        <v>120000</v>
      </c>
      <c r="J806" s="35" t="s">
        <v>1011</v>
      </c>
      <c r="K806" s="153">
        <v>43601</v>
      </c>
      <c r="AB806" s="5"/>
      <c r="AC806" s="9"/>
      <c r="AD806" s="167"/>
      <c r="AE806" s="232"/>
    </row>
    <row r="807" spans="2:31">
      <c r="B807" s="32" t="s">
        <v>33</v>
      </c>
      <c r="C807" s="33" t="s">
        <v>527</v>
      </c>
      <c r="D807" s="36">
        <v>41</v>
      </c>
      <c r="E807" s="154">
        <v>256.75</v>
      </c>
      <c r="F807" s="36">
        <v>5722</v>
      </c>
      <c r="G807" s="34" t="s">
        <v>468</v>
      </c>
      <c r="H807" s="40">
        <v>42891</v>
      </c>
      <c r="I807" s="35">
        <v>152426.14000000001</v>
      </c>
      <c r="J807" s="35" t="s">
        <v>1011</v>
      </c>
      <c r="K807" s="153">
        <v>43601</v>
      </c>
      <c r="AB807" s="5"/>
      <c r="AC807" s="9"/>
      <c r="AD807" s="167"/>
      <c r="AE807" s="232"/>
    </row>
    <row r="808" spans="2:31">
      <c r="B808" s="32" t="s">
        <v>37</v>
      </c>
      <c r="C808" s="33" t="s">
        <v>503</v>
      </c>
      <c r="D808" s="36">
        <v>13</v>
      </c>
      <c r="E808" s="154">
        <v>252.75</v>
      </c>
      <c r="F808" s="36">
        <v>2382</v>
      </c>
      <c r="G808" s="34" t="s">
        <v>69</v>
      </c>
      <c r="H808" s="40">
        <v>41446</v>
      </c>
      <c r="I808" s="35">
        <v>83154.75</v>
      </c>
      <c r="J808" s="35" t="s">
        <v>1011</v>
      </c>
      <c r="K808" s="153">
        <v>43616</v>
      </c>
      <c r="AB808" s="5"/>
      <c r="AC808" s="9"/>
      <c r="AD808" s="167"/>
      <c r="AE808" s="232"/>
    </row>
    <row r="809" spans="2:31">
      <c r="B809" s="32" t="s">
        <v>38</v>
      </c>
      <c r="C809" s="33" t="s">
        <v>511</v>
      </c>
      <c r="D809" s="36">
        <v>8</v>
      </c>
      <c r="E809" s="154">
        <v>253</v>
      </c>
      <c r="F809" s="36">
        <v>6360</v>
      </c>
      <c r="G809" s="34" t="s">
        <v>626</v>
      </c>
      <c r="H809" s="40">
        <v>43222</v>
      </c>
      <c r="I809" s="35">
        <v>135689.93</v>
      </c>
      <c r="J809" s="35" t="s">
        <v>1011</v>
      </c>
      <c r="K809" s="153">
        <v>43643</v>
      </c>
      <c r="AB809" s="5"/>
      <c r="AC809" s="9"/>
      <c r="AD809" s="167"/>
      <c r="AE809" s="232"/>
    </row>
    <row r="810" spans="2:31">
      <c r="B810" s="32" t="s">
        <v>36</v>
      </c>
      <c r="C810" s="33" t="s">
        <v>521</v>
      </c>
      <c r="D810" s="36">
        <v>25</v>
      </c>
      <c r="E810" s="183">
        <v>250.75</v>
      </c>
      <c r="F810" s="36">
        <v>4661</v>
      </c>
      <c r="G810" s="34" t="s">
        <v>436</v>
      </c>
      <c r="H810" s="40">
        <v>42109</v>
      </c>
      <c r="I810" s="35">
        <v>121000.68</v>
      </c>
      <c r="J810" s="35" t="s">
        <v>1011</v>
      </c>
      <c r="K810" s="153">
        <v>43670</v>
      </c>
      <c r="AB810" s="5"/>
      <c r="AC810" s="9"/>
      <c r="AD810" s="167"/>
      <c r="AE810" s="232"/>
    </row>
    <row r="811" spans="2:31">
      <c r="B811" s="32" t="s">
        <v>33</v>
      </c>
      <c r="C811" s="33" t="s">
        <v>530</v>
      </c>
      <c r="D811" s="36">
        <v>17</v>
      </c>
      <c r="E811" s="154">
        <v>255.5</v>
      </c>
      <c r="F811" s="36">
        <v>3846</v>
      </c>
      <c r="G811" s="34" t="s">
        <v>291</v>
      </c>
      <c r="H811" s="40">
        <v>41852</v>
      </c>
      <c r="I811" s="35">
        <v>103197.93</v>
      </c>
      <c r="J811" s="35" t="s">
        <v>1011</v>
      </c>
      <c r="K811" s="153">
        <v>43668</v>
      </c>
      <c r="AB811" s="5"/>
      <c r="AC811" s="9"/>
      <c r="AD811" s="167"/>
      <c r="AE811" s="232"/>
    </row>
    <row r="812" spans="2:31">
      <c r="B812" s="32" t="s">
        <v>35</v>
      </c>
      <c r="C812" s="33" t="s">
        <v>517</v>
      </c>
      <c r="D812" s="36">
        <v>6</v>
      </c>
      <c r="E812" s="154">
        <v>259.51</v>
      </c>
      <c r="F812" s="36">
        <v>3869</v>
      </c>
      <c r="G812" s="34" t="s">
        <v>156</v>
      </c>
      <c r="H812" s="40">
        <v>41866</v>
      </c>
      <c r="I812" s="35">
        <v>102412.49</v>
      </c>
      <c r="J812" s="35" t="s">
        <v>1011</v>
      </c>
      <c r="K812" s="153">
        <v>43699</v>
      </c>
      <c r="AB812" s="5"/>
      <c r="AC812" s="9"/>
      <c r="AD812" s="167"/>
      <c r="AE812" s="232"/>
    </row>
    <row r="813" spans="2:31">
      <c r="B813" s="32" t="s">
        <v>35</v>
      </c>
      <c r="C813" s="33" t="s">
        <v>520</v>
      </c>
      <c r="D813" s="36">
        <v>12</v>
      </c>
      <c r="E813" s="154">
        <v>253.5</v>
      </c>
      <c r="F813" s="36">
        <v>3705</v>
      </c>
      <c r="G813" s="34" t="s">
        <v>330</v>
      </c>
      <c r="H813" s="40">
        <v>41730</v>
      </c>
      <c r="I813" s="35">
        <v>101273.7</v>
      </c>
      <c r="J813" s="35" t="s">
        <v>1011</v>
      </c>
      <c r="K813" s="153">
        <v>43678</v>
      </c>
      <c r="AB813" s="5"/>
      <c r="AC813" s="9"/>
      <c r="AD813" s="167"/>
      <c r="AE813" s="232"/>
    </row>
    <row r="814" spans="2:31">
      <c r="B814" s="32" t="s">
        <v>36</v>
      </c>
      <c r="C814" s="33" t="s">
        <v>522</v>
      </c>
      <c r="D814" s="36">
        <v>29</v>
      </c>
      <c r="E814" s="154">
        <v>299.23</v>
      </c>
      <c r="F814" s="36">
        <v>4139</v>
      </c>
      <c r="G814" s="34" t="s">
        <v>129</v>
      </c>
      <c r="H814" s="40">
        <v>41961</v>
      </c>
      <c r="I814" s="35">
        <v>105657.44</v>
      </c>
      <c r="J814" s="35" t="s">
        <v>1011</v>
      </c>
      <c r="K814" s="153">
        <v>43691</v>
      </c>
      <c r="AB814" s="5"/>
      <c r="AC814" s="9"/>
      <c r="AD814" s="167"/>
      <c r="AE814" s="232"/>
    </row>
    <row r="815" spans="2:31">
      <c r="B815" s="32" t="s">
        <v>36</v>
      </c>
      <c r="C815" s="33" t="s">
        <v>522</v>
      </c>
      <c r="D815" s="36">
        <v>3</v>
      </c>
      <c r="E815" s="154">
        <v>257.75</v>
      </c>
      <c r="F815" s="36">
        <v>6359</v>
      </c>
      <c r="G815" s="34" t="s">
        <v>626</v>
      </c>
      <c r="H815" s="40">
        <v>43234</v>
      </c>
      <c r="I815" s="35">
        <v>128235.75</v>
      </c>
      <c r="J815" s="69" t="s">
        <v>1011</v>
      </c>
      <c r="K815" s="153">
        <v>43738</v>
      </c>
      <c r="AB815" s="5"/>
      <c r="AC815" s="9"/>
      <c r="AD815" s="167"/>
      <c r="AE815" s="232"/>
    </row>
    <row r="816" spans="2:31">
      <c r="B816" s="32" t="s">
        <v>36</v>
      </c>
      <c r="C816" s="33" t="s">
        <v>521</v>
      </c>
      <c r="D816" s="36">
        <v>4</v>
      </c>
      <c r="E816" s="154">
        <v>250.75</v>
      </c>
      <c r="F816" s="36">
        <v>3648</v>
      </c>
      <c r="G816" s="34" t="s">
        <v>394</v>
      </c>
      <c r="H816" s="40">
        <v>41730</v>
      </c>
      <c r="I816" s="35">
        <v>97448.22</v>
      </c>
      <c r="J816" s="250" t="s">
        <v>1011</v>
      </c>
      <c r="K816" s="180">
        <v>43720</v>
      </c>
      <c r="AB816" s="5"/>
      <c r="AC816" s="9"/>
      <c r="AD816" s="167"/>
      <c r="AE816" s="232"/>
    </row>
    <row r="817" spans="2:31">
      <c r="B817" s="32" t="s">
        <v>35</v>
      </c>
      <c r="C817" s="33" t="s">
        <v>520</v>
      </c>
      <c r="D817" s="36">
        <v>10</v>
      </c>
      <c r="E817" s="154">
        <v>253.5</v>
      </c>
      <c r="F817" s="36">
        <v>3564</v>
      </c>
      <c r="G817" s="34" t="s">
        <v>341</v>
      </c>
      <c r="H817" s="40">
        <v>41689</v>
      </c>
      <c r="I817" s="35">
        <v>96269.36</v>
      </c>
      <c r="J817" s="250" t="s">
        <v>1011</v>
      </c>
      <c r="K817" s="180">
        <v>43726</v>
      </c>
      <c r="AB817" s="5"/>
      <c r="AC817" s="9"/>
      <c r="AD817" s="167"/>
      <c r="AE817" s="232"/>
    </row>
    <row r="818" spans="2:31">
      <c r="B818" s="32" t="s">
        <v>34</v>
      </c>
      <c r="C818" s="33" t="s">
        <v>509</v>
      </c>
      <c r="D818" s="36">
        <v>19</v>
      </c>
      <c r="E818" s="154">
        <v>260</v>
      </c>
      <c r="F818" s="36">
        <v>3578</v>
      </c>
      <c r="G818" s="34" t="s">
        <v>408</v>
      </c>
      <c r="H818" s="40">
        <v>41710</v>
      </c>
      <c r="I818" s="35">
        <v>98737.72</v>
      </c>
      <c r="J818" s="250" t="s">
        <v>1011</v>
      </c>
      <c r="K818" s="180">
        <v>43768</v>
      </c>
      <c r="AB818" s="5"/>
      <c r="AC818" s="9"/>
      <c r="AD818" s="167"/>
      <c r="AE818" s="232"/>
    </row>
    <row r="819" spans="2:31">
      <c r="B819" s="32" t="s">
        <v>35</v>
      </c>
      <c r="C819" s="33" t="s">
        <v>518</v>
      </c>
      <c r="D819" s="36">
        <v>5</v>
      </c>
      <c r="E819" s="154">
        <v>250.7</v>
      </c>
      <c r="F819" s="36">
        <v>2457</v>
      </c>
      <c r="G819" s="34" t="s">
        <v>114</v>
      </c>
      <c r="H819" s="40">
        <v>41443</v>
      </c>
      <c r="I819" s="35">
        <v>95441.49</v>
      </c>
      <c r="J819" s="250" t="s">
        <v>1011</v>
      </c>
      <c r="K819" s="180">
        <v>43768</v>
      </c>
      <c r="AB819" s="5"/>
      <c r="AC819" s="9"/>
      <c r="AD819" s="167"/>
      <c r="AE819" s="232"/>
    </row>
    <row r="820" spans="2:31">
      <c r="B820" s="32" t="s">
        <v>36</v>
      </c>
      <c r="C820" s="33" t="s">
        <v>522</v>
      </c>
      <c r="D820" s="36">
        <v>15</v>
      </c>
      <c r="E820" s="154">
        <v>257.75</v>
      </c>
      <c r="F820" s="36">
        <v>4483</v>
      </c>
      <c r="G820" s="34" t="s">
        <v>306</v>
      </c>
      <c r="H820" s="40">
        <v>42064</v>
      </c>
      <c r="I820" s="35">
        <v>105000.72</v>
      </c>
      <c r="J820" s="250" t="s">
        <v>1011</v>
      </c>
      <c r="K820" s="180">
        <v>43766</v>
      </c>
      <c r="AB820" s="5"/>
      <c r="AC820" s="9"/>
      <c r="AD820" s="167"/>
      <c r="AE820" s="232"/>
    </row>
    <row r="821" spans="2:31">
      <c r="B821" s="32" t="s">
        <v>38</v>
      </c>
      <c r="C821" s="33" t="s">
        <v>511</v>
      </c>
      <c r="D821" s="36">
        <v>17</v>
      </c>
      <c r="E821" s="154">
        <v>253</v>
      </c>
      <c r="F821" s="36">
        <v>2693</v>
      </c>
      <c r="G821" s="34" t="s">
        <v>456</v>
      </c>
      <c r="H821" s="40">
        <v>41470</v>
      </c>
      <c r="I821" s="35">
        <v>75200</v>
      </c>
      <c r="J821" s="250" t="s">
        <v>1011</v>
      </c>
      <c r="K821" s="180">
        <v>43742</v>
      </c>
      <c r="AB821" s="5"/>
      <c r="AC821" s="9"/>
      <c r="AD821" s="167"/>
      <c r="AE821" s="232"/>
    </row>
    <row r="822" spans="2:31">
      <c r="B822" s="32" t="s">
        <v>34</v>
      </c>
      <c r="C822" s="33" t="s">
        <v>505</v>
      </c>
      <c r="D822" s="36">
        <v>26</v>
      </c>
      <c r="E822" s="154">
        <v>261.70999999999998</v>
      </c>
      <c r="F822" s="36">
        <v>3512</v>
      </c>
      <c r="G822" s="34" t="s">
        <v>126</v>
      </c>
      <c r="H822" s="40">
        <v>41647</v>
      </c>
      <c r="I822" s="35">
        <v>95950.19</v>
      </c>
      <c r="J822" s="250" t="s">
        <v>1011</v>
      </c>
      <c r="K822" s="180">
        <v>43798</v>
      </c>
      <c r="AB822" s="5"/>
      <c r="AC822" s="9"/>
      <c r="AD822" s="167"/>
      <c r="AE822" s="232"/>
    </row>
    <row r="823" spans="2:31">
      <c r="B823" s="32" t="s">
        <v>34</v>
      </c>
      <c r="C823" s="33" t="s">
        <v>506</v>
      </c>
      <c r="D823" s="36">
        <v>37</v>
      </c>
      <c r="E823" s="154">
        <v>329.27</v>
      </c>
      <c r="F823" s="36">
        <v>2395</v>
      </c>
      <c r="G823" s="34" t="s">
        <v>302</v>
      </c>
      <c r="H823" s="40">
        <v>41440</v>
      </c>
      <c r="I823" s="35">
        <v>117615.24</v>
      </c>
      <c r="J823" s="250" t="s">
        <v>1011</v>
      </c>
      <c r="K823" s="180">
        <v>43798</v>
      </c>
      <c r="AB823" s="5"/>
      <c r="AC823" s="9"/>
      <c r="AD823" s="167"/>
      <c r="AE823" s="232"/>
    </row>
    <row r="824" spans="2:31">
      <c r="B824" s="32" t="s">
        <v>38</v>
      </c>
      <c r="C824" s="33" t="s">
        <v>510</v>
      </c>
      <c r="D824" s="36">
        <v>21</v>
      </c>
      <c r="E824" s="154">
        <v>252.75</v>
      </c>
      <c r="F824" s="36">
        <v>2351</v>
      </c>
      <c r="G824" s="34" t="s">
        <v>400</v>
      </c>
      <c r="H824" s="40">
        <v>41444</v>
      </c>
      <c r="I824" s="35">
        <v>83154.75</v>
      </c>
      <c r="J824" s="250" t="s">
        <v>1011</v>
      </c>
      <c r="K824" s="180">
        <v>43780</v>
      </c>
      <c r="AB824" s="5"/>
      <c r="AC824" s="9"/>
      <c r="AD824" s="167"/>
      <c r="AE824" s="232"/>
    </row>
    <row r="825" spans="2:31">
      <c r="B825" s="32" t="s">
        <v>33</v>
      </c>
      <c r="C825" s="33" t="s">
        <v>523</v>
      </c>
      <c r="D825" s="36">
        <v>6</v>
      </c>
      <c r="E825" s="154">
        <v>272.07</v>
      </c>
      <c r="F825" s="36">
        <v>5744</v>
      </c>
      <c r="G825" s="34" t="s">
        <v>422</v>
      </c>
      <c r="H825" s="40">
        <v>42814</v>
      </c>
      <c r="I825" s="35">
        <v>144755.34</v>
      </c>
      <c r="J825" s="250" t="s">
        <v>1011</v>
      </c>
      <c r="K825" s="180">
        <v>43794</v>
      </c>
      <c r="AB825" s="5"/>
      <c r="AC825" s="9"/>
      <c r="AD825" s="167"/>
      <c r="AE825" s="232"/>
    </row>
    <row r="826" spans="2:31">
      <c r="B826" s="32" t="s">
        <v>33</v>
      </c>
      <c r="C826" s="33" t="s">
        <v>527</v>
      </c>
      <c r="D826" s="36">
        <v>3</v>
      </c>
      <c r="E826" s="154">
        <v>250.5</v>
      </c>
      <c r="F826" s="36">
        <v>5802</v>
      </c>
      <c r="G826" s="34" t="s">
        <v>60</v>
      </c>
      <c r="H826" s="40">
        <v>42971</v>
      </c>
      <c r="I826" s="35">
        <v>146941.54999999999</v>
      </c>
      <c r="J826" s="250" t="s">
        <v>1011</v>
      </c>
      <c r="K826" s="180">
        <v>43774</v>
      </c>
      <c r="AB826" s="5"/>
      <c r="AC826" s="9"/>
      <c r="AD826" s="167"/>
      <c r="AE826" s="232"/>
    </row>
    <row r="827" spans="2:31">
      <c r="B827" s="32" t="s">
        <v>33</v>
      </c>
      <c r="C827" s="33" t="s">
        <v>529</v>
      </c>
      <c r="D827" s="36">
        <v>2</v>
      </c>
      <c r="E827" s="154">
        <v>257</v>
      </c>
      <c r="F827" s="36">
        <v>6162</v>
      </c>
      <c r="G827" s="34" t="s">
        <v>403</v>
      </c>
      <c r="H827" s="40">
        <v>43102</v>
      </c>
      <c r="I827" s="35">
        <v>128780</v>
      </c>
      <c r="J827" s="250" t="s">
        <v>1011</v>
      </c>
      <c r="K827" s="180">
        <v>43777</v>
      </c>
      <c r="AB827" s="5"/>
      <c r="AC827" s="9"/>
      <c r="AD827" s="167"/>
      <c r="AE827" s="232"/>
    </row>
    <row r="828" spans="2:31">
      <c r="B828" s="32" t="s">
        <v>33</v>
      </c>
      <c r="C828" s="33" t="s">
        <v>531</v>
      </c>
      <c r="D828" s="36">
        <v>11</v>
      </c>
      <c r="E828" s="154">
        <v>253.75</v>
      </c>
      <c r="F828" s="36">
        <v>4314</v>
      </c>
      <c r="G828" s="34" t="s">
        <v>325</v>
      </c>
      <c r="H828" s="40">
        <v>41989</v>
      </c>
      <c r="I828" s="35">
        <v>130363.6</v>
      </c>
      <c r="J828" s="250" t="s">
        <v>1011</v>
      </c>
      <c r="K828" s="180">
        <v>43774</v>
      </c>
      <c r="AB828" s="5"/>
      <c r="AC828" s="9"/>
      <c r="AD828" s="167"/>
      <c r="AE828" s="232"/>
    </row>
    <row r="829" spans="2:31">
      <c r="B829" s="32" t="s">
        <v>38</v>
      </c>
      <c r="C829" s="33" t="s">
        <v>510</v>
      </c>
      <c r="D829" s="36">
        <v>19</v>
      </c>
      <c r="E829" s="154">
        <v>252.75</v>
      </c>
      <c r="F829" s="36">
        <v>2757</v>
      </c>
      <c r="G829" s="34" t="s">
        <v>457</v>
      </c>
      <c r="H829" s="40">
        <v>41491</v>
      </c>
      <c r="I829" s="35">
        <v>83154.75</v>
      </c>
      <c r="J829" s="35" t="s">
        <v>1011</v>
      </c>
      <c r="K829" s="180">
        <v>43802</v>
      </c>
      <c r="AB829" s="5"/>
      <c r="AC829" s="9"/>
      <c r="AD829" s="167"/>
      <c r="AE829" s="232"/>
    </row>
    <row r="830" spans="2:31">
      <c r="B830" s="32" t="s">
        <v>35</v>
      </c>
      <c r="C830" s="33" t="s">
        <v>514</v>
      </c>
      <c r="D830" s="36">
        <v>3</v>
      </c>
      <c r="E830" s="154">
        <v>264.27</v>
      </c>
      <c r="F830" s="36">
        <v>7149</v>
      </c>
      <c r="G830" s="34" t="s">
        <v>954</v>
      </c>
      <c r="H830" s="40">
        <v>43570</v>
      </c>
      <c r="I830" s="35">
        <v>168215.37</v>
      </c>
      <c r="J830" s="35" t="s">
        <v>1011</v>
      </c>
      <c r="K830" s="180">
        <v>43808</v>
      </c>
      <c r="AB830" s="5"/>
      <c r="AC830" s="9"/>
      <c r="AD830" s="167"/>
      <c r="AE830" s="232"/>
    </row>
    <row r="831" spans="2:31">
      <c r="B831" s="32" t="s">
        <v>35</v>
      </c>
      <c r="C831" s="33" t="s">
        <v>519</v>
      </c>
      <c r="D831" s="36">
        <v>18</v>
      </c>
      <c r="E831" s="154">
        <v>251.98</v>
      </c>
      <c r="F831" s="36">
        <v>3765</v>
      </c>
      <c r="G831" s="34" t="s">
        <v>289</v>
      </c>
      <c r="H831" s="40">
        <v>41792</v>
      </c>
      <c r="I831" s="35">
        <v>100396.98</v>
      </c>
      <c r="J831" s="35" t="s">
        <v>1011</v>
      </c>
      <c r="K831" s="180">
        <v>43805</v>
      </c>
      <c r="AB831" s="5"/>
      <c r="AC831" s="9"/>
      <c r="AD831" s="167"/>
      <c r="AE831" s="232"/>
    </row>
    <row r="832" spans="2:31">
      <c r="B832" s="32" t="s">
        <v>35</v>
      </c>
      <c r="C832" s="33" t="s">
        <v>519</v>
      </c>
      <c r="D832" s="36">
        <v>8</v>
      </c>
      <c r="E832" s="154">
        <v>257.33</v>
      </c>
      <c r="F832" s="36">
        <v>2787</v>
      </c>
      <c r="G832" s="34" t="s">
        <v>284</v>
      </c>
      <c r="H832" s="40">
        <v>41495</v>
      </c>
      <c r="I832" s="35">
        <v>96514.19</v>
      </c>
      <c r="J832" s="35" t="s">
        <v>1011</v>
      </c>
      <c r="K832" s="180">
        <v>43804</v>
      </c>
      <c r="AB832" s="5"/>
      <c r="AC832" s="9"/>
      <c r="AD832" s="167"/>
      <c r="AE832" s="232"/>
    </row>
    <row r="833" spans="2:31">
      <c r="B833" s="32" t="s">
        <v>33</v>
      </c>
      <c r="C833" s="33" t="s">
        <v>530</v>
      </c>
      <c r="D833" s="36">
        <v>7</v>
      </c>
      <c r="E833" s="154">
        <v>255.5</v>
      </c>
      <c r="F833" s="36">
        <v>3680</v>
      </c>
      <c r="G833" s="34" t="s">
        <v>215</v>
      </c>
      <c r="H833" s="40">
        <v>41730</v>
      </c>
      <c r="I833" s="35">
        <v>104038.09</v>
      </c>
      <c r="J833" s="35" t="s">
        <v>1011</v>
      </c>
      <c r="K833" s="180">
        <v>43802</v>
      </c>
      <c r="AB833" s="5"/>
      <c r="AC833" s="9"/>
      <c r="AD833" s="167"/>
      <c r="AE833" s="232"/>
    </row>
    <row r="834" spans="2:31">
      <c r="B834" s="32" t="s">
        <v>35</v>
      </c>
      <c r="C834" s="33" t="s">
        <v>514</v>
      </c>
      <c r="D834" s="36">
        <v>4</v>
      </c>
      <c r="E834" s="154">
        <v>284.83999999999997</v>
      </c>
      <c r="F834" s="36">
        <v>2450</v>
      </c>
      <c r="G834" s="34" t="s">
        <v>457</v>
      </c>
      <c r="H834" s="40">
        <v>41441</v>
      </c>
      <c r="I834" s="35">
        <v>103083.6</v>
      </c>
      <c r="J834" s="35" t="s">
        <v>1011</v>
      </c>
      <c r="K834" s="180">
        <v>43802</v>
      </c>
      <c r="AB834" s="5"/>
      <c r="AC834" s="9"/>
      <c r="AD834" s="167"/>
      <c r="AE834" s="232"/>
    </row>
    <row r="835" spans="2:31">
      <c r="B835" s="71" t="s">
        <v>878</v>
      </c>
      <c r="C835" s="33" t="s">
        <v>619</v>
      </c>
      <c r="D835" s="36">
        <v>37</v>
      </c>
      <c r="E835" s="64">
        <v>254.95</v>
      </c>
      <c r="F835" s="36">
        <v>6802</v>
      </c>
      <c r="G835" s="34" t="s">
        <v>910</v>
      </c>
      <c r="H835" s="40">
        <v>43449</v>
      </c>
      <c r="I835" s="35">
        <v>131809.15</v>
      </c>
      <c r="J835" s="35" t="s">
        <v>1011</v>
      </c>
      <c r="K835" s="180">
        <v>43800</v>
      </c>
      <c r="AB835" s="5"/>
      <c r="AC835" s="9"/>
      <c r="AD835" s="167"/>
      <c r="AE835" s="232"/>
    </row>
    <row r="836" spans="2:31">
      <c r="B836" s="32" t="s">
        <v>35</v>
      </c>
      <c r="C836" s="33" t="s">
        <v>513</v>
      </c>
      <c r="D836" s="36">
        <v>23</v>
      </c>
      <c r="E836" s="154">
        <v>355.37</v>
      </c>
      <c r="F836" s="36">
        <v>2402</v>
      </c>
      <c r="G836" s="34" t="s">
        <v>209</v>
      </c>
      <c r="H836" s="40">
        <v>41440</v>
      </c>
      <c r="I836" s="35">
        <v>133619.12</v>
      </c>
      <c r="J836" s="35" t="s">
        <v>1011</v>
      </c>
      <c r="K836" s="180">
        <v>43832</v>
      </c>
      <c r="AB836" s="5"/>
      <c r="AC836" s="9"/>
      <c r="AD836" s="167"/>
      <c r="AE836" s="232"/>
    </row>
    <row r="837" spans="2:31">
      <c r="B837" s="32" t="s">
        <v>35</v>
      </c>
      <c r="C837" s="33" t="s">
        <v>518</v>
      </c>
      <c r="D837" s="36">
        <v>17</v>
      </c>
      <c r="E837" s="154">
        <v>260.95999999999998</v>
      </c>
      <c r="F837" s="36">
        <v>5122</v>
      </c>
      <c r="G837" s="34" t="s">
        <v>62</v>
      </c>
      <c r="H837" s="40">
        <v>42411</v>
      </c>
      <c r="I837" s="35">
        <v>131219.4</v>
      </c>
      <c r="J837" s="35" t="s">
        <v>1011</v>
      </c>
      <c r="K837" s="180">
        <v>43840</v>
      </c>
      <c r="AB837" s="5"/>
      <c r="AC837" s="9"/>
      <c r="AD837" s="167"/>
      <c r="AE837" s="232"/>
    </row>
    <row r="838" spans="2:31">
      <c r="B838" s="32" t="s">
        <v>33</v>
      </c>
      <c r="C838" s="288" t="s">
        <v>527</v>
      </c>
      <c r="D838" s="46">
        <v>4</v>
      </c>
      <c r="E838" s="185">
        <v>250.5</v>
      </c>
      <c r="F838" s="46">
        <v>3308</v>
      </c>
      <c r="G838" s="289" t="s">
        <v>1110</v>
      </c>
      <c r="H838" s="40">
        <v>43788</v>
      </c>
      <c r="I838" s="18">
        <v>142739</v>
      </c>
      <c r="J838" s="35" t="s">
        <v>1011</v>
      </c>
      <c r="K838" s="180">
        <v>43864</v>
      </c>
      <c r="AB838" s="5"/>
      <c r="AC838" s="9"/>
      <c r="AD838" s="167"/>
      <c r="AE838" s="232"/>
    </row>
    <row r="839" spans="2:31">
      <c r="B839" s="32" t="s">
        <v>33</v>
      </c>
      <c r="C839" s="33" t="s">
        <v>523</v>
      </c>
      <c r="D839" s="36">
        <v>8</v>
      </c>
      <c r="E839" s="154">
        <v>287.39999999999998</v>
      </c>
      <c r="F839" s="36">
        <v>5405</v>
      </c>
      <c r="G839" s="34" t="s">
        <v>55</v>
      </c>
      <c r="H839" s="40">
        <v>42740</v>
      </c>
      <c r="I839" s="35">
        <v>161748.06</v>
      </c>
      <c r="J839" s="35" t="s">
        <v>1011</v>
      </c>
      <c r="K839" s="180">
        <v>43866</v>
      </c>
      <c r="AB839" s="5"/>
      <c r="AC839" s="9"/>
      <c r="AD839" s="167"/>
      <c r="AE839" s="232"/>
    </row>
    <row r="840" spans="2:31">
      <c r="B840" s="32" t="s">
        <v>36</v>
      </c>
      <c r="C840" s="33" t="s">
        <v>522</v>
      </c>
      <c r="D840" s="36">
        <v>26</v>
      </c>
      <c r="E840" s="154">
        <v>273.33999999999997</v>
      </c>
      <c r="F840" s="36"/>
      <c r="G840" s="34" t="s">
        <v>1049</v>
      </c>
      <c r="H840" s="40">
        <v>43686</v>
      </c>
      <c r="I840" s="35">
        <v>93059.199999999997</v>
      </c>
      <c r="J840" s="35" t="s">
        <v>1011</v>
      </c>
      <c r="K840" s="180">
        <v>43867</v>
      </c>
      <c r="AB840" s="5"/>
      <c r="AC840" s="9"/>
      <c r="AD840" s="167"/>
      <c r="AE840" s="232"/>
    </row>
    <row r="841" spans="2:31">
      <c r="B841" s="32" t="s">
        <v>38</v>
      </c>
      <c r="C841" s="33" t="s">
        <v>512</v>
      </c>
      <c r="D841" s="36">
        <v>5</v>
      </c>
      <c r="E841" s="154">
        <v>265.02</v>
      </c>
      <c r="F841" s="36"/>
      <c r="G841" s="34" t="s">
        <v>867</v>
      </c>
      <c r="H841" s="40">
        <v>43409</v>
      </c>
      <c r="I841" s="35">
        <v>79900</v>
      </c>
      <c r="J841" s="35" t="s">
        <v>1011</v>
      </c>
      <c r="K841" s="180">
        <v>43915</v>
      </c>
      <c r="AB841" s="5"/>
      <c r="AC841" s="9"/>
      <c r="AD841" s="167"/>
      <c r="AE841" s="232"/>
    </row>
    <row r="842" spans="2:31">
      <c r="B842" s="32" t="s">
        <v>36</v>
      </c>
      <c r="C842" s="33" t="s">
        <v>522</v>
      </c>
      <c r="D842" s="36">
        <v>25</v>
      </c>
      <c r="E842" s="154">
        <v>273.33999999999997</v>
      </c>
      <c r="F842" s="36">
        <v>5286</v>
      </c>
      <c r="G842" s="34" t="s">
        <v>92</v>
      </c>
      <c r="H842" s="40">
        <v>42614</v>
      </c>
      <c r="I842" s="35">
        <v>123300</v>
      </c>
      <c r="J842" s="35" t="s">
        <v>1011</v>
      </c>
      <c r="K842" s="180">
        <v>43980</v>
      </c>
      <c r="AB842" s="5"/>
      <c r="AC842" s="9"/>
      <c r="AD842" s="167"/>
      <c r="AE842" s="232"/>
    </row>
    <row r="843" spans="2:31">
      <c r="B843" s="32" t="s">
        <v>37</v>
      </c>
      <c r="C843" s="33" t="s">
        <v>532</v>
      </c>
      <c r="D843" s="36">
        <v>25</v>
      </c>
      <c r="E843" s="154">
        <v>252.5</v>
      </c>
      <c r="F843" s="36">
        <v>2490</v>
      </c>
      <c r="G843" s="34" t="s">
        <v>299</v>
      </c>
      <c r="H843" s="40">
        <v>41441</v>
      </c>
      <c r="I843" s="35">
        <v>79749.600000000006</v>
      </c>
      <c r="J843" s="35" t="s">
        <v>1011</v>
      </c>
      <c r="K843" s="180">
        <v>43999</v>
      </c>
      <c r="AB843" s="5"/>
      <c r="AC843" s="9"/>
      <c r="AD843" s="167"/>
      <c r="AE843" s="232"/>
    </row>
    <row r="844" spans="2:31">
      <c r="B844" s="32" t="s">
        <v>33</v>
      </c>
      <c r="C844" s="33" t="s">
        <v>527</v>
      </c>
      <c r="D844" s="36">
        <v>12</v>
      </c>
      <c r="E844" s="154">
        <v>250.5</v>
      </c>
      <c r="F844" s="36">
        <v>5173</v>
      </c>
      <c r="G844" s="34" t="s">
        <v>484</v>
      </c>
      <c r="H844" s="40">
        <v>42450</v>
      </c>
      <c r="I844" s="35">
        <v>141100.6</v>
      </c>
      <c r="J844" s="35" t="s">
        <v>1011</v>
      </c>
      <c r="K844" s="180">
        <v>43997</v>
      </c>
      <c r="AB844" s="5"/>
      <c r="AC844" s="9"/>
      <c r="AD844" s="167"/>
      <c r="AE844" s="232"/>
    </row>
    <row r="845" spans="2:31">
      <c r="B845" s="71" t="s">
        <v>878</v>
      </c>
      <c r="C845" s="33" t="s">
        <v>618</v>
      </c>
      <c r="D845" s="36">
        <v>26</v>
      </c>
      <c r="E845" s="64">
        <v>347.79</v>
      </c>
      <c r="F845" s="36">
        <v>7080</v>
      </c>
      <c r="G845" s="34" t="s">
        <v>440</v>
      </c>
      <c r="H845" s="40">
        <v>43558</v>
      </c>
      <c r="I845" s="35">
        <v>214934</v>
      </c>
      <c r="J845" s="35" t="s">
        <v>1011</v>
      </c>
      <c r="K845" s="180">
        <v>44005</v>
      </c>
      <c r="AB845" s="5"/>
      <c r="AC845" s="9"/>
      <c r="AD845" s="167"/>
      <c r="AE845" s="232"/>
    </row>
    <row r="846" spans="2:31">
      <c r="B846" s="32" t="s">
        <v>34</v>
      </c>
      <c r="C846" s="33" t="s">
        <v>507</v>
      </c>
      <c r="D846" s="36">
        <v>20</v>
      </c>
      <c r="E846" s="154">
        <v>268.58</v>
      </c>
      <c r="F846" s="36">
        <v>6619</v>
      </c>
      <c r="G846" s="34" t="s">
        <v>807</v>
      </c>
      <c r="H846" s="40">
        <v>43348</v>
      </c>
      <c r="I846" s="35">
        <v>162897.53</v>
      </c>
      <c r="J846" s="35" t="s">
        <v>1011</v>
      </c>
      <c r="K846" s="180">
        <v>44019</v>
      </c>
      <c r="AB846" s="5"/>
      <c r="AC846" s="9"/>
      <c r="AD846" s="167"/>
      <c r="AE846" s="232"/>
    </row>
    <row r="847" spans="2:31">
      <c r="B847" s="32" t="s">
        <v>34</v>
      </c>
      <c r="C847" s="33" t="s">
        <v>508</v>
      </c>
      <c r="D847" s="36">
        <v>4</v>
      </c>
      <c r="E847" s="154">
        <v>256.14</v>
      </c>
      <c r="F847" s="36">
        <v>2448</v>
      </c>
      <c r="G847" s="34" t="s">
        <v>190</v>
      </c>
      <c r="H847" s="40">
        <v>41445</v>
      </c>
      <c r="I847" s="35">
        <v>98716.36</v>
      </c>
      <c r="J847" s="35" t="s">
        <v>1011</v>
      </c>
      <c r="K847" s="180">
        <v>44029</v>
      </c>
      <c r="AB847" s="5"/>
      <c r="AC847" s="9"/>
      <c r="AD847" s="167"/>
      <c r="AE847" s="232"/>
    </row>
    <row r="848" spans="2:31">
      <c r="B848" s="39" t="s">
        <v>33</v>
      </c>
      <c r="C848" s="33" t="s">
        <v>528</v>
      </c>
      <c r="D848" s="36">
        <v>16</v>
      </c>
      <c r="E848" s="154">
        <v>251.75</v>
      </c>
      <c r="F848" s="36">
        <v>5751</v>
      </c>
      <c r="G848" s="34" t="s">
        <v>231</v>
      </c>
      <c r="H848" s="40">
        <v>42923</v>
      </c>
      <c r="I848" s="35">
        <v>146835.51</v>
      </c>
      <c r="J848" s="35" t="s">
        <v>1011</v>
      </c>
      <c r="K848" s="180">
        <v>44027</v>
      </c>
      <c r="AB848" s="5"/>
      <c r="AC848" s="9"/>
      <c r="AD848" s="167"/>
      <c r="AE848" s="232"/>
    </row>
    <row r="849" spans="2:31">
      <c r="B849" s="32" t="s">
        <v>33</v>
      </c>
      <c r="C849" s="33" t="s">
        <v>529</v>
      </c>
      <c r="D849" s="36">
        <v>11</v>
      </c>
      <c r="E849" s="154">
        <v>257</v>
      </c>
      <c r="F849" s="36">
        <v>5748</v>
      </c>
      <c r="G849" s="34" t="s">
        <v>310</v>
      </c>
      <c r="H849" s="40">
        <v>42926</v>
      </c>
      <c r="I849" s="35">
        <v>152574.59</v>
      </c>
      <c r="J849" s="35" t="s">
        <v>1011</v>
      </c>
      <c r="K849" s="180">
        <v>44027</v>
      </c>
      <c r="AB849" s="5"/>
      <c r="AC849" s="9"/>
      <c r="AD849" s="167"/>
      <c r="AE849" s="232"/>
    </row>
    <row r="850" spans="2:31">
      <c r="B850" s="32" t="s">
        <v>33</v>
      </c>
      <c r="C850" s="33" t="s">
        <v>529</v>
      </c>
      <c r="D850" s="36">
        <v>12</v>
      </c>
      <c r="E850" s="154">
        <v>257</v>
      </c>
      <c r="F850" s="36">
        <v>5749</v>
      </c>
      <c r="G850" s="34" t="s">
        <v>317</v>
      </c>
      <c r="H850" s="40">
        <v>42923</v>
      </c>
      <c r="I850" s="35">
        <v>152574.63</v>
      </c>
      <c r="J850" s="35" t="s">
        <v>1011</v>
      </c>
      <c r="K850" s="180">
        <v>44027</v>
      </c>
      <c r="AB850" s="5"/>
      <c r="AC850" s="9"/>
      <c r="AD850" s="167"/>
      <c r="AE850" s="232"/>
    </row>
    <row r="851" spans="2:31">
      <c r="B851" s="32" t="s">
        <v>33</v>
      </c>
      <c r="C851" s="33" t="s">
        <v>531</v>
      </c>
      <c r="D851" s="36">
        <v>15</v>
      </c>
      <c r="E851" s="183">
        <v>253.75</v>
      </c>
      <c r="F851" s="36">
        <v>5750</v>
      </c>
      <c r="G851" s="34" t="s">
        <v>106</v>
      </c>
      <c r="H851" s="40">
        <v>42923</v>
      </c>
      <c r="I851" s="35">
        <v>150643.79</v>
      </c>
      <c r="J851" s="35" t="s">
        <v>1011</v>
      </c>
      <c r="K851" s="180">
        <v>44027</v>
      </c>
      <c r="AB851" s="5"/>
      <c r="AC851" s="9"/>
      <c r="AD851" s="167"/>
      <c r="AE851" s="232"/>
    </row>
    <row r="852" spans="2:31">
      <c r="B852" s="32" t="s">
        <v>33</v>
      </c>
      <c r="C852" s="33" t="s">
        <v>531</v>
      </c>
      <c r="D852" s="36">
        <v>6</v>
      </c>
      <c r="E852" s="183">
        <v>253.75</v>
      </c>
      <c r="F852" s="36">
        <v>5275</v>
      </c>
      <c r="G852" s="34" t="s">
        <v>194</v>
      </c>
      <c r="H852" s="40">
        <v>42615</v>
      </c>
      <c r="I852" s="35">
        <v>144637.29</v>
      </c>
      <c r="J852" s="35" t="s">
        <v>1011</v>
      </c>
      <c r="K852" s="180">
        <v>44019</v>
      </c>
      <c r="AB852" s="5"/>
      <c r="AC852" s="9"/>
      <c r="AD852" s="167"/>
      <c r="AE852" s="232"/>
    </row>
    <row r="853" spans="2:31">
      <c r="B853" s="32" t="s">
        <v>34</v>
      </c>
      <c r="C853" s="33" t="s">
        <v>505</v>
      </c>
      <c r="D853" s="36">
        <v>6</v>
      </c>
      <c r="E853" s="154">
        <v>256.74</v>
      </c>
      <c r="F853" s="36">
        <v>2412</v>
      </c>
      <c r="G853" s="34" t="s">
        <v>147</v>
      </c>
      <c r="H853" s="40">
        <v>41441</v>
      </c>
      <c r="I853" s="35">
        <v>98947.6</v>
      </c>
      <c r="J853" s="35" t="s">
        <v>1011</v>
      </c>
      <c r="K853" s="180">
        <v>44044</v>
      </c>
      <c r="AB853" s="5"/>
      <c r="AC853" s="9"/>
      <c r="AD853" s="167"/>
      <c r="AE853" s="232"/>
    </row>
    <row r="854" spans="2:31">
      <c r="B854" s="32" t="s">
        <v>34</v>
      </c>
      <c r="C854" s="33" t="s">
        <v>509</v>
      </c>
      <c r="D854" s="36">
        <v>10</v>
      </c>
      <c r="E854" s="154">
        <v>260</v>
      </c>
      <c r="F854" s="36">
        <v>2491</v>
      </c>
      <c r="G854" s="34" t="s">
        <v>318</v>
      </c>
      <c r="H854" s="40">
        <v>41436</v>
      </c>
      <c r="I854" s="35">
        <v>94094</v>
      </c>
      <c r="J854" s="35" t="s">
        <v>1011</v>
      </c>
      <c r="K854" s="180">
        <v>44044</v>
      </c>
      <c r="AB854" s="5"/>
      <c r="AC854" s="9"/>
      <c r="AD854" s="167"/>
      <c r="AE854" s="232"/>
    </row>
    <row r="855" spans="2:31">
      <c r="B855" s="32" t="s">
        <v>33</v>
      </c>
      <c r="C855" s="33" t="s">
        <v>531</v>
      </c>
      <c r="D855" s="36">
        <v>19</v>
      </c>
      <c r="E855" s="183">
        <v>253.75</v>
      </c>
      <c r="F855" s="36">
        <v>5129</v>
      </c>
      <c r="G855" s="34" t="s">
        <v>390</v>
      </c>
      <c r="H855" s="40">
        <v>42433</v>
      </c>
      <c r="I855" s="35">
        <v>127160.4</v>
      </c>
      <c r="J855" s="35" t="s">
        <v>1011</v>
      </c>
      <c r="K855" s="180">
        <v>44044</v>
      </c>
      <c r="AB855" s="5"/>
      <c r="AC855" s="9"/>
      <c r="AD855" s="167"/>
      <c r="AE855" s="232"/>
    </row>
    <row r="856" spans="2:31">
      <c r="B856" s="32" t="s">
        <v>33</v>
      </c>
      <c r="C856" s="33" t="s">
        <v>527</v>
      </c>
      <c r="D856" s="36">
        <v>13</v>
      </c>
      <c r="E856" s="154">
        <v>250.5</v>
      </c>
      <c r="F856" s="36">
        <v>5174</v>
      </c>
      <c r="G856" s="34" t="s">
        <v>472</v>
      </c>
      <c r="H856" s="40">
        <v>42450</v>
      </c>
      <c r="I856" s="35">
        <v>141100.6</v>
      </c>
      <c r="J856" s="35" t="s">
        <v>1011</v>
      </c>
      <c r="K856" s="180">
        <v>44044</v>
      </c>
      <c r="AB856" s="5"/>
      <c r="AC856" s="9"/>
      <c r="AD856" s="167"/>
      <c r="AE856" s="232"/>
    </row>
    <row r="857" spans="2:31">
      <c r="B857" s="32" t="s">
        <v>37</v>
      </c>
      <c r="C857" s="33" t="s">
        <v>532</v>
      </c>
      <c r="D857" s="36">
        <v>11</v>
      </c>
      <c r="E857" s="154">
        <v>252.5</v>
      </c>
      <c r="F857" s="36">
        <v>2514</v>
      </c>
      <c r="G857" s="34" t="s">
        <v>246</v>
      </c>
      <c r="H857" s="40">
        <v>41435</v>
      </c>
      <c r="I857" s="35">
        <v>79749.600000000006</v>
      </c>
      <c r="J857" s="35" t="s">
        <v>1011</v>
      </c>
      <c r="K857" s="180">
        <v>44044</v>
      </c>
      <c r="AB857" s="5"/>
      <c r="AC857" s="9"/>
      <c r="AD857" s="167"/>
      <c r="AE857" s="232"/>
    </row>
    <row r="858" spans="2:31">
      <c r="B858" s="32" t="s">
        <v>38</v>
      </c>
      <c r="C858" s="33" t="s">
        <v>510</v>
      </c>
      <c r="D858" s="36">
        <v>29</v>
      </c>
      <c r="E858" s="154">
        <v>252.75</v>
      </c>
      <c r="F858" s="36">
        <v>3060</v>
      </c>
      <c r="G858" s="34" t="s">
        <v>1058</v>
      </c>
      <c r="H858" s="40">
        <v>43717</v>
      </c>
      <c r="I858" s="35">
        <v>136299.6</v>
      </c>
      <c r="J858" s="35" t="s">
        <v>1011</v>
      </c>
      <c r="K858" s="180">
        <v>44044</v>
      </c>
      <c r="AB858" s="5"/>
      <c r="AC858" s="9"/>
      <c r="AD858" s="167"/>
      <c r="AE858" s="232"/>
    </row>
    <row r="859" spans="2:31">
      <c r="B859" s="32" t="s">
        <v>38</v>
      </c>
      <c r="C859" s="33" t="s">
        <v>511</v>
      </c>
      <c r="D859" s="36">
        <v>3</v>
      </c>
      <c r="E859" s="154">
        <v>253</v>
      </c>
      <c r="F859" s="36">
        <v>2548</v>
      </c>
      <c r="G859" s="34" t="s">
        <v>382</v>
      </c>
      <c r="H859" s="40">
        <v>41454</v>
      </c>
      <c r="I859" s="35">
        <v>73724.2</v>
      </c>
      <c r="J859" s="35" t="s">
        <v>1011</v>
      </c>
      <c r="K859" s="180">
        <v>44044</v>
      </c>
      <c r="AB859" s="5"/>
      <c r="AC859" s="9"/>
      <c r="AD859" s="167"/>
      <c r="AE859" s="232"/>
    </row>
    <row r="860" spans="2:31">
      <c r="B860" s="32" t="s">
        <v>37</v>
      </c>
      <c r="C860" s="33" t="s">
        <v>532</v>
      </c>
      <c r="D860" s="36">
        <v>14</v>
      </c>
      <c r="E860" s="154">
        <v>252.5</v>
      </c>
      <c r="F860" s="36">
        <v>2540</v>
      </c>
      <c r="G860" s="34" t="s">
        <v>191</v>
      </c>
      <c r="H860" s="40">
        <v>41447</v>
      </c>
      <c r="I860" s="35">
        <v>79749.600000000006</v>
      </c>
      <c r="J860" s="35" t="s">
        <v>1011</v>
      </c>
      <c r="K860" s="180">
        <v>44085</v>
      </c>
      <c r="AB860" s="5"/>
      <c r="AC860" s="9"/>
      <c r="AD860" s="167"/>
      <c r="AE860" s="232"/>
    </row>
    <row r="861" spans="2:31">
      <c r="B861" s="32" t="s">
        <v>37</v>
      </c>
      <c r="C861" s="33" t="s">
        <v>532</v>
      </c>
      <c r="D861" s="36">
        <v>24</v>
      </c>
      <c r="E861" s="154">
        <v>252.5</v>
      </c>
      <c r="F861" s="36">
        <v>2644</v>
      </c>
      <c r="G861" s="34" t="s">
        <v>466</v>
      </c>
      <c r="H861" s="40">
        <v>41441</v>
      </c>
      <c r="I861" s="35">
        <v>79749.600000000006</v>
      </c>
      <c r="J861" s="35" t="s">
        <v>1011</v>
      </c>
      <c r="K861" s="180">
        <v>44104</v>
      </c>
      <c r="AB861" s="5"/>
      <c r="AC861" s="9"/>
      <c r="AD861" s="167"/>
      <c r="AE861" s="232"/>
    </row>
    <row r="862" spans="2:31">
      <c r="B862" s="32" t="s">
        <v>34</v>
      </c>
      <c r="C862" s="33" t="s">
        <v>1076</v>
      </c>
      <c r="D862" s="36">
        <v>26</v>
      </c>
      <c r="E862" s="154">
        <v>257.62</v>
      </c>
      <c r="F862" s="36">
        <v>3726</v>
      </c>
      <c r="G862" s="34" t="s">
        <v>178</v>
      </c>
      <c r="H862" s="40">
        <v>41764</v>
      </c>
      <c r="I862" s="35">
        <v>102919.94</v>
      </c>
      <c r="J862" s="35" t="s">
        <v>1011</v>
      </c>
      <c r="K862" s="180">
        <v>44104</v>
      </c>
      <c r="AB862" s="5"/>
      <c r="AC862" s="9"/>
      <c r="AD862" s="167"/>
      <c r="AE862" s="232"/>
    </row>
    <row r="863" spans="2:31">
      <c r="B863" s="32" t="s">
        <v>33</v>
      </c>
      <c r="C863" s="33" t="s">
        <v>523</v>
      </c>
      <c r="D863" s="36">
        <v>22</v>
      </c>
      <c r="E863" s="154">
        <v>256.19</v>
      </c>
      <c r="F863" s="36">
        <v>5761</v>
      </c>
      <c r="G863" s="34" t="s">
        <v>431</v>
      </c>
      <c r="H863" s="40">
        <v>42952</v>
      </c>
      <c r="I863" s="35">
        <v>117500</v>
      </c>
      <c r="J863" s="35" t="s">
        <v>1011</v>
      </c>
      <c r="K863" s="180">
        <v>44084</v>
      </c>
      <c r="AB863" s="5"/>
      <c r="AC863" s="9"/>
      <c r="AD863" s="167"/>
      <c r="AE863" s="232"/>
    </row>
    <row r="864" spans="2:31">
      <c r="B864" s="32" t="s">
        <v>33</v>
      </c>
      <c r="C864" s="33" t="s">
        <v>531</v>
      </c>
      <c r="D864" s="36">
        <v>41</v>
      </c>
      <c r="E864" s="183">
        <v>255.25</v>
      </c>
      <c r="F864" s="36">
        <v>4996</v>
      </c>
      <c r="G864" s="34" t="s">
        <v>174</v>
      </c>
      <c r="H864" s="40">
        <v>42291</v>
      </c>
      <c r="I864" s="35">
        <v>149800.44</v>
      </c>
      <c r="J864" s="35" t="s">
        <v>1011</v>
      </c>
      <c r="K864" s="180">
        <v>44099</v>
      </c>
      <c r="AB864" s="5"/>
      <c r="AC864" s="9"/>
      <c r="AD864" s="167"/>
      <c r="AE864" s="232"/>
    </row>
    <row r="865" spans="2:31">
      <c r="B865" s="32" t="s">
        <v>33</v>
      </c>
      <c r="C865" s="33" t="s">
        <v>527</v>
      </c>
      <c r="D865" s="36">
        <v>38</v>
      </c>
      <c r="E865" s="154">
        <v>256.75</v>
      </c>
      <c r="F865" s="36">
        <v>5807</v>
      </c>
      <c r="G865" s="34" t="s">
        <v>89</v>
      </c>
      <c r="H865" s="40">
        <v>42978</v>
      </c>
      <c r="I865" s="35">
        <v>124080</v>
      </c>
      <c r="J865" s="35" t="s">
        <v>1011</v>
      </c>
      <c r="K865" s="180">
        <v>44123</v>
      </c>
      <c r="AB865" s="5"/>
      <c r="AC865" s="9"/>
      <c r="AD865" s="167"/>
      <c r="AE865" s="232"/>
    </row>
    <row r="866" spans="2:31">
      <c r="B866" s="32" t="s">
        <v>35</v>
      </c>
      <c r="C866" s="33" t="s">
        <v>516</v>
      </c>
      <c r="D866" s="36">
        <v>12</v>
      </c>
      <c r="E866" s="154">
        <v>267.94</v>
      </c>
      <c r="F866" s="36">
        <v>2552</v>
      </c>
      <c r="G866" s="34" t="s">
        <v>402</v>
      </c>
      <c r="H866" s="40">
        <v>41442</v>
      </c>
      <c r="I866" s="35">
        <v>100745.44</v>
      </c>
      <c r="J866" s="35" t="s">
        <v>1011</v>
      </c>
      <c r="K866" s="180">
        <v>44165</v>
      </c>
      <c r="AB866" s="5"/>
      <c r="AC866" s="9"/>
      <c r="AD866" s="167"/>
      <c r="AE866" s="232"/>
    </row>
    <row r="867" spans="2:31">
      <c r="B867" s="32" t="s">
        <v>33</v>
      </c>
      <c r="C867" s="33" t="s">
        <v>527</v>
      </c>
      <c r="D867" s="36">
        <v>39</v>
      </c>
      <c r="E867" s="183">
        <v>256.75</v>
      </c>
      <c r="F867" s="36">
        <v>5240</v>
      </c>
      <c r="G867" s="34" t="s">
        <v>474</v>
      </c>
      <c r="H867" s="40">
        <v>42552</v>
      </c>
      <c r="I867" s="35">
        <v>146346.9</v>
      </c>
      <c r="J867" s="35" t="s">
        <v>1011</v>
      </c>
      <c r="K867" s="180">
        <v>44152</v>
      </c>
      <c r="AB867" s="5"/>
      <c r="AC867" s="9"/>
      <c r="AD867" s="167"/>
      <c r="AE867" s="232"/>
    </row>
    <row r="868" spans="2:31">
      <c r="B868" s="263" t="s">
        <v>34</v>
      </c>
      <c r="C868" s="440" t="s">
        <v>506</v>
      </c>
      <c r="D868" s="441">
        <v>33</v>
      </c>
      <c r="E868" s="64">
        <v>266.81</v>
      </c>
      <c r="F868" s="441">
        <v>2390</v>
      </c>
      <c r="G868" s="442" t="s">
        <v>348</v>
      </c>
      <c r="H868" s="40">
        <v>41440</v>
      </c>
      <c r="I868" s="35">
        <v>97812.6</v>
      </c>
      <c r="J868" s="35" t="s">
        <v>1011</v>
      </c>
      <c r="K868" s="180">
        <v>44224</v>
      </c>
      <c r="AB868" s="5"/>
      <c r="AC868" s="9"/>
      <c r="AD868" s="167"/>
      <c r="AE868" s="232"/>
    </row>
    <row r="869" spans="2:31">
      <c r="B869" s="263" t="s">
        <v>34</v>
      </c>
      <c r="C869" s="72" t="s">
        <v>509</v>
      </c>
      <c r="D869" s="73">
        <v>4</v>
      </c>
      <c r="E869" s="315">
        <v>254.32</v>
      </c>
      <c r="F869" s="166">
        <v>2573</v>
      </c>
      <c r="G869" s="74" t="s">
        <v>210</v>
      </c>
      <c r="H869" s="40">
        <v>41441</v>
      </c>
      <c r="I869" s="35">
        <v>92038.41</v>
      </c>
      <c r="J869" s="35" t="s">
        <v>1011</v>
      </c>
      <c r="K869" s="180">
        <v>44236</v>
      </c>
      <c r="AB869" s="5"/>
      <c r="AC869" s="9"/>
      <c r="AD869" s="167"/>
      <c r="AE869" s="232"/>
    </row>
    <row r="870" spans="2:31">
      <c r="B870" s="263" t="s">
        <v>34</v>
      </c>
      <c r="C870" s="337" t="s">
        <v>1076</v>
      </c>
      <c r="D870" s="166">
        <v>27</v>
      </c>
      <c r="E870" s="197">
        <v>257.62</v>
      </c>
      <c r="F870" s="166">
        <v>3699</v>
      </c>
      <c r="G870" s="338" t="s">
        <v>266</v>
      </c>
      <c r="H870" s="40">
        <v>41754</v>
      </c>
      <c r="I870" s="35">
        <v>102918.74</v>
      </c>
      <c r="J870" s="35" t="s">
        <v>1011</v>
      </c>
      <c r="K870" s="180">
        <v>44273</v>
      </c>
      <c r="AB870" s="5"/>
      <c r="AC870" s="9"/>
      <c r="AD870" s="167"/>
      <c r="AE870" s="232"/>
    </row>
    <row r="871" spans="2:31">
      <c r="B871" s="263" t="s">
        <v>34</v>
      </c>
      <c r="C871" s="337" t="s">
        <v>1076</v>
      </c>
      <c r="D871" s="73">
        <v>28</v>
      </c>
      <c r="E871" s="315">
        <v>285.25</v>
      </c>
      <c r="F871" s="166">
        <v>3700</v>
      </c>
      <c r="G871" s="74" t="s">
        <v>266</v>
      </c>
      <c r="H871" s="40">
        <v>41754</v>
      </c>
      <c r="I871" s="35">
        <v>115298.5</v>
      </c>
      <c r="J871" s="35" t="s">
        <v>1011</v>
      </c>
      <c r="K871" s="153">
        <v>44273</v>
      </c>
      <c r="AB871" s="5"/>
      <c r="AC871" s="9"/>
      <c r="AD871" s="167"/>
      <c r="AE871" s="232"/>
    </row>
    <row r="872" spans="2:31">
      <c r="B872" s="263" t="s">
        <v>34</v>
      </c>
      <c r="C872" s="337" t="s">
        <v>1076</v>
      </c>
      <c r="D872" s="73">
        <v>15</v>
      </c>
      <c r="E872" s="315">
        <v>257.62</v>
      </c>
      <c r="F872" s="166">
        <v>2790</v>
      </c>
      <c r="G872" s="74" t="s">
        <v>71</v>
      </c>
      <c r="H872" s="40">
        <v>41501</v>
      </c>
      <c r="I872" s="35">
        <v>95877.1</v>
      </c>
      <c r="J872" s="35" t="s">
        <v>1011</v>
      </c>
      <c r="K872" s="153">
        <v>44281</v>
      </c>
      <c r="AB872" s="5"/>
      <c r="AC872" s="9"/>
      <c r="AD872" s="167"/>
      <c r="AE872" s="232"/>
    </row>
    <row r="873" spans="2:31">
      <c r="B873" s="263" t="s">
        <v>35</v>
      </c>
      <c r="C873" s="337" t="s">
        <v>517</v>
      </c>
      <c r="D873" s="166">
        <v>28</v>
      </c>
      <c r="E873" s="197">
        <v>263.51</v>
      </c>
      <c r="F873" s="166">
        <v>3701</v>
      </c>
      <c r="G873" s="338" t="s">
        <v>266</v>
      </c>
      <c r="H873" s="40">
        <v>41744</v>
      </c>
      <c r="I873" s="35">
        <v>106510.01</v>
      </c>
      <c r="J873" s="35" t="s">
        <v>1011</v>
      </c>
      <c r="K873" s="180">
        <v>44273</v>
      </c>
      <c r="AB873" s="5"/>
      <c r="AC873" s="9"/>
      <c r="AD873" s="167"/>
      <c r="AE873" s="232"/>
    </row>
    <row r="874" spans="2:31">
      <c r="B874" s="263" t="s">
        <v>35</v>
      </c>
      <c r="C874" s="337" t="s">
        <v>517</v>
      </c>
      <c r="D874" s="166">
        <v>43</v>
      </c>
      <c r="E874" s="197">
        <v>250.97</v>
      </c>
      <c r="F874" s="166">
        <v>2473</v>
      </c>
      <c r="G874" s="338" t="s">
        <v>196</v>
      </c>
      <c r="H874" s="40">
        <v>41441</v>
      </c>
      <c r="I874" s="35">
        <v>96723.839999999997</v>
      </c>
      <c r="J874" s="35" t="s">
        <v>1011</v>
      </c>
      <c r="K874" s="180">
        <v>44280</v>
      </c>
      <c r="AB874" s="5"/>
      <c r="AC874" s="9"/>
      <c r="AD874" s="167"/>
      <c r="AE874" s="232"/>
    </row>
    <row r="875" spans="2:31">
      <c r="B875" s="263" t="s">
        <v>35</v>
      </c>
      <c r="C875" s="337" t="s">
        <v>520</v>
      </c>
      <c r="D875" s="166">
        <v>1</v>
      </c>
      <c r="E875" s="197">
        <v>273.17</v>
      </c>
      <c r="F875" s="166">
        <v>2295</v>
      </c>
      <c r="G875" s="338" t="s">
        <v>311</v>
      </c>
      <c r="H875" s="40">
        <v>41439</v>
      </c>
      <c r="I875" s="35">
        <v>96292.43</v>
      </c>
      <c r="J875" s="35" t="s">
        <v>1011</v>
      </c>
      <c r="K875" s="180">
        <v>44270</v>
      </c>
    </row>
    <row r="876" spans="2:31">
      <c r="B876" s="263" t="s">
        <v>33</v>
      </c>
      <c r="C876" s="337" t="s">
        <v>529</v>
      </c>
      <c r="D876" s="166">
        <v>13</v>
      </c>
      <c r="E876" s="197">
        <v>257</v>
      </c>
      <c r="F876" s="166">
        <v>6029</v>
      </c>
      <c r="G876" s="338" t="s">
        <v>378</v>
      </c>
      <c r="H876" s="40">
        <v>43074</v>
      </c>
      <c r="I876" s="35">
        <v>126900.6</v>
      </c>
      <c r="J876" s="35" t="s">
        <v>1011</v>
      </c>
      <c r="K876" s="180">
        <v>44286</v>
      </c>
    </row>
    <row r="877" spans="2:31">
      <c r="B877" s="263" t="s">
        <v>33</v>
      </c>
      <c r="C877" s="337" t="s">
        <v>530</v>
      </c>
      <c r="D877" s="166">
        <v>33</v>
      </c>
      <c r="E877" s="197">
        <v>254.5</v>
      </c>
      <c r="F877" s="166">
        <v>6805</v>
      </c>
      <c r="G877" s="338" t="s">
        <v>913</v>
      </c>
      <c r="H877" s="40">
        <v>43449</v>
      </c>
      <c r="I877" s="35">
        <v>155100</v>
      </c>
      <c r="J877" s="35" t="s">
        <v>1011</v>
      </c>
      <c r="K877" s="180">
        <v>44280</v>
      </c>
    </row>
    <row r="878" spans="2:31">
      <c r="B878" s="263" t="s">
        <v>33</v>
      </c>
      <c r="C878" s="337" t="s">
        <v>527</v>
      </c>
      <c r="D878" s="73">
        <v>21</v>
      </c>
      <c r="E878" s="315">
        <v>250.5</v>
      </c>
      <c r="F878" s="166">
        <v>5330</v>
      </c>
      <c r="G878" s="74" t="s">
        <v>143</v>
      </c>
      <c r="H878" s="40">
        <v>42689</v>
      </c>
      <c r="I878" s="35">
        <v>141082.26</v>
      </c>
      <c r="J878" s="35" t="s">
        <v>1011</v>
      </c>
      <c r="K878" s="180">
        <v>44260</v>
      </c>
    </row>
    <row r="879" spans="2:31">
      <c r="B879" s="263" t="s">
        <v>878</v>
      </c>
      <c r="C879" s="337" t="s">
        <v>621</v>
      </c>
      <c r="D879" s="73">
        <v>16</v>
      </c>
      <c r="E879" s="315">
        <v>361.11</v>
      </c>
      <c r="F879" s="166">
        <v>4979</v>
      </c>
      <c r="G879" s="74" t="s">
        <v>1412</v>
      </c>
      <c r="H879" s="40">
        <v>44215</v>
      </c>
      <c r="I879" s="35">
        <v>175109.63</v>
      </c>
      <c r="J879" s="35" t="s">
        <v>1011</v>
      </c>
      <c r="K879" s="180">
        <v>44266</v>
      </c>
    </row>
  </sheetData>
  <autoFilter ref="B4:L520" xr:uid="{D32907AF-ADD5-46FE-AF2D-A18A66ECA6CA}"/>
  <sortState xmlns:xlrd2="http://schemas.microsoft.com/office/spreadsheetml/2017/richdata2" ref="B5:L520">
    <sortCondition ref="B5:B520"/>
    <sortCondition ref="C5:C520"/>
    <sortCondition ref="D5:D520"/>
  </sortState>
  <mergeCells count="6">
    <mergeCell ref="N43:Q43"/>
    <mergeCell ref="B2:L2"/>
    <mergeCell ref="N4:P4"/>
    <mergeCell ref="N40:Q40"/>
    <mergeCell ref="N41:Q41"/>
    <mergeCell ref="N42:Q42"/>
  </mergeCells>
  <conditionalFormatting sqref="L5:L520">
    <cfRule type="cellIs" dxfId="3" priority="13" operator="greaterThan">
      <formula>1</formula>
    </cfRule>
  </conditionalFormatting>
  <conditionalFormatting sqref="L522:L523">
    <cfRule type="cellIs" dxfId="2" priority="3" operator="greaterThan">
      <formula>1</formula>
    </cfRule>
  </conditionalFormatting>
  <pageMargins left="0.511811024" right="0.511811024" top="0.78740157499999996" bottom="0.78740157499999996" header="0.31496062000000002" footer="0.31496062000000002"/>
  <pageSetup paperSize="9" scale="1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2">
    <pageSetUpPr fitToPage="1"/>
  </sheetPr>
  <dimension ref="A1:AD128"/>
  <sheetViews>
    <sheetView showGridLines="0" topLeftCell="W25" zoomScale="85" zoomScaleNormal="85" workbookViewId="0">
      <selection activeCell="V43" sqref="V43:AA46"/>
    </sheetView>
  </sheetViews>
  <sheetFormatPr defaultRowHeight="15"/>
  <cols>
    <col min="1" max="1" width="13" style="5" customWidth="1"/>
    <col min="2" max="2" width="50.7109375" style="5" customWidth="1"/>
    <col min="3" max="3" width="12.42578125" style="6" customWidth="1"/>
    <col min="4" max="4" width="7.7109375" style="5" customWidth="1"/>
    <col min="5" max="5" width="37.85546875" style="350" customWidth="1"/>
    <col min="6" max="6" width="17.85546875" style="171" customWidth="1"/>
    <col min="7" max="7" width="9.85546875" style="47" customWidth="1"/>
    <col min="8" max="8" width="10.140625" style="421" customWidth="1"/>
    <col min="9" max="9" width="17" style="396" customWidth="1"/>
    <col min="10" max="10" width="17.7109375" style="396" customWidth="1"/>
    <col min="11" max="11" width="20.42578125" style="6" customWidth="1"/>
    <col min="12" max="12" width="43.42578125" style="6" bestFit="1" customWidth="1"/>
    <col min="13" max="13" width="15" style="175" customWidth="1"/>
    <col min="14" max="14" width="68.140625" style="5" customWidth="1"/>
    <col min="15" max="15" width="20.140625" style="5" customWidth="1"/>
    <col min="16" max="16" width="23.42578125" style="5" bestFit="1" customWidth="1"/>
    <col min="17" max="17" width="32" style="5" bestFit="1" customWidth="1"/>
    <col min="18" max="18" width="17.42578125" style="5" customWidth="1"/>
    <col min="19" max="19" width="3" style="5" customWidth="1"/>
    <col min="20" max="20" width="6.28515625" style="5" customWidth="1"/>
    <col min="21" max="21" width="23.42578125" style="5" bestFit="1" customWidth="1"/>
    <col min="22" max="22" width="16.28515625" style="5" customWidth="1"/>
    <col min="23" max="23" width="18.5703125" style="5" customWidth="1"/>
    <col min="24" max="24" width="16.7109375" style="5" customWidth="1"/>
    <col min="25" max="25" width="15.85546875" style="5" customWidth="1"/>
    <col min="26" max="26" width="17.140625" style="5" customWidth="1"/>
    <col min="27" max="27" width="21.42578125" style="5" customWidth="1"/>
    <col min="28" max="28" width="15.42578125" style="5" bestFit="1" customWidth="1"/>
    <col min="29" max="29" width="14.42578125" style="5" customWidth="1"/>
    <col min="30" max="30" width="18.42578125" style="5" customWidth="1"/>
    <col min="31" max="16384" width="9.140625" style="5"/>
  </cols>
  <sheetData>
    <row r="1" spans="1:30">
      <c r="A1" s="5">
        <v>1</v>
      </c>
      <c r="E1" s="349"/>
      <c r="H1" s="6"/>
      <c r="I1" s="5"/>
      <c r="J1" s="5"/>
    </row>
    <row r="2" spans="1:30">
      <c r="B2" s="543" t="s">
        <v>16</v>
      </c>
      <c r="C2" s="543"/>
      <c r="D2" s="543"/>
      <c r="E2" s="543"/>
      <c r="F2" s="543"/>
      <c r="G2" s="544"/>
      <c r="H2" s="271"/>
      <c r="I2" s="5"/>
      <c r="J2" s="5"/>
    </row>
    <row r="3" spans="1:30">
      <c r="C3" s="6" t="s">
        <v>0</v>
      </c>
      <c r="H3" s="6"/>
      <c r="I3" s="5"/>
      <c r="J3" s="5"/>
    </row>
    <row r="4" spans="1:30">
      <c r="H4" s="6"/>
      <c r="I4" s="5"/>
      <c r="J4" s="5"/>
      <c r="P4" s="9"/>
      <c r="W4" s="49">
        <f>SUM(V9:W9)</f>
        <v>2100668.33</v>
      </c>
      <c r="Y4" s="49">
        <f>SUM(X9:Y9)</f>
        <v>3729568.84</v>
      </c>
      <c r="AA4" s="49">
        <f>SUM(Z9:AA9)</f>
        <v>6159354.290000001</v>
      </c>
      <c r="AC4" s="49">
        <f>SUM(AB9:AC9)</f>
        <v>342122.41</v>
      </c>
      <c r="AD4" s="300">
        <f>SUM(V4:AC4)</f>
        <v>12331713.870000001</v>
      </c>
    </row>
    <row r="5" spans="1:30" ht="60">
      <c r="B5" s="1" t="s">
        <v>3</v>
      </c>
      <c r="C5" s="2" t="s">
        <v>22</v>
      </c>
      <c r="D5" s="2" t="s">
        <v>23</v>
      </c>
      <c r="E5" s="172" t="s">
        <v>6</v>
      </c>
      <c r="F5" s="172" t="s">
        <v>7</v>
      </c>
      <c r="G5" s="48" t="s">
        <v>28</v>
      </c>
      <c r="H5" s="352" t="s">
        <v>31</v>
      </c>
      <c r="I5" s="435" t="s">
        <v>29</v>
      </c>
      <c r="J5" s="353" t="s">
        <v>8</v>
      </c>
      <c r="K5" s="4" t="s">
        <v>30</v>
      </c>
      <c r="L5" s="4"/>
      <c r="N5" s="3" t="s">
        <v>31</v>
      </c>
      <c r="O5" s="3" t="s">
        <v>917</v>
      </c>
      <c r="P5" s="3" t="s">
        <v>540</v>
      </c>
      <c r="Q5" s="3" t="s">
        <v>549</v>
      </c>
      <c r="R5" s="3" t="s">
        <v>541</v>
      </c>
      <c r="U5" s="3" t="s">
        <v>31</v>
      </c>
      <c r="V5" s="3" t="s">
        <v>890</v>
      </c>
      <c r="W5" s="3" t="s">
        <v>891</v>
      </c>
      <c r="X5" s="3" t="s">
        <v>892</v>
      </c>
      <c r="Y5" s="3" t="s">
        <v>893</v>
      </c>
      <c r="Z5" s="3" t="s">
        <v>894</v>
      </c>
      <c r="AA5" s="3" t="s">
        <v>895</v>
      </c>
      <c r="AB5" s="3" t="s">
        <v>896</v>
      </c>
      <c r="AC5" s="3" t="s">
        <v>897</v>
      </c>
      <c r="AD5" s="3" t="s">
        <v>916</v>
      </c>
    </row>
    <row r="6" spans="1:30" s="292" customFormat="1" ht="15" customHeight="1">
      <c r="A6" s="326" t="str">
        <f>CONCATENATE(B6,C6,D6)</f>
        <v>LONDRINA [ETAPA 02 - AREAS EXTERNAS G2 - G6]XVIII - A1</v>
      </c>
      <c r="B6" s="467" t="s">
        <v>38</v>
      </c>
      <c r="C6" s="377" t="s">
        <v>1077</v>
      </c>
      <c r="D6" s="468">
        <v>1</v>
      </c>
      <c r="E6" s="74" t="s">
        <v>375</v>
      </c>
      <c r="F6" s="74" t="str">
        <f t="shared" ref="F6:F11" si="0">IF(H6="iv","INADIMPLENTE","ATRASO")</f>
        <v>INADIMPLENTE</v>
      </c>
      <c r="G6" s="512">
        <v>76</v>
      </c>
      <c r="H6" s="513" t="s">
        <v>765</v>
      </c>
      <c r="I6" s="188">
        <v>160873.79999999999</v>
      </c>
      <c r="J6" s="469">
        <f>IFERROR(VLOOKUP(CONCATENATE($B6,$C6,$D6,),Recebíveis!$A$5:$L$527,11,0),"Não bate")</f>
        <v>263032.44</v>
      </c>
      <c r="K6" s="226">
        <f t="shared" ref="K6" si="1">I6/J6</f>
        <v>0.6116120125715292</v>
      </c>
      <c r="L6" s="226" t="s">
        <v>1359</v>
      </c>
      <c r="M6" s="326" t="str">
        <f>CONCATENATE(B6,H6)</f>
        <v>LONDRINA [ETAPA 02 - AREAS EXTERNAS G2 - G6]IV</v>
      </c>
      <c r="N6" s="293" t="s">
        <v>753</v>
      </c>
      <c r="O6" s="294">
        <f>COUNTIF($H$6:H137,"I")</f>
        <v>33</v>
      </c>
      <c r="P6" s="222">
        <f>SUMIF($H$6:$H$137,"i",$I$6:$I$137)</f>
        <v>233228.62</v>
      </c>
      <c r="Q6" s="222">
        <f>SUMIF($H$6:$H$137,"i",$J$6:$J$137)</f>
        <v>3650503.82</v>
      </c>
      <c r="R6" s="233">
        <f>P6/Q6</f>
        <v>6.3889433212536678E-2</v>
      </c>
      <c r="U6" s="293" t="s">
        <v>753</v>
      </c>
      <c r="V6" s="222">
        <f>SUMIF($M$6:$M$137,"LONDRINA [ETAPA 01 - CONDOMINIO ARAÇARI]I",$J$6:J137)</f>
        <v>304234.03000000003</v>
      </c>
      <c r="W6" s="222">
        <f>SUMIF($M$6:$M$137,"LONDRINA [ETAPA 01 - AREAS EXTERNAS G1 - G5]I",$J$6:$J$137)</f>
        <v>0</v>
      </c>
      <c r="X6" s="222">
        <f>SUMIF($M$6:$M$137,"LONDRINA [ETAPA 02 - CONDOMINIO TANGARA]I",$J$6:$J$137)</f>
        <v>317249.66000000003</v>
      </c>
      <c r="Y6" s="222">
        <f>SUMIF($M$6:$M$137,"LONDRINA [ETAPA 02 - AREAS EXTERNAS G2 - G6]I",$J$6:$J$137)</f>
        <v>91208.900000000009</v>
      </c>
      <c r="Z6" s="222">
        <f>SUMIF($M$6:$M$137,"LONDRINA [ETAPA 03 - CONDOMINIO ARANGUA]I",$J$6:$J$137)</f>
        <v>1441269.5</v>
      </c>
      <c r="AA6" s="222">
        <f>SUMIF($M$6:$M$137,"LONDRINA [ETAPA 03 - AREAS EXTERNAS G3 - G7]I",$J$6:$J$137)</f>
        <v>120441.29000000001</v>
      </c>
      <c r="AB6" s="222">
        <f>SUMIF($M$6:$M$137,"LONDRINA [ETAPA 04 - CONDOMINIO ARAGUARI]I",$J$6:$J$137)</f>
        <v>548186.4</v>
      </c>
      <c r="AC6" s="222">
        <f>SUMIF($M$6:$M$137,"LONDRINA [ETAPA 04 - AREAS EXTERNAS G4 - G8]I",$J$6:$J$137)</f>
        <v>827914.04</v>
      </c>
      <c r="AD6" s="300">
        <f>SUM(V6:AC6)</f>
        <v>3650503.82</v>
      </c>
    </row>
    <row r="7" spans="1:30" s="292" customFormat="1" ht="15" customHeight="1">
      <c r="A7" s="326" t="str">
        <f t="shared" ref="A7:A11" si="2">CONCATENATE(B7,C7,D7)</f>
        <v>LONDRINA [ETAPA 02 - CONDOMINIO TANGARA]XXXII23</v>
      </c>
      <c r="B7" s="467" t="s">
        <v>35</v>
      </c>
      <c r="C7" s="377" t="s">
        <v>518</v>
      </c>
      <c r="D7" s="468">
        <v>23</v>
      </c>
      <c r="E7" s="74" t="s">
        <v>158</v>
      </c>
      <c r="F7" s="74" t="str">
        <f t="shared" si="0"/>
        <v>INADIMPLENTE</v>
      </c>
      <c r="G7" s="512">
        <v>71</v>
      </c>
      <c r="H7" s="513" t="s">
        <v>765</v>
      </c>
      <c r="I7" s="69">
        <v>215105.23</v>
      </c>
      <c r="J7" s="469">
        <f>IFERROR(VLOOKUP(CONCATENATE($B7,$C7,$D7,),Recebíveis!$A$5:$L$527,11,0),"Não bate")</f>
        <v>355704.67</v>
      </c>
      <c r="K7" s="226">
        <f t="shared" ref="K7:K11" si="3">I7/J7</f>
        <v>0.60472984512685768</v>
      </c>
      <c r="L7" s="226" t="s">
        <v>1040</v>
      </c>
      <c r="M7" s="326" t="str">
        <f t="shared" ref="M7:M11" si="4">CONCATENATE(B7,H7)</f>
        <v>LONDRINA [ETAPA 02 - CONDOMINIO TANGARA]IV</v>
      </c>
      <c r="N7" s="293" t="s">
        <v>754</v>
      </c>
      <c r="O7" s="294">
        <f>COUNTIF($H$6:$H$137,"II")</f>
        <v>6</v>
      </c>
      <c r="P7" s="222">
        <f>SUMIF($H$6:$H$137,"ii",$I$6:$I$137)</f>
        <v>21553.370000000003</v>
      </c>
      <c r="Q7" s="222">
        <f>SUMIF($H$6:$H$137,"ii",$J$6:$J$137)</f>
        <v>811538.58000000007</v>
      </c>
      <c r="R7" s="233">
        <f>P7/Q7</f>
        <v>2.655865109949548E-2</v>
      </c>
      <c r="U7" s="293" t="s">
        <v>754</v>
      </c>
      <c r="V7" s="222">
        <f>SUMIF($M$6:$M$138,"LONDRINA [ETAPA 01 - CONDOMINIO ARAÇARI]II",$J$6:J138)</f>
        <v>0</v>
      </c>
      <c r="W7" s="222">
        <f>SUMIF($M$6:$M$137,"LONDRINA [ETAPA 01 - AREAS EXTERNAS G1 - G5]II",$J$6:$J$137)</f>
        <v>86975.69</v>
      </c>
      <c r="X7" s="222">
        <f>SUMIF($M$6:$M$137,"LONDRINA [ETAPA 02 - CONDOMINIO TANGARA]II",$J$6:$J$137)</f>
        <v>0</v>
      </c>
      <c r="Y7" s="222">
        <f>SUMIF($M$6:$M$137,"LONDRINA [ETAPA 02 - AREAS EXTERNAS G2 - G6]II",$J$6:$J$137)</f>
        <v>0</v>
      </c>
      <c r="Z7" s="222">
        <f>SUMIF($M$6:$M$137,"LONDRINA [ETAPA 03 - CONDOMINIO ARANGUA]II",$J$6:$J$137)</f>
        <v>446422.79000000004</v>
      </c>
      <c r="AA7" s="222">
        <f>SUMIF($M$6:$M$137,"LONDRINA [ETAPA 03 - AREAS EXTERNAS G3 - G7]II",$J$6:$J$137)</f>
        <v>84545.3</v>
      </c>
      <c r="AB7" s="222">
        <f>SUMIF($M$6:$M$137,"LONDRINA [ETAPA 04 - CONDOMINIO ARAGUARI]II",$J$6:$J$137)</f>
        <v>193594.80000000002</v>
      </c>
      <c r="AC7" s="222">
        <f>SUMIF($M$6:$M$137,"LONDRINA [ETAPA 04 - AREAS EXTERNAS G4 - G8]II",$J$6:$J$137)</f>
        <v>0</v>
      </c>
      <c r="AD7" s="300">
        <f>SUM(V7:AC7)</f>
        <v>811538.58000000007</v>
      </c>
    </row>
    <row r="8" spans="1:30" s="292" customFormat="1" ht="15" customHeight="1">
      <c r="A8" s="326" t="str">
        <f t="shared" si="2"/>
        <v>LONDRINA [ETAPA 02 - AREAS EXTERNAS G2 - G6]XII14</v>
      </c>
      <c r="B8" s="467" t="s">
        <v>38</v>
      </c>
      <c r="C8" s="377" t="s">
        <v>510</v>
      </c>
      <c r="D8" s="468">
        <v>14</v>
      </c>
      <c r="E8" s="74" t="s">
        <v>75</v>
      </c>
      <c r="F8" s="74" t="str">
        <f t="shared" si="0"/>
        <v>INADIMPLENTE</v>
      </c>
      <c r="G8" s="512">
        <v>69</v>
      </c>
      <c r="H8" s="513" t="s">
        <v>765</v>
      </c>
      <c r="I8" s="69">
        <v>127985.44</v>
      </c>
      <c r="J8" s="469">
        <f>IFERROR(VLOOKUP(CONCATENATE($B8,$C8,$D8,),Recebíveis!$A$5:$L$527,11,0),"Não bate")</f>
        <v>209140.76</v>
      </c>
      <c r="K8" s="226">
        <f t="shared" si="3"/>
        <v>0.6119583767411001</v>
      </c>
      <c r="L8" s="226" t="s">
        <v>835</v>
      </c>
      <c r="M8" s="326" t="str">
        <f t="shared" si="4"/>
        <v>LONDRINA [ETAPA 02 - AREAS EXTERNAS G2 - G6]IV</v>
      </c>
      <c r="N8" s="293" t="s">
        <v>755</v>
      </c>
      <c r="O8" s="294">
        <f>COUNTIF($H$6:$H$137,"III")</f>
        <v>5</v>
      </c>
      <c r="P8" s="222">
        <f>SUMIF($H$6:$H$137,"iii",$I$6:$I$137)</f>
        <v>51661.960000000006</v>
      </c>
      <c r="Q8" s="222">
        <f>SUMIF($H$6:$H$137,"iii",$J$6:$J$137)</f>
        <v>432329.17999999993</v>
      </c>
      <c r="R8" s="233">
        <f>P8/Q8</f>
        <v>0.11949681490386564</v>
      </c>
      <c r="U8" s="293" t="s">
        <v>755</v>
      </c>
      <c r="V8" s="222">
        <f>SUMIF($M$6:$M$139,"LONDRINA [ETAPA 01 - CONDOMINIO ARAÇARI]III",$J$6:J139)</f>
        <v>0</v>
      </c>
      <c r="W8" s="222">
        <f>SUMIF($M$6:$M$137,"LONDRINA [ETAPA 01 - AREAS EXTERNAS G1 - G5]III",$J$6:$J$137)</f>
        <v>0</v>
      </c>
      <c r="X8" s="222">
        <f>SUMIF($M$6:$M$137,"LONDRINA [ETAPA 02 - CONDOMINIO TANGARA]III",$J$6:$J$137)</f>
        <v>0</v>
      </c>
      <c r="Y8" s="222">
        <f>SUMIF($M$6:$M$137,"LONDRINA [ETAPA 02 - AREAS EXTERNAS G2 - G6]III",$J$6:$J$137)</f>
        <v>142966.18</v>
      </c>
      <c r="Z8" s="222">
        <f>SUMIF($M$6:$M$137,"LONDRINA [ETAPA 03 - CONDOMINIO ARANGUA]III",$J$6:$J$137)</f>
        <v>289363</v>
      </c>
      <c r="AA8" s="222">
        <f>SUMIF($M$6:$M$137,"LONDRINA [ETAPA 03 - AREAS EXTERNAS G3 - G7]III",$J$6:$J$137)</f>
        <v>0</v>
      </c>
      <c r="AB8" s="222">
        <f>SUMIF($M$6:$M$137,"LONDRINA [ETAPA 04 - CONDOMINIO ARAGUARI]III",$J$6:$J$137)</f>
        <v>0</v>
      </c>
      <c r="AC8" s="222">
        <f>SUMIF($M$6:$M$137,"LONDRINA [ETAPA 04 - AREAS EXTERNAS G4 - G8]III",$J$6:$J$137)</f>
        <v>0</v>
      </c>
      <c r="AD8" s="300">
        <f>SUM(V8:AC8)</f>
        <v>432329.18</v>
      </c>
    </row>
    <row r="9" spans="1:30" s="292" customFormat="1" ht="15" customHeight="1">
      <c r="A9" s="326" t="str">
        <f t="shared" si="2"/>
        <v>LONDRINA [ETAPA 02 - AREAS EXTERNAS G2 - G6]XVIII23</v>
      </c>
      <c r="B9" s="467" t="s">
        <v>38</v>
      </c>
      <c r="C9" s="377" t="s">
        <v>512</v>
      </c>
      <c r="D9" s="468">
        <v>23</v>
      </c>
      <c r="E9" s="74" t="s">
        <v>335</v>
      </c>
      <c r="F9" s="74" t="str">
        <f t="shared" si="0"/>
        <v>INADIMPLENTE</v>
      </c>
      <c r="G9" s="512">
        <v>69</v>
      </c>
      <c r="H9" s="513" t="s">
        <v>765</v>
      </c>
      <c r="I9" s="69">
        <v>131241.71</v>
      </c>
      <c r="J9" s="469">
        <f>IFERROR(VLOOKUP(CONCATENATE($B9,$C9,$D9,),Recebíveis!$A$5:$L$527,11,0),"Não bate")</f>
        <v>237755.56</v>
      </c>
      <c r="K9" s="226">
        <f t="shared" si="3"/>
        <v>0.55200269554158898</v>
      </c>
      <c r="L9" s="226" t="s">
        <v>1159</v>
      </c>
      <c r="M9" s="326" t="str">
        <f t="shared" si="4"/>
        <v>LONDRINA [ETAPA 02 - AREAS EXTERNAS G2 - G6]IV</v>
      </c>
      <c r="N9" s="295" t="s">
        <v>756</v>
      </c>
      <c r="O9" s="296">
        <f>COUNTIF($H$6:$H$137,"IV")</f>
        <v>78</v>
      </c>
      <c r="P9" s="222">
        <f>SUMIF($H$6:$H$137,"iv",$I$6:$I$137)</f>
        <v>4674981.47</v>
      </c>
      <c r="Q9" s="222">
        <f>SUMIF($H$6:$H$137,"iv",$J$6:$J$137)</f>
        <v>12331713.869999999</v>
      </c>
      <c r="R9" s="297">
        <f>P9/Q9</f>
        <v>0.37910233072898891</v>
      </c>
      <c r="S9" s="298"/>
      <c r="U9" s="295" t="s">
        <v>756</v>
      </c>
      <c r="V9" s="222">
        <f>SUMIF($M$6:$M$140,"LONDRINA [ETAPA 01 - CONDOMINIO ARAÇARI]IV",$J$6:J140)</f>
        <v>1862147.87</v>
      </c>
      <c r="W9" s="222">
        <f>SUMIF($M$6:$M$137,"LONDRINA [ETAPA 01 - AREAS EXTERNAS G1 - G5]IV",$J$6:$J$137)</f>
        <v>238520.46</v>
      </c>
      <c r="X9" s="222">
        <f>SUMIF($M$6:$M$137,"LONDRINA [ETAPA 02 - CONDOMINIO TANGARA]IV",$J$6:$J$137)</f>
        <v>1657796.3</v>
      </c>
      <c r="Y9" s="222">
        <f>SUMIF($M$6:$M$137,"LONDRINA [ETAPA 02 - AREAS EXTERNAS G2 - G6]IV",$J$6:$J$137)</f>
        <v>2071772.5399999996</v>
      </c>
      <c r="Z9" s="222">
        <f>SUMIF($M$6:$M$137,"LONDRINA [ETAPA 03 - CONDOMINIO ARANGUA]IV",$J$6:$J$137)</f>
        <v>4491658.4300000006</v>
      </c>
      <c r="AA9" s="222">
        <f>SUMIF($M$6:$M$137,"LONDRINA [ETAPA 03 - AREAS EXTERNAS G3 - G7]IV",$J$6:$J$137)</f>
        <v>1667695.8600000003</v>
      </c>
      <c r="AB9" s="222">
        <f>SUMIF($M$6:$M$137,"LONDRINA [ETAPA 04 - CONDOMINIO ARAGUARI]IV",$J$6:$J$137)</f>
        <v>238848.55</v>
      </c>
      <c r="AC9" s="222">
        <f>SUMIF($M$6:$M$137,"LONDRINA [ETAPA 04 - AREAS EXTERNAS G4 - G8]IV",$J$6:$J$137)</f>
        <v>103273.86</v>
      </c>
      <c r="AD9" s="300">
        <f>SUM(V9:AC9)</f>
        <v>12331713.870000001</v>
      </c>
    </row>
    <row r="10" spans="1:30" s="292" customFormat="1" ht="15" customHeight="1">
      <c r="A10" s="326" t="str">
        <f t="shared" si="2"/>
        <v>LONDRINA [ETAPA 02 - AREAS EXTERNAS G2 - G6]VIII19</v>
      </c>
      <c r="B10" s="467" t="s">
        <v>38</v>
      </c>
      <c r="C10" s="377" t="s">
        <v>533</v>
      </c>
      <c r="D10" s="468">
        <v>19</v>
      </c>
      <c r="E10" s="74" t="s">
        <v>94</v>
      </c>
      <c r="F10" s="74" t="str">
        <f t="shared" si="0"/>
        <v>INADIMPLENTE</v>
      </c>
      <c r="G10" s="512">
        <v>61</v>
      </c>
      <c r="H10" s="513" t="s">
        <v>765</v>
      </c>
      <c r="I10" s="69">
        <v>195355.97</v>
      </c>
      <c r="J10" s="469">
        <f>IFERROR(VLOOKUP(CONCATENATE($B10,$C10,$D10,),Recebíveis!$A$5:$L$527,11,0),"Não bate")</f>
        <v>195355.97</v>
      </c>
      <c r="K10" s="226">
        <f t="shared" si="3"/>
        <v>1</v>
      </c>
      <c r="L10" s="226" t="s">
        <v>1007</v>
      </c>
      <c r="M10" s="326" t="str">
        <f t="shared" si="4"/>
        <v>LONDRINA [ETAPA 02 - AREAS EXTERNAS G2 - G6]IV</v>
      </c>
      <c r="N10" s="313"/>
      <c r="O10" s="317"/>
      <c r="P10" s="318">
        <f>P9/P16</f>
        <v>8.3164213002889495E-2</v>
      </c>
      <c r="Q10" s="279"/>
      <c r="R10" s="319"/>
      <c r="U10" s="302">
        <f>SUM(V10:AC10)</f>
        <v>17226085.449999999</v>
      </c>
      <c r="V10" s="302">
        <f>SUM(V6:V9)</f>
        <v>2166381.9000000004</v>
      </c>
      <c r="W10" s="302">
        <f t="shared" ref="W10:AC10" si="5">SUM(W6:W9)</f>
        <v>325496.15000000002</v>
      </c>
      <c r="X10" s="302">
        <f>SUM(X6:X9)</f>
        <v>1975045.96</v>
      </c>
      <c r="Y10" s="302">
        <f t="shared" si="5"/>
        <v>2305947.6199999996</v>
      </c>
      <c r="Z10" s="302">
        <f t="shared" si="5"/>
        <v>6668713.7200000007</v>
      </c>
      <c r="AA10" s="302">
        <f t="shared" si="5"/>
        <v>1872682.4500000004</v>
      </c>
      <c r="AB10" s="302">
        <f t="shared" si="5"/>
        <v>980629.75</v>
      </c>
      <c r="AC10" s="302">
        <f t="shared" si="5"/>
        <v>931187.9</v>
      </c>
      <c r="AD10" s="300">
        <f>SUM(V10:AC10)</f>
        <v>17226085.449999999</v>
      </c>
    </row>
    <row r="11" spans="1:30" s="292" customFormat="1" ht="15" customHeight="1">
      <c r="A11" s="326" t="str">
        <f t="shared" si="2"/>
        <v>LONDRINA [ETAPA 02 - CONDOMINIO TANGARA]XXXII4</v>
      </c>
      <c r="B11" s="467" t="s">
        <v>35</v>
      </c>
      <c r="C11" s="377" t="s">
        <v>518</v>
      </c>
      <c r="D11" s="468">
        <v>4</v>
      </c>
      <c r="E11" s="74" t="s">
        <v>349</v>
      </c>
      <c r="F11" s="74" t="str">
        <f t="shared" si="0"/>
        <v>INADIMPLENTE</v>
      </c>
      <c r="G11" s="512">
        <v>64</v>
      </c>
      <c r="H11" s="513" t="s">
        <v>765</v>
      </c>
      <c r="I11" s="69">
        <v>146322.70000000001</v>
      </c>
      <c r="J11" s="469">
        <f>IFERROR(VLOOKUP(CONCATENATE($B11,$C11,$D11,),Recebíveis!$A$5:$L$527,11,0),"Não bate")</f>
        <v>245576.03</v>
      </c>
      <c r="K11" s="226">
        <f t="shared" si="3"/>
        <v>0.59583461789817194</v>
      </c>
      <c r="L11" s="226" t="s">
        <v>1007</v>
      </c>
      <c r="M11" s="326" t="str">
        <f t="shared" si="4"/>
        <v>LONDRINA [ETAPA 02 - CONDOMINIO TANGARA]IV</v>
      </c>
      <c r="U11" s="300">
        <f>P14-U10</f>
        <v>0</v>
      </c>
    </row>
    <row r="12" spans="1:30" s="292" customFormat="1" ht="15" customHeight="1">
      <c r="A12" s="326" t="str">
        <f t="shared" ref="A12:A37" si="6">CONCATENATE(B12,C12,D12)</f>
        <v>LONDRINA [ETAPA 01 - CONDOMINIO ARAÇARI]XXI30</v>
      </c>
      <c r="B12" s="467" t="s">
        <v>34</v>
      </c>
      <c r="C12" s="377" t="s">
        <v>505</v>
      </c>
      <c r="D12" s="468">
        <v>30</v>
      </c>
      <c r="E12" s="74" t="s">
        <v>82</v>
      </c>
      <c r="F12" s="74" t="str">
        <f t="shared" ref="F12:F59" si="7">IF(H12="iv","INADIMPLENTE","ATRASO")</f>
        <v>INADIMPLENTE</v>
      </c>
      <c r="G12" s="512">
        <v>61</v>
      </c>
      <c r="H12" s="513" t="s">
        <v>765</v>
      </c>
      <c r="I12" s="521">
        <v>125121.55</v>
      </c>
      <c r="J12" s="469">
        <f>IFERROR(VLOOKUP(CONCATENATE($B12,$C12,$D12,),Recebíveis!$A$5:$L$527,11,0),"Não bate")</f>
        <v>222434.02000000002</v>
      </c>
      <c r="K12" s="226">
        <f t="shared" ref="K12:K37" si="8">I12/J12</f>
        <v>0.56251085153251279</v>
      </c>
      <c r="L12" s="226" t="s">
        <v>835</v>
      </c>
      <c r="M12" s="326" t="str">
        <f t="shared" ref="M12:M37" si="9">CONCATENATE(B12,H12)</f>
        <v>LONDRINA [ETAPA 01 - CONDOMINIO ARAÇARI]IV</v>
      </c>
      <c r="N12" s="307" t="s">
        <v>543</v>
      </c>
      <c r="O12" s="308"/>
      <c r="P12" s="299">
        <f>COUNT(G6:G137)</f>
        <v>122</v>
      </c>
      <c r="S12" s="300"/>
      <c r="T12" s="300"/>
      <c r="U12" s="292" t="s">
        <v>987</v>
      </c>
      <c r="V12" s="301">
        <f>SUMIF($M$6:$M$137,"LONDRINA [ETAPA 01 - CONDOMINIO ARAÇARI]IV",$I$6:$I$137)</f>
        <v>718286.3</v>
      </c>
      <c r="W12" s="301">
        <f>SUMIF($M$6:$M$137,"LONDRINA [ETAPA 01 - AREAS EXTERNAS G1 - G5]IV",$I$6:$I$137)</f>
        <v>77207.88</v>
      </c>
      <c r="X12" s="301">
        <f>SUMIF($M$6:$M$137,"LONDRINA [ETAPA 02 - CONDOMINIO TANGARA]IV",$I$6:$I$137)</f>
        <v>751666.41000000015</v>
      </c>
      <c r="Y12" s="301">
        <f>SUMIF($M$6:$M$137,"LONDRINA [ETAPA 02 - AREAS EXTERNAS G2 - G6]IV",$I$6:$I$137)</f>
        <v>885737.21999999986</v>
      </c>
      <c r="Z12" s="301">
        <f>SUMIF($M$6:$M$137,"LONDRINA [ETAPA 03 - CONDOMINIO ARANGUA]IV",$I$6:$I$137)</f>
        <v>1560504.9900000002</v>
      </c>
      <c r="AA12" s="301">
        <f>SUMIF($M$6:$M$137,"LONDRINA [ETAPA 03 - AREAS EXTERNAS G3 - G7]IV",$I$6:$I$137)</f>
        <v>668608.49</v>
      </c>
      <c r="AB12" s="301">
        <f>SUMIF($M$6:$M$137,"LONDRINA [ETAPA 04 - CONDOMINIO ARAGUARI]IV",$I$6:$I$137)</f>
        <v>10072.74</v>
      </c>
      <c r="AC12" s="301">
        <f>SUMIF($M$6:$M$137,"LONDRINA [ETAPA 04 - AREAS EXTERNAS G4 - G8]IV",$I$6:$I$137)</f>
        <v>2897.44</v>
      </c>
      <c r="AD12" s="300">
        <f>SUM(V12:AC12)</f>
        <v>4674981.4700000007</v>
      </c>
    </row>
    <row r="13" spans="1:30" s="292" customFormat="1" ht="15" customHeight="1">
      <c r="A13" s="326" t="str">
        <f t="shared" si="6"/>
        <v>LONDRINA [ETAPA 02 - CONDOMINIO TANGARA]XXXIII25</v>
      </c>
      <c r="B13" s="467" t="s">
        <v>35</v>
      </c>
      <c r="C13" s="377" t="s">
        <v>519</v>
      </c>
      <c r="D13" s="468">
        <v>25</v>
      </c>
      <c r="E13" s="74" t="s">
        <v>260</v>
      </c>
      <c r="F13" s="74" t="str">
        <f t="shared" si="7"/>
        <v>INADIMPLENTE</v>
      </c>
      <c r="G13" s="512">
        <v>61</v>
      </c>
      <c r="H13" s="513" t="s">
        <v>765</v>
      </c>
      <c r="I13" s="69">
        <v>136450.26</v>
      </c>
      <c r="J13" s="469">
        <f>IFERROR(VLOOKUP(CONCATENATE($B13,$C13,$D13,),Recebíveis!$A$5:$L$527,11,0),"Não bate")</f>
        <v>264515.41000000003</v>
      </c>
      <c r="K13" s="226">
        <f t="shared" si="8"/>
        <v>0.51584994613357305</v>
      </c>
      <c r="L13" s="226" t="s">
        <v>1007</v>
      </c>
      <c r="M13" s="326" t="str">
        <f t="shared" si="9"/>
        <v>LONDRINA [ETAPA 02 - CONDOMINIO TANGARA]IV</v>
      </c>
      <c r="N13" s="307" t="s">
        <v>548</v>
      </c>
      <c r="O13" s="308"/>
      <c r="P13" s="302">
        <f>SUM(I6:I137)</f>
        <v>4981425.4200000018</v>
      </c>
      <c r="S13" s="300"/>
      <c r="T13" s="300"/>
      <c r="U13" s="292" t="s">
        <v>986</v>
      </c>
      <c r="V13" s="303">
        <f>V12/Recebíveis!$S22</f>
        <v>0.1065251248458827</v>
      </c>
      <c r="W13" s="303">
        <f>W12/Recebíveis!$S23</f>
        <v>3.5376743290614812E-2</v>
      </c>
      <c r="X13" s="303">
        <f>X12/Recebíveis!$S24</f>
        <v>0.1353079661423999</v>
      </c>
      <c r="Y13" s="303">
        <f>Y12/Recebíveis!$S25</f>
        <v>0.16742934076483454</v>
      </c>
      <c r="Z13" s="303">
        <f>Z12/Recebíveis!$S26</f>
        <v>9.1419333836339781E-2</v>
      </c>
      <c r="AA13" s="303">
        <f>AA12/Recebíveis!$S27</f>
        <v>0.14385354607483652</v>
      </c>
      <c r="AB13" s="303">
        <f>AB12/Recebíveis!$S28</f>
        <v>9.3688762807348706E-4</v>
      </c>
      <c r="AC13" s="303">
        <f>AC12/Recebíveis!$S29</f>
        <v>7.2905847016773502E-4</v>
      </c>
      <c r="AD13" s="310">
        <f>AD12/Recebíveis!S30</f>
        <v>8.3164213002889495E-2</v>
      </c>
    </row>
    <row r="14" spans="1:30" s="292" customFormat="1" ht="15" customHeight="1">
      <c r="A14" s="326" t="str">
        <f t="shared" si="6"/>
        <v>LONDRINA [ETAPA 03 - CONDOMINIO ARANGUA]XXXIX31</v>
      </c>
      <c r="B14" s="467" t="s">
        <v>33</v>
      </c>
      <c r="C14" s="377" t="s">
        <v>527</v>
      </c>
      <c r="D14" s="468">
        <v>31</v>
      </c>
      <c r="E14" s="74" t="s">
        <v>277</v>
      </c>
      <c r="F14" s="74" t="str">
        <f t="shared" si="7"/>
        <v>INADIMPLENTE</v>
      </c>
      <c r="G14" s="512">
        <v>55</v>
      </c>
      <c r="H14" s="513" t="s">
        <v>765</v>
      </c>
      <c r="I14" s="69">
        <v>222793.49</v>
      </c>
      <c r="J14" s="469">
        <f>IFERROR(VLOOKUP(CONCATENATE($B14,$C14,$D14,),Recebíveis!$A$5:$L$527,11,0),"Não bate")</f>
        <v>237795.29</v>
      </c>
      <c r="K14" s="226">
        <f t="shared" si="8"/>
        <v>0.93691296408772429</v>
      </c>
      <c r="L14" s="226" t="s">
        <v>1008</v>
      </c>
      <c r="M14" s="326" t="str">
        <f t="shared" si="9"/>
        <v>LONDRINA [ETAPA 03 - CONDOMINIO ARANGUA]IV</v>
      </c>
      <c r="N14" s="307" t="s">
        <v>546</v>
      </c>
      <c r="O14" s="308"/>
      <c r="P14" s="302">
        <f>SUM(J6:J137)</f>
        <v>17226085.449999992</v>
      </c>
      <c r="U14" s="311"/>
    </row>
    <row r="15" spans="1:30" s="292" customFormat="1" ht="15" customHeight="1">
      <c r="A15" s="326" t="str">
        <f t="shared" si="6"/>
        <v>LONDRINA [ETAPA 03 - CONDOMINIO ARANGUA]XL9</v>
      </c>
      <c r="B15" s="467" t="s">
        <v>33</v>
      </c>
      <c r="C15" s="377" t="s">
        <v>523</v>
      </c>
      <c r="D15" s="468">
        <v>9</v>
      </c>
      <c r="E15" s="74" t="s">
        <v>70</v>
      </c>
      <c r="F15" s="74" t="str">
        <f t="shared" si="7"/>
        <v>INADIMPLENTE</v>
      </c>
      <c r="G15" s="512">
        <v>54</v>
      </c>
      <c r="H15" s="513" t="s">
        <v>765</v>
      </c>
      <c r="I15" s="69">
        <v>148419.82999999999</v>
      </c>
      <c r="J15" s="469">
        <f>IFERROR(VLOOKUP(CONCATENATE($B15,$C15,$D15,),Recebíveis!$A$5:$L$527,11,0),"Não bate")</f>
        <v>284248.13</v>
      </c>
      <c r="K15" s="226">
        <f t="shared" si="8"/>
        <v>0.52214883524475597</v>
      </c>
      <c r="L15" s="226" t="s">
        <v>835</v>
      </c>
      <c r="M15" s="326" t="str">
        <f t="shared" si="9"/>
        <v>LONDRINA [ETAPA 03 - CONDOMINIO ARANGUA]IV</v>
      </c>
      <c r="U15" s="292" t="s">
        <v>1009</v>
      </c>
      <c r="V15" s="301">
        <f>SUMIF($B$6:$B$137,"LONDRINA [ETAPA 01 - CONDOMINIO ARAÇARI]",$I$6:$I$137)-V12</f>
        <v>7653.0500000000466</v>
      </c>
      <c r="W15" s="301">
        <f>SUMIF($B$6:$B$137,"LONDRINA [ETAPA 01 - AREAS EXTERNAS G1 - G5]",$I$6:$I$137)-W12</f>
        <v>3017.8600000000006</v>
      </c>
      <c r="X15" s="301">
        <f>SUMIF($B$6:$B$137,"LONDRINA [ETAPA 02 - CONDOMINIO TANGARA]",$I$6:$I$137)-X12</f>
        <v>6426.8299999999581</v>
      </c>
      <c r="Y15" s="301">
        <f>SUMIF($B$6:$B$137,"LONDRINA [ETAPA 02 - AREAS EXTERNAS G2 - G6]",$I$6:$I$137)-Y12</f>
        <v>10994.839999999967</v>
      </c>
      <c r="Z15" s="301">
        <f>SUMIF($B$6:$B$137,"LONDRINA [ETAPA 03 - CONDOMINIO ARANGUA]",$I$6:$I$137)-Z12</f>
        <v>89604.120000000345</v>
      </c>
      <c r="AA15" s="301">
        <f>SUMIF($B$6:$B$137,"LONDRINA [ETAPA 03 - AREAS EXTERNAS G3 - G7]",$I$6:$I$137)-AA12</f>
        <v>5052.2199999999721</v>
      </c>
      <c r="AB15" s="301">
        <f>SUMIF($B$6:$B$137,"LONDRINA [ETAPA 04 - CONDOMINIO ARAGUARI]",$I$6:$I$137)-AB12</f>
        <v>168894.85</v>
      </c>
      <c r="AC15" s="301">
        <f>SUMIF($B$6:$B$137,"LONDRINA [ETAPA 04 - AREAS EXTERNAS G4 - G8]",$I$6:$I$137)-AC12</f>
        <v>14800.180000000002</v>
      </c>
      <c r="AD15" s="300">
        <f>SUM(V15:AC15)</f>
        <v>306443.9500000003</v>
      </c>
    </row>
    <row r="16" spans="1:30" s="292" customFormat="1" ht="15" customHeight="1">
      <c r="A16" s="326" t="str">
        <f t="shared" si="6"/>
        <v>LONDRINA [ETAPA 03 - CONDOMINIO ARANGUA]XL10</v>
      </c>
      <c r="B16" s="467" t="s">
        <v>33</v>
      </c>
      <c r="C16" s="377" t="s">
        <v>523</v>
      </c>
      <c r="D16" s="468">
        <v>10</v>
      </c>
      <c r="E16" s="74" t="s">
        <v>70</v>
      </c>
      <c r="F16" s="74" t="str">
        <f t="shared" si="7"/>
        <v>INADIMPLENTE</v>
      </c>
      <c r="G16" s="512">
        <v>54</v>
      </c>
      <c r="H16" s="513" t="s">
        <v>765</v>
      </c>
      <c r="I16" s="69">
        <v>147717.94</v>
      </c>
      <c r="J16" s="469">
        <f>IFERROR(VLOOKUP(CONCATENATE($B16,$C16,$D16,),Recebíveis!$A$5:$L$527,11,0),"Não bate")</f>
        <v>282202.22000000003</v>
      </c>
      <c r="K16" s="226">
        <f t="shared" si="8"/>
        <v>0.52344712242164493</v>
      </c>
      <c r="L16" s="226" t="s">
        <v>835</v>
      </c>
      <c r="M16" s="326" t="str">
        <f t="shared" si="9"/>
        <v>LONDRINA [ETAPA 03 - CONDOMINIO ARANGUA]IV</v>
      </c>
      <c r="N16" s="307" t="s">
        <v>547</v>
      </c>
      <c r="O16" s="308"/>
      <c r="P16" s="302">
        <f>SUM(Recebíveis!K5:K527)</f>
        <v>56213860.519999996</v>
      </c>
      <c r="S16" s="300"/>
      <c r="U16" s="292" t="s">
        <v>1010</v>
      </c>
      <c r="V16" s="304">
        <f>V15/Recebíveis!$S22</f>
        <v>1.1349821188317076E-3</v>
      </c>
      <c r="W16" s="304">
        <f>W15/Recebíveis!$S23</f>
        <v>1.3827870744153943E-3</v>
      </c>
      <c r="X16" s="304">
        <f>X15/Recebíveis!$S24</f>
        <v>1.1568979064036588E-3</v>
      </c>
      <c r="Y16" s="304">
        <f>Y15/Recebíveis!$S25</f>
        <v>2.078335166963886E-3</v>
      </c>
      <c r="Z16" s="304">
        <f>Z15/Recebíveis!$S26</f>
        <v>5.2492936657584678E-3</v>
      </c>
      <c r="AA16" s="304">
        <f>AA15/Recebíveis!$S27</f>
        <v>1.0870034907127886E-3</v>
      </c>
      <c r="AB16" s="304">
        <f>AB15/Recebíveis!$S28</f>
        <v>1.5709280236591773E-2</v>
      </c>
      <c r="AC16" s="304">
        <f>AC15/Recebíveis!$S29</f>
        <v>3.7240448772043978E-3</v>
      </c>
    </row>
    <row r="17" spans="1:30" s="292" customFormat="1" ht="15" customHeight="1">
      <c r="A17" s="326" t="str">
        <f t="shared" si="6"/>
        <v>LONDRINA [ETAPA 03 - CONDOMINIO ARANGUA]XL11</v>
      </c>
      <c r="B17" s="467" t="s">
        <v>33</v>
      </c>
      <c r="C17" s="377" t="s">
        <v>523</v>
      </c>
      <c r="D17" s="468">
        <v>11</v>
      </c>
      <c r="E17" s="74" t="s">
        <v>70</v>
      </c>
      <c r="F17" s="74" t="str">
        <f t="shared" si="7"/>
        <v>INADIMPLENTE</v>
      </c>
      <c r="G17" s="512">
        <v>54</v>
      </c>
      <c r="H17" s="513" t="s">
        <v>765</v>
      </c>
      <c r="I17" s="521">
        <v>148419.63</v>
      </c>
      <c r="J17" s="469">
        <f>IFERROR(VLOOKUP(CONCATENATE($B17,$C17,$D17,),Recebíveis!$A$5:$L$527,11,0),"Não bate")</f>
        <v>284247.93</v>
      </c>
      <c r="K17" s="226">
        <f t="shared" si="8"/>
        <v>0.52214849902337024</v>
      </c>
      <c r="L17" s="226" t="s">
        <v>835</v>
      </c>
      <c r="M17" s="326" t="str">
        <f t="shared" si="9"/>
        <v>LONDRINA [ETAPA 03 - CONDOMINIO ARANGUA]IV</v>
      </c>
      <c r="V17" s="305"/>
      <c r="W17" s="306"/>
      <c r="X17" s="306"/>
      <c r="Y17" s="306"/>
      <c r="Z17" s="306"/>
      <c r="AA17" s="306"/>
      <c r="AB17" s="306"/>
      <c r="AC17" s="306"/>
    </row>
    <row r="18" spans="1:30" s="292" customFormat="1" ht="15" customHeight="1">
      <c r="A18" s="326" t="str">
        <f t="shared" si="6"/>
        <v>LONDRINA [ETAPA 03 - CONDOMINIO ARANGUA]XXXV2</v>
      </c>
      <c r="B18" s="467" t="s">
        <v>33</v>
      </c>
      <c r="C18" s="377" t="s">
        <v>528</v>
      </c>
      <c r="D18" s="468">
        <v>2</v>
      </c>
      <c r="E18" s="74" t="s">
        <v>439</v>
      </c>
      <c r="F18" s="74" t="str">
        <f t="shared" si="7"/>
        <v>INADIMPLENTE</v>
      </c>
      <c r="G18" s="512">
        <v>55</v>
      </c>
      <c r="H18" s="513" t="s">
        <v>765</v>
      </c>
      <c r="I18" s="69">
        <v>129813.81</v>
      </c>
      <c r="J18" s="469">
        <f>IFERROR(VLOOKUP(CONCATENATE($B18,$C18,$D18,),Recebíveis!$A$5:$L$527,11,0),"Não bate")</f>
        <v>257243.48</v>
      </c>
      <c r="K18" s="226">
        <f t="shared" si="8"/>
        <v>0.50463401443643974</v>
      </c>
      <c r="L18" s="226" t="s">
        <v>1161</v>
      </c>
      <c r="M18" s="326" t="str">
        <f t="shared" si="9"/>
        <v>LONDRINA [ETAPA 03 - CONDOMINIO ARANGUA]IV</v>
      </c>
      <c r="N18" s="307" t="s">
        <v>544</v>
      </c>
      <c r="O18" s="308"/>
      <c r="P18" s="309">
        <f>P13/P14</f>
        <v>0.28917918899560574</v>
      </c>
      <c r="U18" s="292" t="s">
        <v>1132</v>
      </c>
      <c r="V18" s="310">
        <f>SUM(V12,V15)/Recebíveis!$S22</f>
        <v>0.10766010696471441</v>
      </c>
      <c r="W18" s="310">
        <f>SUM(W12,W15)/Recebíveis!$S23</f>
        <v>3.6759530365030206E-2</v>
      </c>
      <c r="X18" s="310">
        <f>SUM(X12,X15)/Recebíveis!$S24</f>
        <v>0.13646486404880356</v>
      </c>
      <c r="Y18" s="310">
        <f>SUM(Y12,Y15)/Recebíveis!$S25</f>
        <v>0.16950767593179844</v>
      </c>
      <c r="Z18" s="310">
        <f>SUM(Z12,Z15)/Recebíveis!$S26</f>
        <v>9.6668627502098259E-2</v>
      </c>
      <c r="AA18" s="310">
        <f>SUM(AA12,AA15)/Recebíveis!$S27</f>
        <v>0.1449405495655493</v>
      </c>
      <c r="AB18" s="310">
        <f>SUM(AB12,AB15)/Recebíveis!$S28</f>
        <v>1.6646167864665259E-2</v>
      </c>
      <c r="AC18" s="310">
        <f>SUM(AC12,AC15)/Recebíveis!$S29</f>
        <v>4.4531033473721327E-3</v>
      </c>
    </row>
    <row r="19" spans="1:30" s="292" customFormat="1" ht="15" customHeight="1">
      <c r="A19" s="326" t="str">
        <f t="shared" si="6"/>
        <v>LONDRINA [ETAPA 01 - CONDOMINIO ARAÇARI]XXI1</v>
      </c>
      <c r="B19" s="467" t="s">
        <v>34</v>
      </c>
      <c r="C19" s="377" t="s">
        <v>505</v>
      </c>
      <c r="D19" s="468">
        <v>1</v>
      </c>
      <c r="E19" s="74" t="s">
        <v>222</v>
      </c>
      <c r="F19" s="74" t="str">
        <f t="shared" si="7"/>
        <v>INADIMPLENTE</v>
      </c>
      <c r="G19" s="512">
        <v>44</v>
      </c>
      <c r="H19" s="513" t="s">
        <v>765</v>
      </c>
      <c r="I19" s="69">
        <v>166290.82999999999</v>
      </c>
      <c r="J19" s="469">
        <f>IFERROR(VLOOKUP(CONCATENATE($B19,$C19,$D19,),Recebíveis!$A$5:$L$527,11,0),"Não bate")</f>
        <v>166290.83000000002</v>
      </c>
      <c r="K19" s="226">
        <f t="shared" si="8"/>
        <v>0.99999999999999978</v>
      </c>
      <c r="L19" s="226" t="s">
        <v>1041</v>
      </c>
      <c r="M19" s="326" t="str">
        <f t="shared" si="9"/>
        <v>LONDRINA [ETAPA 01 - CONDOMINIO ARAÇARI]IV</v>
      </c>
      <c r="N19" s="307" t="s">
        <v>545</v>
      </c>
      <c r="O19" s="308"/>
      <c r="P19" s="309">
        <f>P13/P16</f>
        <v>8.8615607857561923E-2</v>
      </c>
    </row>
    <row r="20" spans="1:30" s="292" customFormat="1" ht="15" customHeight="1">
      <c r="A20" s="326" t="str">
        <f t="shared" si="6"/>
        <v>LONDRINA [ETAPA 01 - CONDOMINIO ARAÇARI]XXV26</v>
      </c>
      <c r="B20" s="467" t="s">
        <v>34</v>
      </c>
      <c r="C20" s="377" t="s">
        <v>509</v>
      </c>
      <c r="D20" s="468">
        <v>26</v>
      </c>
      <c r="E20" s="74" t="s">
        <v>366</v>
      </c>
      <c r="F20" s="74" t="str">
        <f t="shared" si="7"/>
        <v>INADIMPLENTE</v>
      </c>
      <c r="G20" s="512">
        <v>44</v>
      </c>
      <c r="H20" s="513" t="s">
        <v>765</v>
      </c>
      <c r="I20" s="69">
        <v>87270.41</v>
      </c>
      <c r="J20" s="469">
        <f>IFERROR(VLOOKUP(CONCATENATE($B20,$C20,$D20,),Recebíveis!$A$5:$L$527,11,0),"Não bate")</f>
        <v>191370.97</v>
      </c>
      <c r="K20" s="226">
        <f t="shared" si="8"/>
        <v>0.45602742150494407</v>
      </c>
      <c r="L20" s="226" t="s">
        <v>1095</v>
      </c>
      <c r="M20" s="326" t="str">
        <f t="shared" si="9"/>
        <v>LONDRINA [ETAPA 01 - CONDOMINIO ARAÇARI]IV</v>
      </c>
      <c r="N20" s="307" t="s">
        <v>559</v>
      </c>
      <c r="O20" s="308"/>
      <c r="P20" s="309">
        <f>P14/P16</f>
        <v>0.30643839954509483</v>
      </c>
      <c r="V20" s="300"/>
    </row>
    <row r="21" spans="1:30" s="292" customFormat="1" ht="15" customHeight="1">
      <c r="A21" s="326" t="str">
        <f t="shared" si="6"/>
        <v>LONDRINA [ETAPA 03 - AREAS EXTERNAS G3 - G7]XIII13</v>
      </c>
      <c r="B21" s="467" t="s">
        <v>36</v>
      </c>
      <c r="C21" s="377" t="s">
        <v>521</v>
      </c>
      <c r="D21" s="468">
        <v>13</v>
      </c>
      <c r="E21" s="74" t="s">
        <v>404</v>
      </c>
      <c r="F21" s="74" t="str">
        <f t="shared" si="7"/>
        <v>INADIMPLENTE</v>
      </c>
      <c r="G21" s="512">
        <v>42</v>
      </c>
      <c r="H21" s="513" t="s">
        <v>765</v>
      </c>
      <c r="I21" s="69">
        <v>85277.31</v>
      </c>
      <c r="J21" s="469">
        <f>IFERROR(VLOOKUP(CONCATENATE($B21,$C21,$D21,),Recebíveis!$A$5:$L$527,11,0),"Não bate")</f>
        <v>188959.35</v>
      </c>
      <c r="K21" s="226">
        <f t="shared" si="8"/>
        <v>0.451299763679331</v>
      </c>
      <c r="L21" s="226" t="s">
        <v>1007</v>
      </c>
      <c r="M21" s="326" t="str">
        <f t="shared" si="9"/>
        <v>LONDRINA [ETAPA 03 - AREAS EXTERNAS G3 - G7]IV</v>
      </c>
      <c r="P21" s="311"/>
      <c r="U21" s="312" t="s">
        <v>31</v>
      </c>
      <c r="V21" s="312" t="s">
        <v>890</v>
      </c>
      <c r="W21" s="312" t="s">
        <v>891</v>
      </c>
      <c r="X21" s="312" t="s">
        <v>892</v>
      </c>
      <c r="Y21" s="312" t="s">
        <v>893</v>
      </c>
      <c r="Z21" s="312" t="s">
        <v>894</v>
      </c>
      <c r="AA21" s="312" t="s">
        <v>895</v>
      </c>
      <c r="AB21" s="312" t="s">
        <v>896</v>
      </c>
      <c r="AC21" s="312" t="s">
        <v>897</v>
      </c>
    </row>
    <row r="22" spans="1:30" s="292" customFormat="1" ht="15" customHeight="1">
      <c r="A22" s="326" t="str">
        <f t="shared" si="6"/>
        <v>LONDRINA [ETAPA 03 - AREAS EXTERNAS G3 - G7]XIII14</v>
      </c>
      <c r="B22" s="467" t="s">
        <v>36</v>
      </c>
      <c r="C22" s="377" t="s">
        <v>521</v>
      </c>
      <c r="D22" s="468">
        <v>14</v>
      </c>
      <c r="E22" s="74" t="s">
        <v>404</v>
      </c>
      <c r="F22" s="74" t="str">
        <f t="shared" si="7"/>
        <v>INADIMPLENTE</v>
      </c>
      <c r="G22" s="512">
        <v>42</v>
      </c>
      <c r="H22" s="513" t="s">
        <v>765</v>
      </c>
      <c r="I22" s="69">
        <v>85286.01</v>
      </c>
      <c r="J22" s="469">
        <f>IFERROR(VLOOKUP(CONCATENATE($B22,$C22,$D22,),Recebíveis!$A$5:$L$527,11,0),"Não bate")</f>
        <v>188968.05000000002</v>
      </c>
      <c r="K22" s="226">
        <f t="shared" si="8"/>
        <v>0.45132502557972093</v>
      </c>
      <c r="L22" s="226" t="s">
        <v>1007</v>
      </c>
      <c r="M22" s="326" t="str">
        <f t="shared" si="9"/>
        <v>LONDRINA [ETAPA 03 - AREAS EXTERNAS G3 - G7]IV</v>
      </c>
      <c r="N22" s="307" t="s">
        <v>583</v>
      </c>
      <c r="O22" s="478">
        <f>Recebíveis!S15</f>
        <v>18952886.6188634</v>
      </c>
      <c r="P22" s="309">
        <f>P13/O22</f>
        <v>0.26283201710509346</v>
      </c>
      <c r="U22" s="293" t="s">
        <v>753</v>
      </c>
      <c r="V22" s="320">
        <f>COUNTIF($M$6:$M$137,"LONDRINA [ETAPA 01 - CONDOMINIO ARAÇARI]I")</f>
        <v>3</v>
      </c>
      <c r="W22" s="320">
        <f>COUNTIF($M$6:$M$137,"LONDRINA [ETAPA 01 - AREAS EXTERNAS G1 - G5]I")</f>
        <v>0</v>
      </c>
      <c r="X22" s="320">
        <f>COUNTIF($M$6:$M$137,"LONDRINA [ETAPA 02 - CONDOMINIO TANGARA]I")</f>
        <v>4</v>
      </c>
      <c r="Y22" s="320">
        <f>COUNTIF($M$6:$M$137,"LONDRINA [ETAPA 02 - AREAS EXTERNAS G2 - G6]I")</f>
        <v>2</v>
      </c>
      <c r="Z22" s="320">
        <f>COUNTIF($M$6:$M$137,"LONDRINA [ETAPA 03 - CONDOMINIO ARANGUA]I")</f>
        <v>11</v>
      </c>
      <c r="AA22" s="320">
        <f>COUNTIF($M$6:$M$137,"LONDRINA [ETAPA 03 - AREAS EXTERNAS G3 - G7]I")</f>
        <v>1</v>
      </c>
      <c r="AB22" s="320">
        <f>COUNTIF($M$6:$M$137,"LONDRINA [ETAPA 04 - CONDOMINIO ARAGUARI]I")</f>
        <v>5</v>
      </c>
      <c r="AC22" s="320">
        <f>COUNTIF($M$6:$M$137,"LONDRINA [ETAPA 04 - AREAS EXTERNAS G4 - G8]I")</f>
        <v>7</v>
      </c>
      <c r="AD22" s="321">
        <f>SUM(V22:AC22)</f>
        <v>33</v>
      </c>
    </row>
    <row r="23" spans="1:30" s="292" customFormat="1" ht="15" customHeight="1">
      <c r="A23" s="326" t="str">
        <f t="shared" si="6"/>
        <v>LONDRINA [ETAPA 03 - CONDOMINIO ARANGUA]XXXVII15</v>
      </c>
      <c r="B23" s="467" t="s">
        <v>33</v>
      </c>
      <c r="C23" s="377" t="s">
        <v>530</v>
      </c>
      <c r="D23" s="468">
        <v>15</v>
      </c>
      <c r="E23" s="74" t="s">
        <v>401</v>
      </c>
      <c r="F23" s="74" t="str">
        <f t="shared" si="7"/>
        <v>INADIMPLENTE</v>
      </c>
      <c r="G23" s="512">
        <v>42</v>
      </c>
      <c r="H23" s="513" t="s">
        <v>765</v>
      </c>
      <c r="I23" s="69">
        <v>90941.39</v>
      </c>
      <c r="J23" s="469">
        <f>IFERROR(VLOOKUP(CONCATENATE($B23,$C23,$D23,),Recebíveis!$A$5:$L$527,11,0),"Não bate")</f>
        <v>201630.11000000002</v>
      </c>
      <c r="K23" s="226">
        <f t="shared" si="8"/>
        <v>0.45103080090567821</v>
      </c>
      <c r="L23" s="226" t="s">
        <v>1008</v>
      </c>
      <c r="M23" s="326" t="str">
        <f t="shared" si="9"/>
        <v>LONDRINA [ETAPA 03 - CONDOMINIO ARANGUA]IV</v>
      </c>
      <c r="P23" s="311"/>
      <c r="T23" s="300"/>
      <c r="U23" s="293" t="s">
        <v>754</v>
      </c>
      <c r="V23" s="320">
        <f>COUNTIF($M$6:$M$137,"LONDRINA [ETAPA 01 - CONDOMINIO ARAÇARI]II")</f>
        <v>0</v>
      </c>
      <c r="W23" s="320">
        <f>COUNTIF($M$6:$M$137,"LONDRINA [ETAPA 01 - AREAS EXTERNAS G1 - G5]II")</f>
        <v>1</v>
      </c>
      <c r="X23" s="320">
        <f>COUNTIF($M$6:$M$137,"LONDRINA [ETAPA 02 - CONDOMINIO TANGARA]II")</f>
        <v>0</v>
      </c>
      <c r="Y23" s="320">
        <f>COUNTIF($M$6:$M$137,"LONDRINA [ETAPA 02 - AREAS EXTERNAS G2 - G6]II")</f>
        <v>0</v>
      </c>
      <c r="Z23" s="320">
        <f>COUNTIF($M$6:$M$137,"LONDRINA [ETAPA 03 - CONDOMINIO ARANGUA]II")</f>
        <v>3</v>
      </c>
      <c r="AA23" s="320">
        <f>COUNTIF($M$6:$M$137,"LONDRINA [ETAPA 03 - AREAS EXTERNAS G3 - G7]II")</f>
        <v>1</v>
      </c>
      <c r="AB23" s="320">
        <f>COUNTIF($M$6:$M$137,"LONDRINA [ETAPA 04 - CONDOMINIO ARAGUARI]II")</f>
        <v>1</v>
      </c>
      <c r="AC23" s="320">
        <f>COUNTIF($M$6:$M$137,"LONDRINA [ETAPA 04 - AREAS EXTERNAS G4 - G8]II")</f>
        <v>0</v>
      </c>
      <c r="AD23" s="321">
        <f>SUM(V23:AC23)</f>
        <v>6</v>
      </c>
    </row>
    <row r="24" spans="1:30" s="292" customFormat="1" ht="15" customHeight="1">
      <c r="A24" s="326" t="str">
        <f t="shared" si="6"/>
        <v>LONDRINA [ETAPA 03 - CONDOMINIO ARANGUA]XXXVII16</v>
      </c>
      <c r="B24" s="467" t="s">
        <v>33</v>
      </c>
      <c r="C24" s="377" t="s">
        <v>530</v>
      </c>
      <c r="D24" s="468">
        <v>16</v>
      </c>
      <c r="E24" s="74" t="s">
        <v>401</v>
      </c>
      <c r="F24" s="74" t="str">
        <f t="shared" si="7"/>
        <v>INADIMPLENTE</v>
      </c>
      <c r="G24" s="512">
        <v>42</v>
      </c>
      <c r="H24" s="513" t="s">
        <v>765</v>
      </c>
      <c r="I24" s="69">
        <v>90717.22</v>
      </c>
      <c r="J24" s="469">
        <f>IFERROR(VLOOKUP(CONCATENATE($B24,$C24,$D24,),Recebíveis!$A$5:$L$527,11,0),"Não bate")</f>
        <v>201765.38</v>
      </c>
      <c r="K24" s="226">
        <f t="shared" si="8"/>
        <v>0.44961737241542626</v>
      </c>
      <c r="L24" s="226" t="s">
        <v>1008</v>
      </c>
      <c r="M24" s="326" t="str">
        <f t="shared" si="9"/>
        <v>LONDRINA [ETAPA 03 - CONDOMINIO ARANGUA]IV</v>
      </c>
      <c r="N24" s="307" t="s">
        <v>584</v>
      </c>
      <c r="O24" s="308"/>
      <c r="P24" s="309">
        <f>P9/P16</f>
        <v>8.3164213002889495E-2</v>
      </c>
      <c r="U24" s="293" t="s">
        <v>755</v>
      </c>
      <c r="V24" s="320">
        <f>COUNTIF($M$6:$M$137,"LONDRINA [ETAPA 01 - CONDOMINIO ARAÇARI]III")</f>
        <v>0</v>
      </c>
      <c r="W24" s="320">
        <f>COUNTIF($M$6:$M$137,"LONDRINA [ETAPA 01 - AREAS EXTERNAS G1 - G5]III")</f>
        <v>0</v>
      </c>
      <c r="X24" s="320">
        <f>COUNTIF($M$6:$M$137,"LONDRINA [ETAPA 02 - CONDOMINIO TANGARA]III")</f>
        <v>0</v>
      </c>
      <c r="Y24" s="320">
        <f>COUNTIF($M$6:$M$137,"LONDRINA [ETAPA 02 - AREAS EXTERNAS G2 - G6]III")</f>
        <v>2</v>
      </c>
      <c r="Z24" s="320">
        <f>COUNTIF($M$6:$M$137,"LONDRINA [ETAPA 03 - CONDOMINIO ARANGUA]III")</f>
        <v>3</v>
      </c>
      <c r="AA24" s="320">
        <f>COUNTIF($M$6:$M$137,"LONDRINA [ETAPA 03 - AREAS EXTERNAS G3 - G7]III")</f>
        <v>0</v>
      </c>
      <c r="AB24" s="320">
        <f>COUNTIF($M$6:$M$137,"LONDRINA [ETAPA 04 - CONDOMINIO ARAGUARI]III")</f>
        <v>0</v>
      </c>
      <c r="AC24" s="320">
        <f>COUNTIF($M$6:$M$137,"LONDRINA [ETAPA 04 - AREAS EXTERNAS G4 - G8]III")</f>
        <v>0</v>
      </c>
      <c r="AD24" s="321">
        <f>SUM(V24:AC24)</f>
        <v>5</v>
      </c>
    </row>
    <row r="25" spans="1:30" s="292" customFormat="1" ht="15" customHeight="1">
      <c r="A25" s="326" t="str">
        <f t="shared" si="6"/>
        <v>LONDRINA [ETAPA 03 - CONDOMINIO ARANGUA]XLII11</v>
      </c>
      <c r="B25" s="467" t="s">
        <v>33</v>
      </c>
      <c r="C25" s="377" t="s">
        <v>525</v>
      </c>
      <c r="D25" s="468">
        <v>11</v>
      </c>
      <c r="E25" s="74" t="s">
        <v>124</v>
      </c>
      <c r="F25" s="74" t="str">
        <f t="shared" si="7"/>
        <v>INADIMPLENTE</v>
      </c>
      <c r="G25" s="512">
        <v>42</v>
      </c>
      <c r="H25" s="513" t="s">
        <v>765</v>
      </c>
      <c r="I25" s="69">
        <v>93949.06</v>
      </c>
      <c r="J25" s="469">
        <f>IFERROR(VLOOKUP(CONCATENATE($B25,$C25,$D25,),Recebíveis!$A$5:$L$527,11,0),"Não bate")</f>
        <v>212076.51</v>
      </c>
      <c r="K25" s="226">
        <f t="shared" si="8"/>
        <v>0.44299606778704531</v>
      </c>
      <c r="L25" s="226" t="s">
        <v>1095</v>
      </c>
      <c r="M25" s="326" t="str">
        <f t="shared" si="9"/>
        <v>LONDRINA [ETAPA 03 - CONDOMINIO ARANGUA]IV</v>
      </c>
      <c r="N25" s="307" t="s">
        <v>636</v>
      </c>
      <c r="O25" s="308"/>
      <c r="P25" s="309">
        <f>P9/O22</f>
        <v>0.24666329536035378</v>
      </c>
      <c r="U25" s="295" t="s">
        <v>756</v>
      </c>
      <c r="V25" s="320">
        <f>COUNTIF($M$6:$M$137,"LONDRINA [ETAPA 01 - CONDOMINIO ARAÇARI]IV")</f>
        <v>15</v>
      </c>
      <c r="W25" s="320">
        <f>COUNTIF($M$6:$M$137,"LONDRINA [ETAPA 01 - AREAS EXTERNAS G1 - G5]IV")</f>
        <v>2</v>
      </c>
      <c r="X25" s="320">
        <f>COUNTIF($M$6:$M$137,"LONDRINA [ETAPA 02 - CONDOMINIO TANGARA]IV")</f>
        <v>8</v>
      </c>
      <c r="Y25" s="320">
        <f>COUNTIF($M$6:$M$137,"LONDRINA [ETAPA 02 - AREAS EXTERNAS G2 - G6]IV")</f>
        <v>15</v>
      </c>
      <c r="Z25" s="320">
        <f>COUNTIF($M$6:$M$137,"LONDRINA [ETAPA 03 - CONDOMINIO ARANGUA]IV")</f>
        <v>25</v>
      </c>
      <c r="AA25" s="320">
        <f>COUNTIF($M$6:$M$137,"LONDRINA [ETAPA 03 - AREAS EXTERNAS G3 - G7]IV")</f>
        <v>10</v>
      </c>
      <c r="AB25" s="320">
        <f>COUNTIF($M$6:$M$137,"LONDRINA [ETAPA 04 - CONDOMINIO ARAGUARI]IV")</f>
        <v>2</v>
      </c>
      <c r="AC25" s="320">
        <f>COUNTIF($M$6:$M$137,"LONDRINA [ETAPA 04 - AREAS EXTERNAS G4 - G8]IV")</f>
        <v>1</v>
      </c>
      <c r="AD25" s="321">
        <f>SUM(V25:AC25)</f>
        <v>78</v>
      </c>
    </row>
    <row r="26" spans="1:30" s="292" customFormat="1" ht="15" customHeight="1">
      <c r="A26" s="326" t="str">
        <f t="shared" si="6"/>
        <v>LONDRINA [ETAPA 02 - CONDOMINIO TANGARA]XXIX41</v>
      </c>
      <c r="B26" s="467" t="s">
        <v>35</v>
      </c>
      <c r="C26" s="377" t="s">
        <v>513</v>
      </c>
      <c r="D26" s="468">
        <v>41</v>
      </c>
      <c r="E26" s="74" t="s">
        <v>85</v>
      </c>
      <c r="F26" s="74" t="str">
        <f t="shared" si="7"/>
        <v>INADIMPLENTE</v>
      </c>
      <c r="G26" s="512">
        <v>42</v>
      </c>
      <c r="H26" s="513" t="s">
        <v>765</v>
      </c>
      <c r="I26" s="69">
        <v>80156.67</v>
      </c>
      <c r="J26" s="469">
        <f>IFERROR(VLOOKUP(CONCATENATE($B26,$C26,$D26,),Recebíveis!$A$5:$L$527,11,0),"Não bate")</f>
        <v>176340.32</v>
      </c>
      <c r="K26" s="226">
        <f t="shared" si="8"/>
        <v>0.45455667767870667</v>
      </c>
      <c r="L26" s="226" t="s">
        <v>835</v>
      </c>
      <c r="M26" s="326" t="str">
        <f t="shared" si="9"/>
        <v>LONDRINA [ETAPA 02 - CONDOMINIO TANGARA]IV</v>
      </c>
      <c r="U26" s="322">
        <f>SUM(V26:AC26)</f>
        <v>122</v>
      </c>
      <c r="V26" s="323">
        <f t="shared" ref="V26:AA26" si="10">SUM(V22:V25)</f>
        <v>18</v>
      </c>
      <c r="W26" s="323">
        <f t="shared" si="10"/>
        <v>3</v>
      </c>
      <c r="X26" s="323">
        <f t="shared" si="10"/>
        <v>12</v>
      </c>
      <c r="Y26" s="323">
        <f t="shared" si="10"/>
        <v>19</v>
      </c>
      <c r="Z26" s="323">
        <f t="shared" si="10"/>
        <v>42</v>
      </c>
      <c r="AA26" s="323">
        <f t="shared" si="10"/>
        <v>12</v>
      </c>
      <c r="AB26" s="323">
        <f>SUM(AB22:AB25)</f>
        <v>8</v>
      </c>
      <c r="AC26" s="323">
        <f>SUM(AC22:AC25)</f>
        <v>8</v>
      </c>
      <c r="AD26" s="321">
        <f>SUM(V26:AC26)</f>
        <v>122</v>
      </c>
    </row>
    <row r="27" spans="1:30" s="292" customFormat="1" ht="15" customHeight="1">
      <c r="A27" s="326" t="str">
        <f t="shared" si="6"/>
        <v>LONDRINA [ETAPA 01 - CONDOMINIO ARAÇARI]XXIV10</v>
      </c>
      <c r="B27" s="467" t="s">
        <v>34</v>
      </c>
      <c r="C27" s="377" t="s">
        <v>508</v>
      </c>
      <c r="D27" s="468">
        <v>10</v>
      </c>
      <c r="E27" s="74" t="s">
        <v>1126</v>
      </c>
      <c r="F27" s="74" t="str">
        <f t="shared" si="7"/>
        <v>INADIMPLENTE</v>
      </c>
      <c r="G27" s="512">
        <v>41</v>
      </c>
      <c r="H27" s="513" t="s">
        <v>765</v>
      </c>
      <c r="I27" s="69">
        <v>77388.39</v>
      </c>
      <c r="J27" s="469">
        <f>IFERROR(VLOOKUP(CONCATENATE($B27,$C27,$D27,),Recebíveis!$A$5:$L$527,11,0),"Não bate")</f>
        <v>172605.52</v>
      </c>
      <c r="K27" s="226">
        <f t="shared" si="8"/>
        <v>0.44835408508372154</v>
      </c>
      <c r="L27" s="226" t="s">
        <v>835</v>
      </c>
      <c r="M27" s="326" t="str">
        <f t="shared" si="9"/>
        <v>LONDRINA [ETAPA 01 - CONDOMINIO ARAÇARI]IV</v>
      </c>
    </row>
    <row r="28" spans="1:30" s="292" customFormat="1" ht="15" customHeight="1">
      <c r="A28" s="326" t="str">
        <f t="shared" si="6"/>
        <v>LONDRINA [ETAPA 03 - AREAS EXTERNAS G3 - G7]XVI12</v>
      </c>
      <c r="B28" s="467" t="s">
        <v>36</v>
      </c>
      <c r="C28" s="377" t="s">
        <v>522</v>
      </c>
      <c r="D28" s="468">
        <v>12</v>
      </c>
      <c r="E28" s="74" t="s">
        <v>53</v>
      </c>
      <c r="F28" s="74" t="str">
        <f t="shared" si="7"/>
        <v>INADIMPLENTE</v>
      </c>
      <c r="G28" s="512">
        <v>40</v>
      </c>
      <c r="H28" s="513" t="s">
        <v>765</v>
      </c>
      <c r="I28" s="69">
        <v>72480.100000000006</v>
      </c>
      <c r="J28" s="469">
        <f>IFERROR(VLOOKUP(CONCATENATE($B28,$C28,$D28,),Recebíveis!$A$5:$L$527,11,0),"Não bate")</f>
        <v>166099.53</v>
      </c>
      <c r="K28" s="226">
        <f t="shared" si="8"/>
        <v>0.43636547315937624</v>
      </c>
      <c r="L28" s="226" t="s">
        <v>835</v>
      </c>
      <c r="M28" s="326" t="str">
        <f t="shared" si="9"/>
        <v>LONDRINA [ETAPA 03 - AREAS EXTERNAS G3 - G7]IV</v>
      </c>
      <c r="U28" s="403" t="s">
        <v>31</v>
      </c>
      <c r="V28" s="375" t="s">
        <v>890</v>
      </c>
      <c r="W28" s="375" t="s">
        <v>892</v>
      </c>
      <c r="X28" s="375" t="s">
        <v>894</v>
      </c>
      <c r="Y28" s="375" t="s">
        <v>896</v>
      </c>
      <c r="Z28" s="408" t="s">
        <v>594</v>
      </c>
      <c r="AA28" s="406"/>
      <c r="AC28" s="312"/>
    </row>
    <row r="29" spans="1:30" s="292" customFormat="1" ht="15" customHeight="1">
      <c r="A29" s="326" t="str">
        <f t="shared" si="6"/>
        <v>LONDRINA [ETAPA 02 - AREAS EXTERNAS G2 - G6]XII15</v>
      </c>
      <c r="B29" s="467" t="s">
        <v>38</v>
      </c>
      <c r="C29" s="377" t="s">
        <v>510</v>
      </c>
      <c r="D29" s="468">
        <v>15</v>
      </c>
      <c r="E29" s="74" t="s">
        <v>95</v>
      </c>
      <c r="F29" s="74" t="str">
        <f t="shared" si="7"/>
        <v>INADIMPLENTE</v>
      </c>
      <c r="G29" s="512">
        <v>39</v>
      </c>
      <c r="H29" s="513" t="s">
        <v>765</v>
      </c>
      <c r="I29" s="69">
        <v>65554.100000000006</v>
      </c>
      <c r="J29" s="469">
        <f>IFERROR(VLOOKUP(CONCATENATE($B29,$C29,$D29,),Recebíveis!$A$5:$L$527,11,0),"Não bate")</f>
        <v>150156.15</v>
      </c>
      <c r="K29" s="226">
        <f t="shared" si="8"/>
        <v>0.43657286098504794</v>
      </c>
      <c r="L29" s="226" t="s">
        <v>835</v>
      </c>
      <c r="M29" s="326" t="str">
        <f t="shared" si="9"/>
        <v>LONDRINA [ETAPA 02 - AREAS EXTERNAS G2 - G6]IV</v>
      </c>
      <c r="R29" s="300"/>
      <c r="T29" s="300"/>
      <c r="U29" s="404" t="s">
        <v>753</v>
      </c>
      <c r="V29" s="407">
        <f>SUM(V22:W22)</f>
        <v>3</v>
      </c>
      <c r="W29" s="407">
        <f>SUM(X22:Y22)</f>
        <v>6</v>
      </c>
      <c r="X29" s="407">
        <f>SUM(Z22:AA22)</f>
        <v>12</v>
      </c>
      <c r="Y29" s="407">
        <f>SUM(AB22:AC22)</f>
        <v>12</v>
      </c>
      <c r="Z29" s="407">
        <f>SUM(V29:Y29)</f>
        <v>33</v>
      </c>
    </row>
    <row r="30" spans="1:30" s="292" customFormat="1" ht="15" customHeight="1">
      <c r="A30" s="326" t="str">
        <f t="shared" si="6"/>
        <v>LONDRINA [ETAPA 02 - AREAS EXTERNAS G2 - G6]XII11</v>
      </c>
      <c r="B30" s="467" t="s">
        <v>38</v>
      </c>
      <c r="C30" s="377" t="s">
        <v>510</v>
      </c>
      <c r="D30" s="468">
        <v>11</v>
      </c>
      <c r="E30" s="74" t="s">
        <v>1379</v>
      </c>
      <c r="F30" s="74" t="str">
        <f t="shared" si="7"/>
        <v>INADIMPLENTE</v>
      </c>
      <c r="G30" s="512">
        <v>38</v>
      </c>
      <c r="H30" s="513" t="s">
        <v>765</v>
      </c>
      <c r="I30" s="69">
        <v>68356.56</v>
      </c>
      <c r="J30" s="469">
        <f>IFERROR(VLOOKUP(CONCATENATE($B30,$C30,$D30,),Recebíveis!$A$5:$L$527,11,0),"Não bate")</f>
        <v>153750.87</v>
      </c>
      <c r="K30" s="226">
        <f t="shared" si="8"/>
        <v>0.44459299644938594</v>
      </c>
      <c r="L30" s="226" t="s">
        <v>1095</v>
      </c>
      <c r="M30" s="326" t="str">
        <f t="shared" si="9"/>
        <v>LONDRINA [ETAPA 02 - AREAS EXTERNAS G2 - G6]IV</v>
      </c>
      <c r="R30" s="300"/>
      <c r="U30" s="404" t="s">
        <v>754</v>
      </c>
      <c r="V30" s="407">
        <f t="shared" ref="V30:V31" si="11">SUM(V23:W23)</f>
        <v>1</v>
      </c>
      <c r="W30" s="407">
        <f t="shared" ref="W30:W32" si="12">SUM(X23:Y23)</f>
        <v>0</v>
      </c>
      <c r="X30" s="407">
        <f t="shared" ref="X30:X31" si="13">SUM(Z23:AA23)</f>
        <v>4</v>
      </c>
      <c r="Y30" s="407">
        <f t="shared" ref="Y30:Y31" si="14">SUM(AB23:AC23)</f>
        <v>1</v>
      </c>
      <c r="Z30" s="407">
        <f t="shared" ref="Z30:Z31" si="15">SUM(V30:Y30)</f>
        <v>6</v>
      </c>
    </row>
    <row r="31" spans="1:30" s="292" customFormat="1" ht="15" customHeight="1">
      <c r="A31" s="326" t="str">
        <f t="shared" si="6"/>
        <v>LONDRINA [ETAPA 03 - CONDOMINIO ARANGUA]XXXIX5</v>
      </c>
      <c r="B31" s="467" t="s">
        <v>33</v>
      </c>
      <c r="C31" s="377" t="s">
        <v>527</v>
      </c>
      <c r="D31" s="468">
        <v>5</v>
      </c>
      <c r="E31" s="74" t="s">
        <v>230</v>
      </c>
      <c r="F31" s="74" t="str">
        <f t="shared" si="7"/>
        <v>INADIMPLENTE</v>
      </c>
      <c r="G31" s="512">
        <v>36</v>
      </c>
      <c r="H31" s="513" t="s">
        <v>765</v>
      </c>
      <c r="I31" s="69">
        <v>76827.78</v>
      </c>
      <c r="J31" s="469">
        <f>IFERROR(VLOOKUP(CONCATENATE($B31,$C31,$D31,),Recebíveis!$A$5:$L$527,11,0),"Não bate")</f>
        <v>192782.07</v>
      </c>
      <c r="K31" s="226">
        <f t="shared" si="8"/>
        <v>0.39852139776276913</v>
      </c>
      <c r="L31" s="226" t="s">
        <v>1008</v>
      </c>
      <c r="M31" s="326" t="str">
        <f t="shared" si="9"/>
        <v>LONDRINA [ETAPA 03 - CONDOMINIO ARANGUA]IV</v>
      </c>
      <c r="U31" s="404" t="s">
        <v>755</v>
      </c>
      <c r="V31" s="407">
        <f t="shared" si="11"/>
        <v>0</v>
      </c>
      <c r="W31" s="407">
        <f t="shared" si="12"/>
        <v>2</v>
      </c>
      <c r="X31" s="407">
        <f t="shared" si="13"/>
        <v>3</v>
      </c>
      <c r="Y31" s="407">
        <f t="shared" si="14"/>
        <v>0</v>
      </c>
      <c r="Z31" s="407">
        <f t="shared" si="15"/>
        <v>5</v>
      </c>
    </row>
    <row r="32" spans="1:30" s="292" customFormat="1" ht="15" customHeight="1">
      <c r="A32" s="326" t="str">
        <f t="shared" si="6"/>
        <v>LONDRINA [ETAPA 01 - CONDOMINIO ARAÇARI]XXII17</v>
      </c>
      <c r="B32" s="467" t="s">
        <v>34</v>
      </c>
      <c r="C32" s="377" t="s">
        <v>506</v>
      </c>
      <c r="D32" s="468">
        <v>17</v>
      </c>
      <c r="E32" s="74" t="s">
        <v>339</v>
      </c>
      <c r="F32" s="74" t="str">
        <f t="shared" si="7"/>
        <v>INADIMPLENTE</v>
      </c>
      <c r="G32" s="512">
        <v>35</v>
      </c>
      <c r="H32" s="513" t="s">
        <v>765</v>
      </c>
      <c r="I32" s="69">
        <v>70342.58</v>
      </c>
      <c r="J32" s="469">
        <f>IFERROR(VLOOKUP(CONCATENATE($B32,$C32,$D32,),Recebíveis!$A$5:$L$527,11,0),"Não bate")</f>
        <v>166513.09</v>
      </c>
      <c r="K32" s="226">
        <f t="shared" si="8"/>
        <v>0.42244474593558984</v>
      </c>
      <c r="L32" s="226" t="s">
        <v>835</v>
      </c>
      <c r="M32" s="326" t="str">
        <f t="shared" si="9"/>
        <v>LONDRINA [ETAPA 01 - CONDOMINIO ARAÇARI]IV</v>
      </c>
      <c r="U32" s="405" t="s">
        <v>756</v>
      </c>
      <c r="V32" s="407">
        <f>SUM(V25:W25)</f>
        <v>17</v>
      </c>
      <c r="W32" s="407">
        <f t="shared" si="12"/>
        <v>23</v>
      </c>
      <c r="X32" s="407">
        <f>SUM(Z25:AA25)</f>
        <v>35</v>
      </c>
      <c r="Y32" s="407">
        <f>SUM(AB25:AC25)</f>
        <v>3</v>
      </c>
      <c r="Z32" s="407">
        <f>SUM(V32:Y32)</f>
        <v>78</v>
      </c>
    </row>
    <row r="33" spans="1:30" s="292" customFormat="1" ht="15" customHeight="1">
      <c r="A33" s="326" t="str">
        <f t="shared" si="6"/>
        <v>LONDRINA [ETAPA 01 - CONDOMINIO ARAÇARI]XXII18</v>
      </c>
      <c r="B33" s="467" t="s">
        <v>34</v>
      </c>
      <c r="C33" s="377" t="s">
        <v>506</v>
      </c>
      <c r="D33" s="468">
        <v>18</v>
      </c>
      <c r="E33" s="74" t="s">
        <v>339</v>
      </c>
      <c r="F33" s="74" t="str">
        <f t="shared" si="7"/>
        <v>INADIMPLENTE</v>
      </c>
      <c r="G33" s="512">
        <v>35</v>
      </c>
      <c r="H33" s="513" t="s">
        <v>765</v>
      </c>
      <c r="I33" s="69">
        <v>70342.45</v>
      </c>
      <c r="J33" s="469">
        <f>IFERROR(VLOOKUP(CONCATENATE($B33,$C33,$D33,),Recebíveis!$A$5:$L$527,11,0),"Não bate")</f>
        <v>166512.95999999999</v>
      </c>
      <c r="K33" s="226">
        <f t="shared" si="8"/>
        <v>0.42244429502664538</v>
      </c>
      <c r="L33" s="226" t="s">
        <v>835</v>
      </c>
      <c r="M33" s="326" t="str">
        <f t="shared" si="9"/>
        <v>LONDRINA [ETAPA 01 - CONDOMINIO ARAÇARI]IV</v>
      </c>
      <c r="U33" s="372" t="s">
        <v>594</v>
      </c>
      <c r="V33" s="407">
        <f>SUM(V29:V32)</f>
        <v>21</v>
      </c>
      <c r="W33" s="407">
        <f t="shared" ref="W33" si="16">SUM(W29:W32)</f>
        <v>31</v>
      </c>
      <c r="X33" s="407">
        <f>SUM(X29:X32)</f>
        <v>54</v>
      </c>
      <c r="Y33" s="407">
        <f>SUM(Y29:Y32)</f>
        <v>16</v>
      </c>
      <c r="Z33" s="407">
        <f>SUM(V33:Y33)</f>
        <v>122</v>
      </c>
    </row>
    <row r="34" spans="1:30" s="292" customFormat="1" ht="15" customHeight="1">
      <c r="A34" s="326" t="str">
        <f t="shared" si="6"/>
        <v>LONDRINA [ETAPA 02 - CONDOMINIO TANGARA]XXVII7</v>
      </c>
      <c r="B34" s="467" t="s">
        <v>35</v>
      </c>
      <c r="C34" s="377" t="s">
        <v>515</v>
      </c>
      <c r="D34" s="468">
        <v>7</v>
      </c>
      <c r="E34" s="74" t="s">
        <v>641</v>
      </c>
      <c r="F34" s="74" t="str">
        <f t="shared" si="7"/>
        <v>INADIMPLENTE</v>
      </c>
      <c r="G34" s="512">
        <v>34</v>
      </c>
      <c r="H34" s="513" t="s">
        <v>765</v>
      </c>
      <c r="I34" s="69">
        <v>68347.67</v>
      </c>
      <c r="J34" s="469">
        <f>IFERROR(VLOOKUP(CONCATENATE($B34,$C34,$D34,),Recebíveis!$A$5:$L$527,11,0),"Não bate")</f>
        <v>164350.48000000001</v>
      </c>
      <c r="K34" s="226">
        <f t="shared" si="8"/>
        <v>0.41586535068227359</v>
      </c>
      <c r="L34" s="226" t="s">
        <v>835</v>
      </c>
      <c r="M34" s="326" t="str">
        <f t="shared" si="9"/>
        <v>LONDRINA [ETAPA 02 - CONDOMINIO TANGARA]IV</v>
      </c>
    </row>
    <row r="35" spans="1:30" s="292" customFormat="1" ht="15" customHeight="1">
      <c r="A35" s="326" t="str">
        <f t="shared" si="6"/>
        <v>LONDRINA [ETAPA 03 - AREAS EXTERNAS G3 - G7]XIII3</v>
      </c>
      <c r="B35" s="467" t="s">
        <v>36</v>
      </c>
      <c r="C35" s="377" t="s">
        <v>521</v>
      </c>
      <c r="D35" s="468">
        <v>3</v>
      </c>
      <c r="E35" s="74" t="s">
        <v>351</v>
      </c>
      <c r="F35" s="74" t="str">
        <f t="shared" si="7"/>
        <v>INADIMPLENTE</v>
      </c>
      <c r="G35" s="512">
        <v>34</v>
      </c>
      <c r="H35" s="513" t="s">
        <v>765</v>
      </c>
      <c r="I35" s="69">
        <v>80600.55</v>
      </c>
      <c r="J35" s="469">
        <f>IFERROR(VLOOKUP(CONCATENATE($B35,$C35,$D35,),Recebíveis!$A$5:$L$527,11,0),"Não bate")</f>
        <v>218744.03</v>
      </c>
      <c r="K35" s="226">
        <f t="shared" si="8"/>
        <v>0.36846971320771588</v>
      </c>
      <c r="L35" s="226" t="s">
        <v>1007</v>
      </c>
      <c r="M35" s="326" t="str">
        <f t="shared" si="9"/>
        <v>LONDRINA [ETAPA 03 - AREAS EXTERNAS G3 - G7]IV</v>
      </c>
      <c r="U35" s="312" t="s">
        <v>31</v>
      </c>
      <c r="V35" s="312" t="s">
        <v>890</v>
      </c>
      <c r="W35" s="312" t="s">
        <v>891</v>
      </c>
      <c r="X35" s="312" t="s">
        <v>892</v>
      </c>
      <c r="Y35" s="312" t="s">
        <v>893</v>
      </c>
      <c r="Z35" s="312" t="s">
        <v>894</v>
      </c>
      <c r="AA35" s="312" t="s">
        <v>895</v>
      </c>
      <c r="AB35" s="312" t="s">
        <v>896</v>
      </c>
      <c r="AC35" s="312" t="s">
        <v>897</v>
      </c>
      <c r="AD35" s="460" t="s">
        <v>1228</v>
      </c>
    </row>
    <row r="36" spans="1:30" s="292" customFormat="1" ht="15" customHeight="1">
      <c r="A36" s="326" t="str">
        <f t="shared" si="6"/>
        <v>LONDRINA [ETAPA 02 - CONDOMINIO TANGARA]XXVII8</v>
      </c>
      <c r="B36" s="467" t="s">
        <v>35</v>
      </c>
      <c r="C36" s="377" t="s">
        <v>515</v>
      </c>
      <c r="D36" s="468">
        <v>8</v>
      </c>
      <c r="E36" s="74" t="s">
        <v>224</v>
      </c>
      <c r="F36" s="74" t="str">
        <f t="shared" si="7"/>
        <v>INADIMPLENTE</v>
      </c>
      <c r="G36" s="512">
        <v>33</v>
      </c>
      <c r="H36" s="513" t="s">
        <v>765</v>
      </c>
      <c r="I36" s="69">
        <v>66171.009999999995</v>
      </c>
      <c r="J36" s="469">
        <f>IFERROR(VLOOKUP(CONCATENATE($B36,$C36,$D36,),Recebíveis!$A$5:$L$527,11,0),"Não bate")</f>
        <v>161446.56</v>
      </c>
      <c r="K36" s="226">
        <f t="shared" si="8"/>
        <v>0.40986323895659343</v>
      </c>
      <c r="L36" s="226" t="s">
        <v>835</v>
      </c>
      <c r="M36" s="326" t="str">
        <f t="shared" si="9"/>
        <v>LONDRINA [ETAPA 02 - CONDOMINIO TANGARA]IV</v>
      </c>
      <c r="U36" s="293" t="s">
        <v>753</v>
      </c>
      <c r="V36" s="222">
        <f>SUMIF($M$6:$M$137,"LONDRINA [ETAPA 01 - CONDOMINIO ARAÇARI]I",$I$6:$I$137)</f>
        <v>7653.0499999999993</v>
      </c>
      <c r="W36" s="222">
        <f>SUMIF($M$6:$M$137,"LONDRINA [ETAPA 01 - AREAS EXTERNAS G1 - G5]I",$I$6:$I$137)</f>
        <v>0</v>
      </c>
      <c r="X36" s="222">
        <f>SUMIF($M$6:$M$137,"LONDRINA [ETAPA 02 - CONDOMINIO TANGARA]I",$I$6:$I$137)</f>
        <v>6426.83</v>
      </c>
      <c r="Y36" s="222">
        <f>SUMIF($M$6:$M$137,"LONDRINA [ETAPA 02 - AREAS EXTERNAS G2 - G6]I",$I$6:$I$137)</f>
        <v>4498.91</v>
      </c>
      <c r="Z36" s="222">
        <f>SUMIF($M$6:$M$137,"LONDRINA [ETAPA 03 - CONDOMINIO ARANGUA]I",$I$6:$I$137)</f>
        <v>33020.15</v>
      </c>
      <c r="AA36" s="222">
        <f>SUMIF($M$6:$M$137,"LONDRINA [ETAPA 03 - AREAS EXTERNAS G3 - G7]I",$I$6:$I$137)</f>
        <v>1711.62</v>
      </c>
      <c r="AB36" s="222">
        <f>SUMIF($M$6:$M$137,"LONDRINA [ETAPA 04 - CONDOMINIO ARAGUARI]I",$I$6:$I$137)</f>
        <v>165117.88</v>
      </c>
      <c r="AC36" s="222">
        <f>SUMIF($M$6:$M$137,"LONDRINA [ETAPA 04 - AREAS EXTERNAS G4 - G8]I",$I$6:$I$137)</f>
        <v>14800.180000000002</v>
      </c>
      <c r="AD36" s="300">
        <f>SUM(V36:AC36)</f>
        <v>233228.62</v>
      </c>
    </row>
    <row r="37" spans="1:30" s="292" customFormat="1" ht="15" customHeight="1">
      <c r="A37" s="326" t="str">
        <f t="shared" si="6"/>
        <v>LONDRINA [ETAPA 03 - CONDOMINIO ARANGUA]XLII4</v>
      </c>
      <c r="B37" s="467" t="s">
        <v>33</v>
      </c>
      <c r="C37" s="377" t="s">
        <v>525</v>
      </c>
      <c r="D37" s="468">
        <v>4</v>
      </c>
      <c r="E37" s="74" t="s">
        <v>763</v>
      </c>
      <c r="F37" s="74" t="str">
        <f t="shared" si="7"/>
        <v>INADIMPLENTE</v>
      </c>
      <c r="G37" s="512">
        <v>28</v>
      </c>
      <c r="H37" s="513" t="s">
        <v>765</v>
      </c>
      <c r="I37" s="69">
        <v>50491.58</v>
      </c>
      <c r="J37" s="469">
        <f>IFERROR(VLOOKUP(CONCATENATE($B37,$C37,$D37,),Recebíveis!$A$5:$L$527,11,0),"Não bate")</f>
        <v>187475.79</v>
      </c>
      <c r="K37" s="226">
        <f t="shared" si="8"/>
        <v>0.26932320167846741</v>
      </c>
      <c r="L37" s="226" t="s">
        <v>835</v>
      </c>
      <c r="M37" s="326" t="str">
        <f t="shared" si="9"/>
        <v>LONDRINA [ETAPA 03 - CONDOMINIO ARANGUA]IV</v>
      </c>
      <c r="U37" s="293" t="s">
        <v>754</v>
      </c>
      <c r="V37" s="222">
        <f>SUMIF($M$6:$M$137,"LONDRINA [ETAPA 01 - CONDOMINIO ARAÇARI]II",$I$6:$I$137)</f>
        <v>0</v>
      </c>
      <c r="W37" s="222">
        <f>SUMIF($M$6:$M$137,"LONDRINA [ETAPA 01 - AREAS EXTERNAS G1 - G5]II",$I$6:$I$137)</f>
        <v>3017.86</v>
      </c>
      <c r="X37" s="222">
        <f>SUMIF($M$6:$M$137,"LONDRINA [ETAPA 02 - CONDOMINIO TANGARA]II",$I$6:$I$137)</f>
        <v>0</v>
      </c>
      <c r="Y37" s="222">
        <f>SUMIF($M$6:$M$137,"LONDRINA [ETAPA 02 - AREAS EXTERNAS G2 - G6]II",$I$6:$I$137)</f>
        <v>0</v>
      </c>
      <c r="Z37" s="222">
        <f>SUMIF($M$6:$M$137,"LONDRINA [ETAPA 03 - CONDOMINIO ARANGUA]II",$I$6:$I$137)</f>
        <v>11417.94</v>
      </c>
      <c r="AA37" s="222">
        <f>SUMIF($M$6:$M$137,"LONDRINA [ETAPA 03 - AREAS EXTERNAS G3 - G7]II",$I$6:$I$137)</f>
        <v>3340.6</v>
      </c>
      <c r="AB37" s="222">
        <f>SUMIF($M$6:$M$137,"LONDRINA [ETAPA 04 - CONDOMINIO ARAGUARI]II",$I$6:$I$137)</f>
        <v>3776.97</v>
      </c>
      <c r="AC37" s="222">
        <f>SUMIF($M$6:$M$137,"LONDRINA [ETAPA 04 - AREAS EXTERNAS G4 - G8]II",$I$6:$I$137)</f>
        <v>0</v>
      </c>
      <c r="AD37" s="300">
        <f t="shared" ref="AD37:AD38" si="17">SUM(V37:AC37)</f>
        <v>21553.370000000003</v>
      </c>
    </row>
    <row r="38" spans="1:30" s="292" customFormat="1" ht="15" customHeight="1">
      <c r="A38" s="326" t="str">
        <f t="shared" ref="A38:A39" si="18">CONCATENATE(B38,C38,D38)</f>
        <v>LONDRINA [ETAPA 03 - AREAS EXTERNAS G3 - G7]XVI19</v>
      </c>
      <c r="B38" s="467" t="s">
        <v>36</v>
      </c>
      <c r="C38" s="377" t="s">
        <v>522</v>
      </c>
      <c r="D38" s="468">
        <v>19</v>
      </c>
      <c r="E38" s="74" t="s">
        <v>248</v>
      </c>
      <c r="F38" s="74" t="str">
        <f t="shared" si="7"/>
        <v>INADIMPLENTE</v>
      </c>
      <c r="G38" s="512">
        <v>25</v>
      </c>
      <c r="H38" s="513" t="s">
        <v>765</v>
      </c>
      <c r="I38" s="69">
        <v>44656.31</v>
      </c>
      <c r="J38" s="469">
        <f>IFERROR(VLOOKUP(CONCATENATE($B38,$C38,$D38,),Recebíveis!$A$5:$L$527,11,0),"Não bate")</f>
        <v>114314.53</v>
      </c>
      <c r="K38" s="226">
        <f t="shared" ref="K38:K39" si="19">I38/J38</f>
        <v>0.39064421644387637</v>
      </c>
      <c r="L38" s="226" t="s">
        <v>1133</v>
      </c>
      <c r="M38" s="326" t="str">
        <f t="shared" ref="M38:M39" si="20">CONCATENATE(B38,H38)</f>
        <v>LONDRINA [ETAPA 03 - AREAS EXTERNAS G3 - G7]IV</v>
      </c>
      <c r="U38" s="293" t="s">
        <v>755</v>
      </c>
      <c r="V38" s="222">
        <f>SUMIF($M$6:$M$137,"LONDRINA [ETAPA 01 - CONDOMINIO ARAÇARI]III",$I$6:$I$137)</f>
        <v>0</v>
      </c>
      <c r="W38" s="222">
        <f>SUMIF($M$6:$M$137,"LONDRINA [ETAPA 01 - AREAS EXTERNAS G1 - G5]III",$I$6:$I$137)</f>
        <v>0</v>
      </c>
      <c r="X38" s="222">
        <f>SUMIF($M$6:$M$137,"LONDRINA [ETAPA 02 - CONDOMINIO TANGARA]III",$I$6:$I$137)</f>
        <v>0</v>
      </c>
      <c r="Y38" s="222">
        <f>SUMIF($M$6:$M$137,"LONDRINA [ETAPA 02 - AREAS EXTERNAS G2 - G6]III",$I$6:$I$137)</f>
        <v>6495.93</v>
      </c>
      <c r="Z38" s="222">
        <f>SUMIF($M$6:$M$137,"LONDRINA [ETAPA 03 - CONDOMINIO ARANGUA]III",$I$6:$I$137)</f>
        <v>45166.030000000006</v>
      </c>
      <c r="AA38" s="222">
        <f>SUMIF($M$6:$M$137,"LONDRINA [ETAPA 03 - AREAS EXTERNAS G3 - G7]III",$I$6:$I$137)</f>
        <v>0</v>
      </c>
      <c r="AB38" s="222">
        <f>SUMIF($M$6:$M$137,"LONDRINA [ETAPA 04 - CONDOMINIO ARAGUARI]III",$I$6:$I$137)</f>
        <v>0</v>
      </c>
      <c r="AC38" s="222">
        <f>SUMIF($M$6:$M$137,"LONDRINA [ETAPA 04 - AREAS EXTERNAS G4 - G8]III",$I$6:$I$137)</f>
        <v>0</v>
      </c>
      <c r="AD38" s="300">
        <f t="shared" si="17"/>
        <v>51661.960000000006</v>
      </c>
    </row>
    <row r="39" spans="1:30" s="292" customFormat="1" ht="15" customHeight="1">
      <c r="A39" s="326" t="str">
        <f t="shared" si="18"/>
        <v>LONDRINA [ETAPA 02 - AREAS EXTERNAS G2 - G6]XV11</v>
      </c>
      <c r="B39" s="470" t="s">
        <v>38</v>
      </c>
      <c r="C39" s="377" t="s">
        <v>511</v>
      </c>
      <c r="D39" s="468">
        <v>11</v>
      </c>
      <c r="E39" s="74" t="s">
        <v>272</v>
      </c>
      <c r="F39" s="74" t="str">
        <f t="shared" si="7"/>
        <v>INADIMPLENTE</v>
      </c>
      <c r="G39" s="512">
        <v>25</v>
      </c>
      <c r="H39" s="513" t="s">
        <v>765</v>
      </c>
      <c r="I39" s="69">
        <v>37156.639999999999</v>
      </c>
      <c r="J39" s="469">
        <f>IFERROR(VLOOKUP(CONCATENATE($B39,$C39,$D39,),Recebíveis!$A$5:$L$527,11,0),"Não bate")</f>
        <v>99837.39</v>
      </c>
      <c r="K39" s="226">
        <f t="shared" si="19"/>
        <v>0.37217158821960389</v>
      </c>
      <c r="L39" s="226" t="s">
        <v>1159</v>
      </c>
      <c r="M39" s="326" t="str">
        <f t="shared" si="20"/>
        <v>LONDRINA [ETAPA 02 - AREAS EXTERNAS G2 - G6]IV</v>
      </c>
      <c r="U39" s="295" t="s">
        <v>1104</v>
      </c>
      <c r="V39" s="222">
        <f>SUMIF($M$6:$M$137,"LONDRINA [ETAPA 01 - CONDOMINIO ARAÇARI]IV",$I$6:$I$137)</f>
        <v>718286.3</v>
      </c>
      <c r="W39" s="222">
        <f>SUMIF($M$6:$M$137,"LONDRINA [ETAPA 01 - AREAS EXTERNAS G1 - G5]IV",$I$6:$I$137)</f>
        <v>77207.88</v>
      </c>
      <c r="X39" s="222">
        <f>SUMIF($M$6:$M$137,"LONDRINA [ETAPA 02 - CONDOMINIO TANGARA]IV",$I$6:$I$137)</f>
        <v>751666.41000000015</v>
      </c>
      <c r="Y39" s="222">
        <f>SUMIF($M$6:$M$137,"LONDRINA [ETAPA 02 - AREAS EXTERNAS G2 - G6]IV",$I$6:$I$137)</f>
        <v>885737.21999999986</v>
      </c>
      <c r="Z39" s="222">
        <f>SUMIF($M$6:$M$137,"LONDRINA [ETAPA 03 - CONDOMINIO ARANGUA]IV",$I$6:$I$137)</f>
        <v>1560504.9900000002</v>
      </c>
      <c r="AA39" s="222">
        <f>SUMIF($M$6:$M$137,"LONDRINA [ETAPA 03 - AREAS EXTERNAS G3 - G7]IV",$I$6:$I$137)</f>
        <v>668608.49</v>
      </c>
      <c r="AB39" s="222">
        <f>SUMIF($M$6:$M$137,"LONDRINA [ETAPA 04 - CONDOMINIO ARAGUARI]IV",$I$6:$I$137)</f>
        <v>10072.74</v>
      </c>
      <c r="AC39" s="222">
        <f>SUMIF($M$6:$M$137,"LONDRINA [ETAPA 04 - AREAS EXTERNAS G4 - G8]IV",$I$6:$I$137)</f>
        <v>2897.44</v>
      </c>
      <c r="AD39" s="300">
        <f>SUM(V39:AC39)</f>
        <v>4674981.4700000007</v>
      </c>
    </row>
    <row r="40" spans="1:30" s="292" customFormat="1" ht="15" customHeight="1">
      <c r="A40" s="326" t="str">
        <f t="shared" ref="A40:A57" si="21">CONCATENATE(B40,C40,D40)</f>
        <v>LONDRINA [ETAPA 01 - AREAS EXTERNAS G1 - G5]VII18</v>
      </c>
      <c r="B40" s="467" t="s">
        <v>37</v>
      </c>
      <c r="C40" s="377" t="s">
        <v>532</v>
      </c>
      <c r="D40" s="468">
        <v>18</v>
      </c>
      <c r="E40" s="74" t="s">
        <v>458</v>
      </c>
      <c r="F40" s="74" t="str">
        <f t="shared" si="7"/>
        <v>INADIMPLENTE</v>
      </c>
      <c r="G40" s="512">
        <v>24</v>
      </c>
      <c r="H40" s="513" t="s">
        <v>765</v>
      </c>
      <c r="I40" s="69">
        <v>38603.94</v>
      </c>
      <c r="J40" s="469">
        <f>IFERROR(VLOOKUP(CONCATENATE($B40,$C40,$D40,),Recebíveis!$A$5:$L$527,11,0),"Não bate")</f>
        <v>119260.23</v>
      </c>
      <c r="K40" s="226">
        <f t="shared" ref="K40:K57" si="22">I40/J40</f>
        <v>0.32369499874350405</v>
      </c>
      <c r="L40" s="226" t="s">
        <v>835</v>
      </c>
      <c r="M40" s="326" t="str">
        <f t="shared" ref="M40:M57" si="23">CONCATENATE(B40,H40)</f>
        <v>LONDRINA [ETAPA 01 - AREAS EXTERNAS G1 - G5]IV</v>
      </c>
      <c r="U40" s="302" t="s">
        <v>916</v>
      </c>
      <c r="V40" s="302">
        <f>SUM(V36:V39)</f>
        <v>725939.35000000009</v>
      </c>
      <c r="W40" s="302">
        <f>SUM(W36:W39)</f>
        <v>80225.740000000005</v>
      </c>
      <c r="X40" s="302">
        <f t="shared" ref="X40:Y40" si="24">SUM(X36:X39)</f>
        <v>758093.24000000011</v>
      </c>
      <c r="Y40" s="302">
        <f t="shared" si="24"/>
        <v>896732.05999999982</v>
      </c>
      <c r="Z40" s="302">
        <f t="shared" ref="Z40" si="25">SUM(Z36:Z39)</f>
        <v>1650109.1100000003</v>
      </c>
      <c r="AA40" s="302">
        <f t="shared" ref="AA40" si="26">SUM(AA36:AA39)</f>
        <v>673660.71</v>
      </c>
      <c r="AB40" s="302">
        <f t="shared" ref="AB40" si="27">SUM(AB36:AB39)</f>
        <v>178967.59</v>
      </c>
      <c r="AC40" s="302">
        <f t="shared" ref="AC40" si="28">SUM(AC36:AC39)</f>
        <v>17697.620000000003</v>
      </c>
      <c r="AD40" s="302">
        <f>SUM(AD36:AD39)</f>
        <v>4981425.4200000009</v>
      </c>
    </row>
    <row r="41" spans="1:30" s="292" customFormat="1" ht="15" customHeight="1">
      <c r="A41" s="326" t="str">
        <f t="shared" si="21"/>
        <v>LONDRINA [ETAPA 01 - AREAS EXTERNAS G1 - G5]VII19</v>
      </c>
      <c r="B41" s="467" t="s">
        <v>37</v>
      </c>
      <c r="C41" s="377" t="s">
        <v>532</v>
      </c>
      <c r="D41" s="468">
        <v>19</v>
      </c>
      <c r="E41" s="74" t="s">
        <v>458</v>
      </c>
      <c r="F41" s="74" t="str">
        <f t="shared" si="7"/>
        <v>INADIMPLENTE</v>
      </c>
      <c r="G41" s="512">
        <v>24</v>
      </c>
      <c r="H41" s="513" t="s">
        <v>765</v>
      </c>
      <c r="I41" s="69">
        <v>38603.94</v>
      </c>
      <c r="J41" s="469">
        <f>IFERROR(VLOOKUP(CONCATENATE($B41,$C41,$D41,),Recebíveis!$A$5:$L$527,11,0),"Não bate")</f>
        <v>119260.23</v>
      </c>
      <c r="K41" s="226">
        <f t="shared" si="22"/>
        <v>0.32369499874350405</v>
      </c>
      <c r="L41" s="226" t="s">
        <v>835</v>
      </c>
      <c r="M41" s="326" t="str">
        <f t="shared" si="23"/>
        <v>LONDRINA [ETAPA 01 - AREAS EXTERNAS G1 - G5]IV</v>
      </c>
      <c r="W41" s="300"/>
      <c r="AC41" s="300"/>
    </row>
    <row r="42" spans="1:30" s="292" customFormat="1" ht="15" customHeight="1">
      <c r="A42" s="326" t="str">
        <f t="shared" si="21"/>
        <v>LONDRINA [ETAPA 01 - CONDOMINIO ARAÇARI]XXV2</v>
      </c>
      <c r="B42" s="467" t="s">
        <v>34</v>
      </c>
      <c r="C42" s="377" t="s">
        <v>509</v>
      </c>
      <c r="D42" s="468">
        <v>2</v>
      </c>
      <c r="E42" s="74" t="s">
        <v>399</v>
      </c>
      <c r="F42" s="74" t="str">
        <f t="shared" si="7"/>
        <v>INADIMPLENTE</v>
      </c>
      <c r="G42" s="512">
        <v>23</v>
      </c>
      <c r="H42" s="513" t="s">
        <v>765</v>
      </c>
      <c r="I42" s="69">
        <v>40568.870000000003</v>
      </c>
      <c r="J42" s="469">
        <f>IFERROR(VLOOKUP(CONCATENATE($B42,$C42,$D42,),Recebíveis!$A$5:$L$527,11,0),"Não bate")</f>
        <v>134730.51999999999</v>
      </c>
      <c r="K42" s="226">
        <f t="shared" si="22"/>
        <v>0.30111121073384117</v>
      </c>
      <c r="L42" s="226" t="s">
        <v>835</v>
      </c>
      <c r="M42" s="326" t="str">
        <f t="shared" si="23"/>
        <v>LONDRINA [ETAPA 01 - CONDOMINIO ARAÇARI]IV</v>
      </c>
      <c r="U42" s="375" t="s">
        <v>31</v>
      </c>
      <c r="V42" s="375" t="s">
        <v>890</v>
      </c>
      <c r="W42" s="375" t="s">
        <v>892</v>
      </c>
      <c r="X42" s="375" t="s">
        <v>894</v>
      </c>
      <c r="Y42" s="375" t="s">
        <v>896</v>
      </c>
      <c r="Z42" s="375" t="s">
        <v>1230</v>
      </c>
      <c r="AA42" s="372" t="s">
        <v>1229</v>
      </c>
    </row>
    <row r="43" spans="1:30" s="292" customFormat="1" ht="15" customHeight="1">
      <c r="A43" s="326" t="str">
        <f t="shared" si="21"/>
        <v>LONDRINA [ETAPA 03 - CONDOMINIO ARANGUA]XXXVII11</v>
      </c>
      <c r="B43" s="467" t="s">
        <v>33</v>
      </c>
      <c r="C43" s="377" t="s">
        <v>530</v>
      </c>
      <c r="D43" s="468">
        <v>11</v>
      </c>
      <c r="E43" s="74" t="s">
        <v>407</v>
      </c>
      <c r="F43" s="74" t="str">
        <f t="shared" si="7"/>
        <v>INADIMPLENTE</v>
      </c>
      <c r="G43" s="512">
        <v>23</v>
      </c>
      <c r="H43" s="513" t="s">
        <v>765</v>
      </c>
      <c r="I43" s="69">
        <v>50446.13</v>
      </c>
      <c r="J43" s="469">
        <f>IFERROR(VLOOKUP(CONCATENATE($B43,$C43,$D43,),Recebíveis!$A$5:$L$527,11,0),"Não bate")</f>
        <v>188981.89</v>
      </c>
      <c r="K43" s="226">
        <f t="shared" si="22"/>
        <v>0.26693631860703687</v>
      </c>
      <c r="L43" s="226" t="s">
        <v>1157</v>
      </c>
      <c r="M43" s="326" t="str">
        <f t="shared" si="23"/>
        <v>LONDRINA [ETAPA 03 - CONDOMINIO ARANGUA]IV</v>
      </c>
      <c r="U43" s="376" t="s">
        <v>753</v>
      </c>
      <c r="V43" s="374">
        <f>SUM(V36:W36)</f>
        <v>7653.0499999999993</v>
      </c>
      <c r="W43" s="374">
        <f>SUM(X36:Y36)</f>
        <v>10925.74</v>
      </c>
      <c r="X43" s="374">
        <f>SUM(Z36:AA36)</f>
        <v>34731.770000000004</v>
      </c>
      <c r="Y43" s="374">
        <f>SUM(AB36:AC36)</f>
        <v>179918.06</v>
      </c>
      <c r="Z43" s="374">
        <f>SUM(V43:Y43)</f>
        <v>233228.62</v>
      </c>
      <c r="AA43" s="373">
        <f>AD6</f>
        <v>3650503.82</v>
      </c>
    </row>
    <row r="44" spans="1:30" s="292" customFormat="1" ht="15" customHeight="1">
      <c r="A44" s="326" t="str">
        <f t="shared" si="21"/>
        <v>LONDRINA [ETAPA 03 - CONDOMINIO ARANGUA]XXXVII20</v>
      </c>
      <c r="B44" s="467" t="s">
        <v>33</v>
      </c>
      <c r="C44" s="377" t="s">
        <v>530</v>
      </c>
      <c r="D44" s="468">
        <v>20</v>
      </c>
      <c r="E44" s="74" t="s">
        <v>223</v>
      </c>
      <c r="F44" s="74" t="str">
        <f t="shared" si="7"/>
        <v>INADIMPLENTE</v>
      </c>
      <c r="G44" s="512">
        <v>23</v>
      </c>
      <c r="H44" s="513" t="s">
        <v>765</v>
      </c>
      <c r="I44" s="69">
        <v>59187.62</v>
      </c>
      <c r="J44" s="469">
        <f>IFERROR(VLOOKUP(CONCATENATE($B44,$C44,$D44,),Recebíveis!$A$5:$L$527,11,0),"Não bate")</f>
        <v>138569.06</v>
      </c>
      <c r="K44" s="226">
        <f t="shared" si="22"/>
        <v>0.4271344555559517</v>
      </c>
      <c r="L44" s="226" t="s">
        <v>1159</v>
      </c>
      <c r="M44" s="326" t="str">
        <f t="shared" si="23"/>
        <v>LONDRINA [ETAPA 03 - CONDOMINIO ARANGUA]IV</v>
      </c>
      <c r="U44" s="376" t="s">
        <v>754</v>
      </c>
      <c r="V44" s="374">
        <f>SUM(V37:W37)</f>
        <v>3017.86</v>
      </c>
      <c r="W44" s="374">
        <f>SUM(X37:Y37)</f>
        <v>0</v>
      </c>
      <c r="X44" s="374">
        <f>SUM(Z37:AA37)</f>
        <v>14758.54</v>
      </c>
      <c r="Y44" s="374">
        <f>SUM(AB37:AC37)</f>
        <v>3776.97</v>
      </c>
      <c r="Z44" s="374">
        <f>SUM(V44:Y44)</f>
        <v>21553.370000000003</v>
      </c>
      <c r="AA44" s="373">
        <f>AD7</f>
        <v>811538.58000000007</v>
      </c>
    </row>
    <row r="45" spans="1:30" s="292" customFormat="1" ht="15" customHeight="1">
      <c r="A45" s="326" t="str">
        <f t="shared" si="21"/>
        <v>LONDRINA [ETAPA 03 - CONDOMINIO ARANGUA]XXXVIII14</v>
      </c>
      <c r="B45" s="467" t="s">
        <v>33</v>
      </c>
      <c r="C45" s="377" t="s">
        <v>531</v>
      </c>
      <c r="D45" s="468">
        <v>14</v>
      </c>
      <c r="E45" s="74" t="s">
        <v>98</v>
      </c>
      <c r="F45" s="74" t="str">
        <f t="shared" si="7"/>
        <v>INADIMPLENTE</v>
      </c>
      <c r="G45" s="512">
        <v>22</v>
      </c>
      <c r="H45" s="513" t="s">
        <v>765</v>
      </c>
      <c r="I45" s="69">
        <v>44428.54</v>
      </c>
      <c r="J45" s="469">
        <f>IFERROR(VLOOKUP(CONCATENATE($B45,$C45,$D45,),Recebíveis!$A$5:$L$527,11,0),"Não bate")</f>
        <v>172350.05000000002</v>
      </c>
      <c r="K45" s="226">
        <f t="shared" si="22"/>
        <v>0.25778083615293407</v>
      </c>
      <c r="L45" s="226" t="s">
        <v>835</v>
      </c>
      <c r="M45" s="326" t="str">
        <f t="shared" si="23"/>
        <v>LONDRINA [ETAPA 03 - CONDOMINIO ARANGUA]IV</v>
      </c>
      <c r="U45" s="376" t="s">
        <v>755</v>
      </c>
      <c r="V45" s="374">
        <f>SUM(V38:W38)</f>
        <v>0</v>
      </c>
      <c r="W45" s="374">
        <f>SUM(X38:Y38)</f>
        <v>6495.93</v>
      </c>
      <c r="X45" s="374">
        <f>SUM(Z38:AA38)</f>
        <v>45166.030000000006</v>
      </c>
      <c r="Y45" s="374">
        <f>SUM(AB38:AC38)</f>
        <v>0</v>
      </c>
      <c r="Z45" s="374">
        <f>SUM(V45:Y45)</f>
        <v>51661.960000000006</v>
      </c>
      <c r="AA45" s="373">
        <f>AD8</f>
        <v>432329.18</v>
      </c>
    </row>
    <row r="46" spans="1:30" s="292" customFormat="1" ht="15" customHeight="1">
      <c r="A46" s="326" t="str">
        <f t="shared" si="21"/>
        <v>LONDRINA [ETAPA 02 - AREAS EXTERNAS G2 - G6]XVIII3</v>
      </c>
      <c r="B46" s="467" t="s">
        <v>38</v>
      </c>
      <c r="C46" s="377" t="s">
        <v>512</v>
      </c>
      <c r="D46" s="468">
        <v>3</v>
      </c>
      <c r="E46" s="74" t="s">
        <v>444</v>
      </c>
      <c r="F46" s="74" t="str">
        <f t="shared" si="7"/>
        <v>INADIMPLENTE</v>
      </c>
      <c r="G46" s="512">
        <v>21</v>
      </c>
      <c r="H46" s="513" t="s">
        <v>765</v>
      </c>
      <c r="I46" s="69">
        <v>29358.92</v>
      </c>
      <c r="J46" s="469">
        <f>IFERROR(VLOOKUP(CONCATENATE($B46,$C46,$D46,),Recebíveis!$A$5:$L$527,11,0),"Não bate")</f>
        <v>57078.340000000004</v>
      </c>
      <c r="K46" s="226">
        <f t="shared" si="22"/>
        <v>0.51436184023571807</v>
      </c>
      <c r="L46" s="226" t="s">
        <v>1160</v>
      </c>
      <c r="M46" s="326" t="str">
        <f t="shared" si="23"/>
        <v>LONDRINA [ETAPA 02 - AREAS EXTERNAS G2 - G6]IV</v>
      </c>
      <c r="U46" s="376" t="s">
        <v>1104</v>
      </c>
      <c r="V46" s="374">
        <f>SUM(V39:W39)</f>
        <v>795494.18</v>
      </c>
      <c r="W46" s="374">
        <f>SUM(X39:Y39)</f>
        <v>1637403.63</v>
      </c>
      <c r="X46" s="374">
        <f>SUM(Z39:AA39)</f>
        <v>2229113.4800000004</v>
      </c>
      <c r="Y46" s="374">
        <f>SUM(AB39:AC39)</f>
        <v>12970.18</v>
      </c>
      <c r="Z46" s="374">
        <f>SUM(V46:Y46)</f>
        <v>4674981.4700000007</v>
      </c>
      <c r="AA46" s="373">
        <f>AD9</f>
        <v>12331713.870000001</v>
      </c>
    </row>
    <row r="47" spans="1:30" s="292" customFormat="1" ht="15" customHeight="1">
      <c r="A47" s="326" t="str">
        <f t="shared" si="21"/>
        <v>LONDRINA [ETAPA 03 - CONDOMINIO ARANGUA]XXXV20</v>
      </c>
      <c r="B47" s="467" t="s">
        <v>33</v>
      </c>
      <c r="C47" s="377" t="s">
        <v>528</v>
      </c>
      <c r="D47" s="468">
        <v>20</v>
      </c>
      <c r="E47" s="74" t="s">
        <v>229</v>
      </c>
      <c r="F47" s="74" t="str">
        <f t="shared" si="7"/>
        <v>INADIMPLENTE</v>
      </c>
      <c r="G47" s="512">
        <v>20</v>
      </c>
      <c r="H47" s="513" t="s">
        <v>765</v>
      </c>
      <c r="I47" s="69">
        <v>36864.050000000003</v>
      </c>
      <c r="J47" s="469">
        <f>IFERROR(VLOOKUP(CONCATENATE($B47,$C47,$D47,),Recebíveis!$A$5:$L$527,11,0),"Não bate")</f>
        <v>171152.68</v>
      </c>
      <c r="K47" s="226">
        <f t="shared" si="22"/>
        <v>0.21538692820936256</v>
      </c>
      <c r="L47" s="226" t="s">
        <v>1161</v>
      </c>
      <c r="M47" s="326" t="str">
        <f t="shared" si="23"/>
        <v>LONDRINA [ETAPA 03 - CONDOMINIO ARANGUA]IV</v>
      </c>
      <c r="U47" s="302" t="s">
        <v>916</v>
      </c>
      <c r="V47" s="374">
        <f t="shared" ref="V47:AA47" si="29">SUM(V43:V46)</f>
        <v>806165.09000000008</v>
      </c>
      <c r="W47" s="374">
        <f t="shared" si="29"/>
        <v>1654825.2999999998</v>
      </c>
      <c r="X47" s="374">
        <f t="shared" si="29"/>
        <v>2323769.8200000003</v>
      </c>
      <c r="Y47" s="374">
        <f t="shared" si="29"/>
        <v>196665.21</v>
      </c>
      <c r="Z47" s="374">
        <f t="shared" si="29"/>
        <v>4981425.4200000009</v>
      </c>
      <c r="AA47" s="374">
        <f t="shared" si="29"/>
        <v>17226085.450000003</v>
      </c>
    </row>
    <row r="48" spans="1:30" s="292" customFormat="1" ht="15" customHeight="1">
      <c r="A48" s="326" t="str">
        <f t="shared" si="21"/>
        <v>LONDRINA [ETAPA 03 - CONDOMINIO ARANGUA]XXXV24</v>
      </c>
      <c r="B48" s="467" t="s">
        <v>33</v>
      </c>
      <c r="C48" s="377" t="s">
        <v>528</v>
      </c>
      <c r="D48" s="468">
        <v>24</v>
      </c>
      <c r="E48" s="74" t="s">
        <v>1037</v>
      </c>
      <c r="F48" s="74" t="str">
        <f t="shared" si="7"/>
        <v>INADIMPLENTE</v>
      </c>
      <c r="G48" s="512">
        <v>18</v>
      </c>
      <c r="H48" s="513" t="s">
        <v>765</v>
      </c>
      <c r="I48" s="69">
        <v>27672.87</v>
      </c>
      <c r="J48" s="469">
        <f>IFERROR(VLOOKUP(CONCATENATE($B48,$C48,$D48,),Recebíveis!$A$5:$L$527,11,0),"Não bate")</f>
        <v>164598.1</v>
      </c>
      <c r="K48" s="226">
        <f t="shared" si="22"/>
        <v>0.16812387263279466</v>
      </c>
      <c r="L48" s="226" t="s">
        <v>1159</v>
      </c>
      <c r="M48" s="326" t="str">
        <f t="shared" si="23"/>
        <v>LONDRINA [ETAPA 03 - CONDOMINIO ARANGUA]IV</v>
      </c>
    </row>
    <row r="49" spans="1:13" s="292" customFormat="1" ht="15" customHeight="1">
      <c r="A49" s="326" t="str">
        <f t="shared" si="21"/>
        <v>LONDRINA [ETAPA 03 - CONDOMINIO ARANGUA]XLI12</v>
      </c>
      <c r="B49" s="467" t="s">
        <v>33</v>
      </c>
      <c r="C49" s="377" t="s">
        <v>524</v>
      </c>
      <c r="D49" s="468">
        <v>12</v>
      </c>
      <c r="E49" s="74" t="s">
        <v>1061</v>
      </c>
      <c r="F49" s="74" t="str">
        <f t="shared" si="7"/>
        <v>INADIMPLENTE</v>
      </c>
      <c r="G49" s="512">
        <v>15</v>
      </c>
      <c r="H49" s="513" t="s">
        <v>765</v>
      </c>
      <c r="I49" s="69">
        <v>24804.77</v>
      </c>
      <c r="J49" s="469">
        <f>IFERROR(VLOOKUP(CONCATENATE($B49,$C49,$D49,),Recebíveis!$A$5:$L$527,11,0),"Não bate")</f>
        <v>147726.12</v>
      </c>
      <c r="K49" s="226">
        <f t="shared" si="22"/>
        <v>0.16791052252641578</v>
      </c>
      <c r="L49" s="226" t="s">
        <v>1361</v>
      </c>
      <c r="M49" s="326" t="str">
        <f t="shared" si="23"/>
        <v>LONDRINA [ETAPA 03 - CONDOMINIO ARANGUA]IV</v>
      </c>
    </row>
    <row r="50" spans="1:13" s="292" customFormat="1" ht="15" customHeight="1">
      <c r="A50" s="326" t="str">
        <f t="shared" si="21"/>
        <v>LONDRINA [ETAPA 03 - CONDOMINIO ARANGUA]XLI13</v>
      </c>
      <c r="B50" s="467" t="s">
        <v>33</v>
      </c>
      <c r="C50" s="377" t="s">
        <v>524</v>
      </c>
      <c r="D50" s="468">
        <v>13</v>
      </c>
      <c r="E50" s="74" t="s">
        <v>1061</v>
      </c>
      <c r="F50" s="74" t="str">
        <f t="shared" si="7"/>
        <v>INADIMPLENTE</v>
      </c>
      <c r="G50" s="512">
        <v>15</v>
      </c>
      <c r="H50" s="513" t="s">
        <v>765</v>
      </c>
      <c r="I50" s="69">
        <v>24804.77</v>
      </c>
      <c r="J50" s="469">
        <f>IFERROR(VLOOKUP(CONCATENATE($B50,$C50,$D50,),Recebíveis!$A$5:$L$527,11,0),"Não bate")</f>
        <v>147726.12</v>
      </c>
      <c r="K50" s="226">
        <f t="shared" si="22"/>
        <v>0.16791052252641578</v>
      </c>
      <c r="L50" s="226" t="s">
        <v>1361</v>
      </c>
      <c r="M50" s="326" t="str">
        <f t="shared" si="23"/>
        <v>LONDRINA [ETAPA 03 - CONDOMINIO ARANGUA]IV</v>
      </c>
    </row>
    <row r="51" spans="1:13" s="292" customFormat="1" ht="15" customHeight="1">
      <c r="A51" s="326" t="str">
        <f t="shared" si="21"/>
        <v>LONDRINA [ETAPA 02 - CONDOMINIO TANGARA]XXX20</v>
      </c>
      <c r="B51" s="467" t="s">
        <v>35</v>
      </c>
      <c r="C51" s="377" t="s">
        <v>517</v>
      </c>
      <c r="D51" s="468">
        <v>20</v>
      </c>
      <c r="E51" s="74" t="s">
        <v>434</v>
      </c>
      <c r="F51" s="74" t="str">
        <f t="shared" si="7"/>
        <v>INADIMPLENTE</v>
      </c>
      <c r="G51" s="512">
        <v>11</v>
      </c>
      <c r="H51" s="513" t="s">
        <v>765</v>
      </c>
      <c r="I51" s="69">
        <v>28326.42</v>
      </c>
      <c r="J51" s="469">
        <f>IFERROR(VLOOKUP(CONCATENATE($B51,$C51,$D51,),Recebíveis!$A$5:$L$527,11,0),"Não bate")</f>
        <v>137345.29</v>
      </c>
      <c r="K51" s="226">
        <f t="shared" si="22"/>
        <v>0.20624238370314699</v>
      </c>
      <c r="L51" s="226" t="s">
        <v>1007</v>
      </c>
      <c r="M51" s="326" t="str">
        <f t="shared" si="23"/>
        <v>LONDRINA [ETAPA 02 - CONDOMINIO TANGARA]IV</v>
      </c>
    </row>
    <row r="52" spans="1:13" s="292" customFormat="1" ht="15" customHeight="1">
      <c r="A52" s="326" t="str">
        <f t="shared" si="21"/>
        <v>LONDRINA [ETAPA 03 - AREAS EXTERNAS G3 - G7]IX27</v>
      </c>
      <c r="B52" s="467" t="s">
        <v>36</v>
      </c>
      <c r="C52" s="377" t="s">
        <v>534</v>
      </c>
      <c r="D52" s="468">
        <v>27</v>
      </c>
      <c r="E52" s="74" t="s">
        <v>1035</v>
      </c>
      <c r="F52" s="74" t="str">
        <f t="shared" si="7"/>
        <v>INADIMPLENTE</v>
      </c>
      <c r="G52" s="512">
        <v>14</v>
      </c>
      <c r="H52" s="513" t="s">
        <v>765</v>
      </c>
      <c r="I52" s="69">
        <v>25725.67</v>
      </c>
      <c r="J52" s="469">
        <f>IFERROR(VLOOKUP(CONCATENATE($B52,$C52,$D52,),Recebíveis!$A$5:$L$527,11,0),"Não bate")</f>
        <v>157598.96</v>
      </c>
      <c r="K52" s="226">
        <f t="shared" si="22"/>
        <v>0.16323502388594444</v>
      </c>
      <c r="L52" s="226" t="s">
        <v>835</v>
      </c>
      <c r="M52" s="326" t="str">
        <f t="shared" si="23"/>
        <v>LONDRINA [ETAPA 03 - AREAS EXTERNAS G3 - G7]IV</v>
      </c>
    </row>
    <row r="53" spans="1:13" s="292" customFormat="1" ht="15" customHeight="1">
      <c r="A53" s="326" t="str">
        <f t="shared" si="21"/>
        <v>LONDRINA [ETAPA 03 - CONDOMINIO ARANGUA]XL7</v>
      </c>
      <c r="B53" s="467" t="s">
        <v>33</v>
      </c>
      <c r="C53" s="377" t="s">
        <v>523</v>
      </c>
      <c r="D53" s="468">
        <v>7</v>
      </c>
      <c r="E53" s="74" t="s">
        <v>430</v>
      </c>
      <c r="F53" s="74" t="str">
        <f t="shared" si="7"/>
        <v>INADIMPLENTE</v>
      </c>
      <c r="G53" s="512">
        <v>14</v>
      </c>
      <c r="H53" s="513" t="s">
        <v>765</v>
      </c>
      <c r="I53" s="69">
        <v>31537.48</v>
      </c>
      <c r="J53" s="469">
        <f>IFERROR(VLOOKUP(CONCATENATE($B53,$C53,$D53,),Recebíveis!$A$5:$L$527,11,0),"Não bate")</f>
        <v>189708.36000000002</v>
      </c>
      <c r="K53" s="226">
        <f t="shared" si="22"/>
        <v>0.16624190942349612</v>
      </c>
      <c r="L53" s="226" t="s">
        <v>835</v>
      </c>
      <c r="M53" s="326" t="str">
        <f t="shared" si="23"/>
        <v>LONDRINA [ETAPA 03 - CONDOMINIO ARANGUA]IV</v>
      </c>
    </row>
    <row r="54" spans="1:13" s="292" customFormat="1" ht="15" customHeight="1">
      <c r="A54" s="326" t="str">
        <f t="shared" si="21"/>
        <v>LONDRINA [ETAPA 03 - AREAS EXTERNAS G3 - G7]IX25</v>
      </c>
      <c r="B54" s="467" t="s">
        <v>36</v>
      </c>
      <c r="C54" s="377" t="s">
        <v>534</v>
      </c>
      <c r="D54" s="468">
        <v>25</v>
      </c>
      <c r="E54" s="74" t="s">
        <v>430</v>
      </c>
      <c r="F54" s="74" t="str">
        <f t="shared" si="7"/>
        <v>INADIMPLENTE</v>
      </c>
      <c r="G54" s="512">
        <v>14</v>
      </c>
      <c r="H54" s="513" t="s">
        <v>765</v>
      </c>
      <c r="I54" s="69">
        <v>24794.43</v>
      </c>
      <c r="J54" s="469">
        <f>IFERROR(VLOOKUP(CONCATENATE($B54,$C54,$D54,),Recebíveis!$A$5:$L$527,11,0),"Não bate")</f>
        <v>149578.11000000002</v>
      </c>
      <c r="K54" s="226">
        <f t="shared" si="22"/>
        <v>0.16576242339203243</v>
      </c>
      <c r="L54" s="226" t="s">
        <v>835</v>
      </c>
      <c r="M54" s="326" t="str">
        <f t="shared" si="23"/>
        <v>LONDRINA [ETAPA 03 - AREAS EXTERNAS G3 - G7]IV</v>
      </c>
    </row>
    <row r="55" spans="1:13" s="292" customFormat="1" ht="15" customHeight="1">
      <c r="A55" s="326" t="str">
        <f t="shared" si="21"/>
        <v>LONDRINA [ETAPA 03 - AREAS EXTERNAS G3 - G7]IX26</v>
      </c>
      <c r="B55" s="467" t="s">
        <v>36</v>
      </c>
      <c r="C55" s="377" t="s">
        <v>534</v>
      </c>
      <c r="D55" s="468">
        <v>26</v>
      </c>
      <c r="E55" s="74" t="s">
        <v>430</v>
      </c>
      <c r="F55" s="74" t="str">
        <f t="shared" si="7"/>
        <v>INADIMPLENTE</v>
      </c>
      <c r="G55" s="512">
        <v>14</v>
      </c>
      <c r="H55" s="513" t="s">
        <v>765</v>
      </c>
      <c r="I55" s="69">
        <v>25673.81</v>
      </c>
      <c r="J55" s="469">
        <f>IFERROR(VLOOKUP(CONCATENATE($B55,$C55,$D55,),Recebíveis!$A$5:$L$527,11,0),"Não bate")</f>
        <v>154040.79</v>
      </c>
      <c r="K55" s="226">
        <f t="shared" si="22"/>
        <v>0.16666890633318615</v>
      </c>
      <c r="L55" s="226" t="s">
        <v>835</v>
      </c>
      <c r="M55" s="326" t="str">
        <f t="shared" si="23"/>
        <v>LONDRINA [ETAPA 03 - AREAS EXTERNAS G3 - G7]IV</v>
      </c>
    </row>
    <row r="56" spans="1:13" s="292" customFormat="1" ht="15" customHeight="1">
      <c r="A56" s="326" t="str">
        <f t="shared" si="21"/>
        <v>LONDRINA [ETAPA 03 - CONDOMINIO ARANGUA]XL28</v>
      </c>
      <c r="B56" s="467" t="s">
        <v>33</v>
      </c>
      <c r="C56" s="377" t="s">
        <v>523</v>
      </c>
      <c r="D56" s="468">
        <v>28</v>
      </c>
      <c r="E56" s="74" t="s">
        <v>1136</v>
      </c>
      <c r="F56" s="74" t="str">
        <f t="shared" si="7"/>
        <v>INADIMPLENTE</v>
      </c>
      <c r="G56" s="512">
        <v>13</v>
      </c>
      <c r="H56" s="513" t="s">
        <v>765</v>
      </c>
      <c r="I56" s="69">
        <v>13802.96</v>
      </c>
      <c r="J56" s="469">
        <f>IFERROR(VLOOKUP(CONCATENATE($B56,$C56,$D56,),Recebíveis!$A$5:$L$527,11,0),"Não bate")</f>
        <v>69239.98</v>
      </c>
      <c r="K56" s="226">
        <f t="shared" si="22"/>
        <v>0.1993495665365588</v>
      </c>
      <c r="L56" s="226" t="s">
        <v>1361</v>
      </c>
      <c r="M56" s="326" t="str">
        <f t="shared" si="23"/>
        <v>LONDRINA [ETAPA 03 - CONDOMINIO ARANGUA]IV</v>
      </c>
    </row>
    <row r="57" spans="1:13" s="292" customFormat="1" ht="15" customHeight="1">
      <c r="A57" s="326" t="str">
        <f t="shared" si="21"/>
        <v>LONDRINA [ETAPA 03 - AREAS EXTERNAS G3 - G7]XVI10</v>
      </c>
      <c r="B57" s="467" t="s">
        <v>36</v>
      </c>
      <c r="C57" s="377" t="s">
        <v>522</v>
      </c>
      <c r="D57" s="468">
        <v>10</v>
      </c>
      <c r="E57" s="74" t="s">
        <v>1130</v>
      </c>
      <c r="F57" s="74" t="str">
        <f t="shared" si="7"/>
        <v>INADIMPLENTE</v>
      </c>
      <c r="G57" s="512">
        <v>14</v>
      </c>
      <c r="H57" s="513" t="s">
        <v>765</v>
      </c>
      <c r="I57" s="69">
        <v>23976.52</v>
      </c>
      <c r="J57" s="469">
        <f>IFERROR(VLOOKUP(CONCATENATE($B57,$C57,$D57,),Recebíveis!$A$5:$L$527,11,0),"Não bate")</f>
        <v>129240.37000000001</v>
      </c>
      <c r="K57" s="226">
        <f t="shared" si="22"/>
        <v>0.18551881273629903</v>
      </c>
      <c r="L57" s="226" t="s">
        <v>835</v>
      </c>
      <c r="M57" s="326" t="str">
        <f t="shared" si="23"/>
        <v>LONDRINA [ETAPA 03 - AREAS EXTERNAS G3 - G7]IV</v>
      </c>
    </row>
    <row r="58" spans="1:13" s="292" customFormat="1" ht="15" customHeight="1">
      <c r="A58" s="326" t="str">
        <f t="shared" ref="A58:A84" si="30">CONCATENATE(B58,C58,D58)</f>
        <v>LONDRINA [ETAPA 02 - AREAS EXTERNAS G2 - G6]XV21</v>
      </c>
      <c r="B58" s="467" t="s">
        <v>38</v>
      </c>
      <c r="C58" s="377" t="s">
        <v>511</v>
      </c>
      <c r="D58" s="468">
        <v>21</v>
      </c>
      <c r="E58" s="74" t="s">
        <v>161</v>
      </c>
      <c r="F58" s="74" t="str">
        <f t="shared" si="7"/>
        <v>INADIMPLENTE</v>
      </c>
      <c r="G58" s="512">
        <v>12</v>
      </c>
      <c r="H58" s="513" t="s">
        <v>765</v>
      </c>
      <c r="I58" s="69">
        <v>17544.87</v>
      </c>
      <c r="J58" s="469">
        <f>IFERROR(VLOOKUP(CONCATENATE($B58,$C58,$D58,),Recebíveis!$A$5:$L$527,11,0),"Não bate")</f>
        <v>97844.72</v>
      </c>
      <c r="K58" s="226">
        <f t="shared" ref="K58:K78" si="31">I58/J58</f>
        <v>0.17931340597632656</v>
      </c>
      <c r="L58" s="226" t="s">
        <v>835</v>
      </c>
      <c r="M58" s="326" t="str">
        <f t="shared" ref="M58:M84" si="32">CONCATENATE(B58,H58)</f>
        <v>LONDRINA [ETAPA 02 - AREAS EXTERNAS G2 - G6]IV</v>
      </c>
    </row>
    <row r="59" spans="1:13" s="292" customFormat="1" ht="15" customHeight="1">
      <c r="A59" s="326" t="str">
        <f t="shared" si="30"/>
        <v>LONDRINA [ETAPA 02 - AREAS EXTERNAS G2 - G6]XV22</v>
      </c>
      <c r="B59" s="467" t="s">
        <v>38</v>
      </c>
      <c r="C59" s="377" t="s">
        <v>511</v>
      </c>
      <c r="D59" s="468">
        <v>22</v>
      </c>
      <c r="E59" s="74" t="s">
        <v>161</v>
      </c>
      <c r="F59" s="74" t="str">
        <f t="shared" si="7"/>
        <v>INADIMPLENTE</v>
      </c>
      <c r="G59" s="512">
        <v>12</v>
      </c>
      <c r="H59" s="513" t="s">
        <v>765</v>
      </c>
      <c r="I59" s="69">
        <v>17312.759999999998</v>
      </c>
      <c r="J59" s="469">
        <f>IFERROR(VLOOKUP(CONCATENATE($B59,$C59,$D59,),Recebíveis!$A$5:$L$527,11,0),"Não bate")</f>
        <v>96565.42</v>
      </c>
      <c r="K59" s="226">
        <f t="shared" si="31"/>
        <v>0.17928529695205592</v>
      </c>
      <c r="L59" s="226" t="s">
        <v>835</v>
      </c>
      <c r="M59" s="326" t="str">
        <f t="shared" si="32"/>
        <v>LONDRINA [ETAPA 02 - AREAS EXTERNAS G2 - G6]IV</v>
      </c>
    </row>
    <row r="60" spans="1:13" s="292" customFormat="1" ht="15" customHeight="1">
      <c r="A60" s="326" t="str">
        <f t="shared" si="30"/>
        <v>LONDRINA [ETAPA 01 - CONDOMINIO ARAÇARI]XXIII12</v>
      </c>
      <c r="B60" s="467" t="s">
        <v>34</v>
      </c>
      <c r="C60" s="377" t="s">
        <v>507</v>
      </c>
      <c r="D60" s="468">
        <v>12</v>
      </c>
      <c r="E60" s="74" t="s">
        <v>373</v>
      </c>
      <c r="F60" s="74" t="str">
        <f t="shared" ref="F60:F110" si="33">IF(H60="iv","INADIMPLENTE","ATRASO")</f>
        <v>INADIMPLENTE</v>
      </c>
      <c r="G60" s="512">
        <v>11</v>
      </c>
      <c r="H60" s="513" t="s">
        <v>765</v>
      </c>
      <c r="I60" s="69">
        <v>24340.82</v>
      </c>
      <c r="J60" s="469">
        <f>IFERROR(VLOOKUP(CONCATENATE($B60,$C60,$D60,),Recebíveis!$A$5:$L$527,11,0),"Não bate")</f>
        <v>64454.71</v>
      </c>
      <c r="K60" s="226">
        <f t="shared" si="31"/>
        <v>0.37764222350856902</v>
      </c>
      <c r="L60" s="226" t="s">
        <v>835</v>
      </c>
      <c r="M60" s="326" t="str">
        <f t="shared" si="32"/>
        <v>LONDRINA [ETAPA 01 - CONDOMINIO ARAÇARI]IV</v>
      </c>
    </row>
    <row r="61" spans="1:13" s="292" customFormat="1" ht="15" customHeight="1">
      <c r="A61" s="326" t="str">
        <f t="shared" si="30"/>
        <v>LONDRINA [ETAPA 01 - CONDOMINIO ARAÇARI]XXIII11</v>
      </c>
      <c r="B61" s="467" t="s">
        <v>34</v>
      </c>
      <c r="C61" s="377" t="s">
        <v>507</v>
      </c>
      <c r="D61" s="468">
        <v>11</v>
      </c>
      <c r="E61" s="74" t="s">
        <v>324</v>
      </c>
      <c r="F61" s="74" t="str">
        <f t="shared" si="33"/>
        <v>INADIMPLENTE</v>
      </c>
      <c r="G61" s="512">
        <v>11</v>
      </c>
      <c r="H61" s="513" t="s">
        <v>765</v>
      </c>
      <c r="I61" s="69">
        <v>23463.93</v>
      </c>
      <c r="J61" s="469">
        <f>IFERROR(VLOOKUP(CONCATENATE($B61,$C61,$D61,),Recebíveis!$A$5:$L$527,11,0),"Não bate")</f>
        <v>67519.87</v>
      </c>
      <c r="K61" s="226">
        <f t="shared" si="31"/>
        <v>0.34751148069449783</v>
      </c>
      <c r="L61" s="226" t="s">
        <v>835</v>
      </c>
      <c r="M61" s="326" t="str">
        <f t="shared" si="32"/>
        <v>LONDRINA [ETAPA 01 - CONDOMINIO ARAÇARI]IV</v>
      </c>
    </row>
    <row r="62" spans="1:13" s="292" customFormat="1" ht="15" customHeight="1">
      <c r="A62" s="326" t="str">
        <f t="shared" si="30"/>
        <v>LONDRINA [ETAPA 02 - AREAS EXTERNAS G2 - G6]XII6</v>
      </c>
      <c r="B62" s="467" t="s">
        <v>38</v>
      </c>
      <c r="C62" s="377" t="s">
        <v>510</v>
      </c>
      <c r="D62" s="468">
        <v>6</v>
      </c>
      <c r="E62" s="74" t="s">
        <v>417</v>
      </c>
      <c r="F62" s="74" t="str">
        <f t="shared" si="33"/>
        <v>INADIMPLENTE</v>
      </c>
      <c r="G62" s="512">
        <v>11</v>
      </c>
      <c r="H62" s="513" t="s">
        <v>765</v>
      </c>
      <c r="I62" s="69">
        <v>16724.47</v>
      </c>
      <c r="J62" s="469">
        <f>IFERROR(VLOOKUP(CONCATENATE($B62,$C62,$D62,),Recebíveis!$A$5:$L$527,11,0),"Não bate")</f>
        <v>101059.75</v>
      </c>
      <c r="K62" s="226">
        <f t="shared" si="31"/>
        <v>0.16549091008042274</v>
      </c>
      <c r="L62" s="226" t="s">
        <v>835</v>
      </c>
      <c r="M62" s="326" t="str">
        <f t="shared" si="32"/>
        <v>LONDRINA [ETAPA 02 - AREAS EXTERNAS G2 - G6]IV</v>
      </c>
    </row>
    <row r="63" spans="1:13" s="292" customFormat="1" ht="15" customHeight="1">
      <c r="A63" s="326" t="str">
        <f t="shared" si="30"/>
        <v>LONDRINA [ETAPA 02 - CONDOMINIO TANGARA]XXX37</v>
      </c>
      <c r="B63" s="467" t="s">
        <v>35</v>
      </c>
      <c r="C63" s="377" t="s">
        <v>517</v>
      </c>
      <c r="D63" s="468">
        <v>37</v>
      </c>
      <c r="E63" s="74" t="s">
        <v>1046</v>
      </c>
      <c r="F63" s="74" t="str">
        <f t="shared" si="33"/>
        <v>INADIMPLENTE</v>
      </c>
      <c r="G63" s="512">
        <v>6</v>
      </c>
      <c r="H63" s="513" t="s">
        <v>765</v>
      </c>
      <c r="I63" s="69">
        <v>10786.45</v>
      </c>
      <c r="J63" s="469">
        <f>IFERROR(VLOOKUP(CONCATENATE($B63,$C63,$D63,),Recebíveis!$A$5:$L$527,11,0),"Não bate")</f>
        <v>152517.54</v>
      </c>
      <c r="K63" s="226">
        <f t="shared" si="31"/>
        <v>7.0722685403921418E-2</v>
      </c>
      <c r="L63" s="226" t="s">
        <v>1362</v>
      </c>
      <c r="M63" s="326" t="str">
        <f t="shared" si="32"/>
        <v>LONDRINA [ETAPA 02 - CONDOMINIO TANGARA]IV</v>
      </c>
    </row>
    <row r="64" spans="1:13" s="292" customFormat="1" ht="15" customHeight="1">
      <c r="A64" s="326" t="str">
        <f t="shared" si="30"/>
        <v>LONDRINA [ETAPA 03 - CONDOMINIO ARANGUA]XXXIX36</v>
      </c>
      <c r="B64" s="467" t="s">
        <v>33</v>
      </c>
      <c r="C64" s="377" t="s">
        <v>527</v>
      </c>
      <c r="D64" s="468">
        <v>36</v>
      </c>
      <c r="E64" s="74" t="s">
        <v>443</v>
      </c>
      <c r="F64" s="74" t="str">
        <f t="shared" si="33"/>
        <v>INADIMPLENTE</v>
      </c>
      <c r="G64" s="512">
        <v>10</v>
      </c>
      <c r="H64" s="513" t="s">
        <v>765</v>
      </c>
      <c r="I64" s="69">
        <v>20825.02</v>
      </c>
      <c r="J64" s="469">
        <f>IFERROR(VLOOKUP(CONCATENATE($B64,$C64,$D64,),Recebíveis!$A$5:$L$527,11,0),"Não bate")</f>
        <v>165430.17000000001</v>
      </c>
      <c r="K64" s="226">
        <f t="shared" si="31"/>
        <v>0.12588405125860658</v>
      </c>
      <c r="L64" s="226" t="s">
        <v>1161</v>
      </c>
      <c r="M64" s="326" t="str">
        <f t="shared" si="32"/>
        <v>LONDRINA [ETAPA 03 - CONDOMINIO ARANGUA]IV</v>
      </c>
    </row>
    <row r="65" spans="1:13" s="292" customFormat="1" ht="15" customHeight="1">
      <c r="A65" s="326" t="str">
        <f t="shared" si="30"/>
        <v>LONDRINA [ETAPA 02 - AREAS EXTERNAS G2 - G6]XV4</v>
      </c>
      <c r="B65" s="467" t="s">
        <v>38</v>
      </c>
      <c r="C65" s="377" t="s">
        <v>511</v>
      </c>
      <c r="D65" s="468">
        <v>4</v>
      </c>
      <c r="E65" s="74" t="s">
        <v>271</v>
      </c>
      <c r="F65" s="74" t="str">
        <f t="shared" si="33"/>
        <v>ATRASO</v>
      </c>
      <c r="G65" s="512">
        <v>3</v>
      </c>
      <c r="H65" s="513" t="s">
        <v>767</v>
      </c>
      <c r="I65" s="69">
        <v>4303.1899999999996</v>
      </c>
      <c r="J65" s="469">
        <f>IFERROR(VLOOKUP(CONCATENATE($B65,$C65,$D65,),Recebíveis!$A$5:$L$527,11,0),"Não bate")</f>
        <v>57982.35</v>
      </c>
      <c r="K65" s="226">
        <f t="shared" si="31"/>
        <v>7.4215515583621564E-2</v>
      </c>
      <c r="L65" s="226" t="s">
        <v>1362</v>
      </c>
      <c r="M65" s="326" t="str">
        <f t="shared" si="32"/>
        <v>LONDRINA [ETAPA 02 - AREAS EXTERNAS G2 - G6]III</v>
      </c>
    </row>
    <row r="66" spans="1:13" s="292" customFormat="1" ht="15" customHeight="1">
      <c r="A66" s="326" t="str">
        <f t="shared" si="30"/>
        <v>LONDRINA [ETAPA 03 - CONDOMINIO ARANGUA]XL20</v>
      </c>
      <c r="B66" s="471" t="s">
        <v>33</v>
      </c>
      <c r="C66" s="377" t="s">
        <v>523</v>
      </c>
      <c r="D66" s="468">
        <v>20</v>
      </c>
      <c r="E66" s="74" t="s">
        <v>216</v>
      </c>
      <c r="F66" s="74" t="str">
        <f t="shared" si="33"/>
        <v>ATRASO</v>
      </c>
      <c r="G66" s="512">
        <v>2</v>
      </c>
      <c r="H66" s="513" t="s">
        <v>766</v>
      </c>
      <c r="I66" s="69">
        <v>5368.6</v>
      </c>
      <c r="J66" s="469">
        <f>IFERROR(VLOOKUP(CONCATENATE($B66,$C66,$D66,),Recebíveis!$A$5:$L$527,11,0),"Não bate")</f>
        <v>127795.77</v>
      </c>
      <c r="K66" s="226">
        <f t="shared" si="31"/>
        <v>4.200921517198887E-2</v>
      </c>
      <c r="L66" s="226" t="s">
        <v>1361</v>
      </c>
      <c r="M66" s="326" t="str">
        <f t="shared" si="32"/>
        <v>LONDRINA [ETAPA 03 - CONDOMINIO ARANGUA]I</v>
      </c>
    </row>
    <row r="67" spans="1:13" s="292" customFormat="1" ht="15" customHeight="1">
      <c r="A67" s="326" t="str">
        <f t="shared" si="30"/>
        <v>LONDRINA [ETAPA 04 - CONDOMINIO ARAGUARI]XLVI4</v>
      </c>
      <c r="B67" s="472" t="s">
        <v>878</v>
      </c>
      <c r="C67" s="377" t="s">
        <v>617</v>
      </c>
      <c r="D67" s="468">
        <v>4</v>
      </c>
      <c r="E67" s="74" t="s">
        <v>933</v>
      </c>
      <c r="F67" s="74" t="str">
        <f t="shared" si="33"/>
        <v>INADIMPLENTE</v>
      </c>
      <c r="G67" s="512">
        <v>2</v>
      </c>
      <c r="H67" s="513" t="s">
        <v>765</v>
      </c>
      <c r="I67" s="69">
        <v>2779.42</v>
      </c>
      <c r="J67" s="469">
        <f>IFERROR(VLOOKUP(CONCATENATE($B67,$C67,$D67,),Recebíveis!$A$5:$L$527,11,0),"Não bate")</f>
        <v>92827.09</v>
      </c>
      <c r="K67" s="226">
        <f t="shared" si="31"/>
        <v>2.9941905967320534E-2</v>
      </c>
      <c r="L67" s="226" t="s">
        <v>1362</v>
      </c>
      <c r="M67" s="326" t="str">
        <f t="shared" si="32"/>
        <v>LONDRINA [ETAPA 04 - CONDOMINIO ARAGUARI]IV</v>
      </c>
    </row>
    <row r="68" spans="1:13" s="292" customFormat="1" ht="15" customHeight="1">
      <c r="A68" s="326" t="str">
        <f t="shared" si="30"/>
        <v>LONDRINA [ETAPA 04 - CONDOMINIO ARAGUARI]XLIX16</v>
      </c>
      <c r="B68" s="227" t="s">
        <v>878</v>
      </c>
      <c r="C68" s="377" t="s">
        <v>620</v>
      </c>
      <c r="D68" s="468">
        <v>16</v>
      </c>
      <c r="E68" s="74" t="s">
        <v>1052</v>
      </c>
      <c r="F68" s="74" t="str">
        <f t="shared" si="33"/>
        <v>ATRASO</v>
      </c>
      <c r="G68" s="512">
        <v>1</v>
      </c>
      <c r="H68" s="513" t="s">
        <v>766</v>
      </c>
      <c r="I68" s="69">
        <v>1357.23</v>
      </c>
      <c r="J68" s="469">
        <f>IFERROR(VLOOKUP(CONCATENATE($B68,$C68,$D68,),Recebíveis!$A$5:$L$527,11,0),"Não bate")</f>
        <v>108711.35</v>
      </c>
      <c r="K68" s="226">
        <f t="shared" si="31"/>
        <v>1.248471295775464E-2</v>
      </c>
      <c r="L68" s="226" t="s">
        <v>1362</v>
      </c>
      <c r="M68" s="326" t="str">
        <f t="shared" si="32"/>
        <v>LONDRINA [ETAPA 04 - CONDOMINIO ARAGUARI]I</v>
      </c>
    </row>
    <row r="69" spans="1:13" s="292" customFormat="1" ht="15" customHeight="1">
      <c r="A69" s="326" t="str">
        <f t="shared" si="30"/>
        <v>LONDRINA [ETAPA 01 - CONDOMINIO ARAÇARI]XXV - A11</v>
      </c>
      <c r="B69" s="467" t="s">
        <v>34</v>
      </c>
      <c r="C69" s="377" t="s">
        <v>1076</v>
      </c>
      <c r="D69" s="468">
        <v>11</v>
      </c>
      <c r="E69" s="74" t="s">
        <v>295</v>
      </c>
      <c r="F69" s="74" t="str">
        <f t="shared" si="33"/>
        <v>INADIMPLENTE</v>
      </c>
      <c r="G69" s="512">
        <v>2</v>
      </c>
      <c r="H69" s="513" t="s">
        <v>765</v>
      </c>
      <c r="I69" s="69">
        <v>1665.04</v>
      </c>
      <c r="J69" s="469">
        <f>IFERROR(VLOOKUP(CONCATENATE($B69,$C69,$D69,),Recebíveis!$A$5:$L$527,11,0),"Não bate")</f>
        <v>76891.02</v>
      </c>
      <c r="K69" s="226">
        <f t="shared" si="31"/>
        <v>2.1654544314797748E-2</v>
      </c>
      <c r="L69" s="226" t="s">
        <v>1362</v>
      </c>
      <c r="M69" s="326" t="str">
        <f t="shared" si="32"/>
        <v>LONDRINA [ETAPA 01 - CONDOMINIO ARAÇARI]IV</v>
      </c>
    </row>
    <row r="70" spans="1:13" s="292" customFormat="1" ht="15" customHeight="1">
      <c r="A70" s="326" t="str">
        <f t="shared" si="30"/>
        <v>LONDRINA [ETAPA 02 - AREAS EXTERNAS G2 - G6]VIII23</v>
      </c>
      <c r="B70" s="467" t="s">
        <v>38</v>
      </c>
      <c r="C70" s="377" t="s">
        <v>533</v>
      </c>
      <c r="D70" s="468">
        <v>23</v>
      </c>
      <c r="E70" s="74" t="s">
        <v>288</v>
      </c>
      <c r="F70" s="74" t="str">
        <f t="shared" si="33"/>
        <v>INADIMPLENTE</v>
      </c>
      <c r="G70" s="512">
        <v>3</v>
      </c>
      <c r="H70" s="513" t="s">
        <v>765</v>
      </c>
      <c r="I70" s="69">
        <v>4684.9399999999996</v>
      </c>
      <c r="J70" s="469">
        <f>IFERROR(VLOOKUP(CONCATENATE($B70,$C70,$D70,),Recebíveis!$A$5:$L$527,11,0),"Não bate")</f>
        <v>84211.72</v>
      </c>
      <c r="K70" s="226">
        <f t="shared" si="31"/>
        <v>5.5632873904012406E-2</v>
      </c>
      <c r="L70" s="226" t="s">
        <v>1361</v>
      </c>
      <c r="M70" s="326" t="str">
        <f t="shared" si="32"/>
        <v>LONDRINA [ETAPA 02 - AREAS EXTERNAS G2 - G6]IV</v>
      </c>
    </row>
    <row r="71" spans="1:13" s="292" customFormat="1" ht="15" customHeight="1">
      <c r="A71" s="326" t="str">
        <f t="shared" si="30"/>
        <v>LONDRINA [ETAPA 01 - CONDOMINIO ARAÇARI]XXII27</v>
      </c>
      <c r="B71" s="467" t="s">
        <v>34</v>
      </c>
      <c r="C71" s="377" t="s">
        <v>506</v>
      </c>
      <c r="D71" s="468">
        <v>27</v>
      </c>
      <c r="E71" s="74" t="s">
        <v>49</v>
      </c>
      <c r="F71" s="74" t="str">
        <f t="shared" si="33"/>
        <v>INADIMPLENTE</v>
      </c>
      <c r="G71" s="512">
        <v>1</v>
      </c>
      <c r="H71" s="513" t="s">
        <v>765</v>
      </c>
      <c r="I71" s="69">
        <v>2504.52</v>
      </c>
      <c r="J71" s="469">
        <f>IFERROR(VLOOKUP(CONCATENATE($B71,$C71,$D71,),Recebíveis!$A$5:$L$527,11,0),"Não bate")</f>
        <v>19822.22</v>
      </c>
      <c r="K71" s="226">
        <f t="shared" si="31"/>
        <v>0.1263491173037127</v>
      </c>
      <c r="L71" s="226" t="s">
        <v>1362</v>
      </c>
      <c r="M71" s="326" t="str">
        <f t="shared" si="32"/>
        <v>LONDRINA [ETAPA 01 - CONDOMINIO ARAÇARI]IV</v>
      </c>
    </row>
    <row r="72" spans="1:13" s="292" customFormat="1" ht="15" customHeight="1">
      <c r="A72" s="326" t="str">
        <f t="shared" si="30"/>
        <v>LONDRINA [ETAPA 03 - CONDOMINIO ARANGUA]XL29</v>
      </c>
      <c r="B72" s="467" t="s">
        <v>33</v>
      </c>
      <c r="C72" s="377" t="s">
        <v>523</v>
      </c>
      <c r="D72" s="468">
        <v>29</v>
      </c>
      <c r="E72" s="74" t="s">
        <v>637</v>
      </c>
      <c r="F72" s="74" t="str">
        <f t="shared" si="33"/>
        <v>INADIMPLENTE</v>
      </c>
      <c r="G72" s="512">
        <v>4</v>
      </c>
      <c r="H72" s="513" t="s">
        <v>765</v>
      </c>
      <c r="I72" s="69">
        <v>7178.49</v>
      </c>
      <c r="J72" s="469">
        <f>IFERROR(VLOOKUP(CONCATENATE($B72,$C72,$D72,),Recebíveis!$A$5:$L$527,11,0),"Não bate")</f>
        <v>140337.18</v>
      </c>
      <c r="K72" s="226">
        <f t="shared" si="31"/>
        <v>5.1151733275529694E-2</v>
      </c>
      <c r="L72" s="226" t="s">
        <v>1361</v>
      </c>
      <c r="M72" s="326" t="str">
        <f t="shared" si="32"/>
        <v>LONDRINA [ETAPA 03 - CONDOMINIO ARANGUA]IV</v>
      </c>
    </row>
    <row r="73" spans="1:13" s="292" customFormat="1" ht="15" customHeight="1">
      <c r="A73" s="326" t="str">
        <f t="shared" si="30"/>
        <v>LONDRINA [ETAPA 03 - CONDOMINIO ARANGUA]XLII7</v>
      </c>
      <c r="B73" s="467" t="s">
        <v>33</v>
      </c>
      <c r="C73" s="377" t="s">
        <v>525</v>
      </c>
      <c r="D73" s="468">
        <v>7</v>
      </c>
      <c r="E73" s="74" t="s">
        <v>413</v>
      </c>
      <c r="F73" s="74" t="str">
        <f t="shared" si="33"/>
        <v>ATRASO</v>
      </c>
      <c r="G73" s="512">
        <v>3</v>
      </c>
      <c r="H73" s="513" t="s">
        <v>767</v>
      </c>
      <c r="I73" s="69">
        <v>5412.13</v>
      </c>
      <c r="J73" s="469">
        <f>IFERROR(VLOOKUP(CONCATENATE($B73,$C73,$D73,),Recebíveis!$A$5:$L$527,11,0),"Não bate")</f>
        <v>128443.17</v>
      </c>
      <c r="K73" s="226">
        <f t="shared" si="31"/>
        <v>4.2136378290881488E-2</v>
      </c>
      <c r="L73" s="226" t="s">
        <v>1360</v>
      </c>
      <c r="M73" s="326" t="str">
        <f t="shared" si="32"/>
        <v>LONDRINA [ETAPA 03 - CONDOMINIO ARANGUA]III</v>
      </c>
    </row>
    <row r="74" spans="1:13" s="292" customFormat="1" ht="15" customHeight="1">
      <c r="A74" s="326" t="str">
        <f t="shared" si="30"/>
        <v>LONDRINA [ETAPA 04 - AREAS EXTERNAS G4 - G8]XIV18</v>
      </c>
      <c r="B74" s="227" t="s">
        <v>612</v>
      </c>
      <c r="C74" s="377" t="s">
        <v>614</v>
      </c>
      <c r="D74" s="468">
        <v>18</v>
      </c>
      <c r="E74" s="74" t="s">
        <v>953</v>
      </c>
      <c r="F74" s="74" t="str">
        <f t="shared" si="33"/>
        <v>INADIMPLENTE</v>
      </c>
      <c r="G74" s="512">
        <v>3</v>
      </c>
      <c r="H74" s="513" t="s">
        <v>765</v>
      </c>
      <c r="I74" s="69">
        <v>2897.44</v>
      </c>
      <c r="J74" s="469">
        <f>IFERROR(VLOOKUP(CONCATENATE($B74,$C74,$D74,),Recebíveis!$A$5:$L$527,11,0),"Não bate")</f>
        <v>103273.86</v>
      </c>
      <c r="K74" s="226">
        <f t="shared" si="31"/>
        <v>2.8055889457409649E-2</v>
      </c>
      <c r="L74" s="226" t="s">
        <v>1362</v>
      </c>
      <c r="M74" s="326" t="str">
        <f t="shared" si="32"/>
        <v>LONDRINA [ETAPA 04 - AREAS EXTERNAS G4 - G8]IV</v>
      </c>
    </row>
    <row r="75" spans="1:13" s="292" customFormat="1" ht="15" customHeight="1">
      <c r="A75" s="326" t="str">
        <f t="shared" si="30"/>
        <v>LONDRINA [ETAPA 01 - CONDOMINIO ARAÇARI]XXIII32</v>
      </c>
      <c r="B75" s="467" t="s">
        <v>34</v>
      </c>
      <c r="C75" s="377" t="s">
        <v>507</v>
      </c>
      <c r="D75" s="468">
        <v>32</v>
      </c>
      <c r="E75" s="74" t="s">
        <v>761</v>
      </c>
      <c r="F75" s="74" t="str">
        <f t="shared" si="33"/>
        <v>INADIMPLENTE</v>
      </c>
      <c r="G75" s="512">
        <v>7</v>
      </c>
      <c r="H75" s="513" t="s">
        <v>765</v>
      </c>
      <c r="I75" s="69">
        <v>16077.39</v>
      </c>
      <c r="J75" s="469">
        <f>IFERROR(VLOOKUP(CONCATENATE($B75,$C75,$D75,),Recebíveis!$A$5:$L$527,11,0),"Não bate")</f>
        <v>186653.39</v>
      </c>
      <c r="K75" s="226">
        <f t="shared" si="31"/>
        <v>8.6135001351971149E-2</v>
      </c>
      <c r="L75" s="226" t="s">
        <v>1361</v>
      </c>
      <c r="M75" s="326" t="str">
        <f t="shared" si="32"/>
        <v>LONDRINA [ETAPA 01 - CONDOMINIO ARAÇARI]IV</v>
      </c>
    </row>
    <row r="76" spans="1:13" s="292" customFormat="1" ht="15" customHeight="1">
      <c r="A76" s="326" t="str">
        <f t="shared" si="30"/>
        <v>LONDRINA [ETAPA 03 - CONDOMINIO ARANGUA]XLII6</v>
      </c>
      <c r="B76" s="467" t="s">
        <v>33</v>
      </c>
      <c r="C76" s="377" t="s">
        <v>525</v>
      </c>
      <c r="D76" s="468">
        <v>6</v>
      </c>
      <c r="E76" s="74" t="s">
        <v>586</v>
      </c>
      <c r="F76" s="74" t="str">
        <f t="shared" si="33"/>
        <v>ATRASO</v>
      </c>
      <c r="G76" s="512">
        <v>1</v>
      </c>
      <c r="H76" s="513" t="s">
        <v>766</v>
      </c>
      <c r="I76" s="69">
        <v>1902.08</v>
      </c>
      <c r="J76" s="469">
        <f>IFERROR(VLOOKUP(CONCATENATE($B76,$C76,$D76,),Recebíveis!$A$5:$L$527,11,0),"Não bate")</f>
        <v>143906.65</v>
      </c>
      <c r="K76" s="226">
        <f t="shared" si="31"/>
        <v>1.3217457289152378E-2</v>
      </c>
      <c r="L76" s="226" t="e">
        <v>#N/A</v>
      </c>
      <c r="M76" s="326" t="str">
        <f t="shared" si="32"/>
        <v>LONDRINA [ETAPA 03 - CONDOMINIO ARANGUA]I</v>
      </c>
    </row>
    <row r="77" spans="1:13" s="292" customFormat="1" ht="15" customHeight="1">
      <c r="A77" s="326" t="str">
        <f t="shared" si="30"/>
        <v>LONDRINA [ETAPA 01 - CONDOMINIO ARAÇARI]XXII26</v>
      </c>
      <c r="B77" s="467" t="s">
        <v>34</v>
      </c>
      <c r="C77" s="377" t="s">
        <v>506</v>
      </c>
      <c r="D77" s="468">
        <v>26</v>
      </c>
      <c r="E77" s="74" t="s">
        <v>49</v>
      </c>
      <c r="F77" s="74" t="str">
        <f t="shared" si="33"/>
        <v>INADIMPLENTE</v>
      </c>
      <c r="G77" s="512">
        <v>1</v>
      </c>
      <c r="H77" s="513" t="s">
        <v>765</v>
      </c>
      <c r="I77" s="69">
        <v>1268.92</v>
      </c>
      <c r="J77" s="469">
        <f>IFERROR(VLOOKUP(CONCATENATE($B77,$C77,$D77,),Recebíveis!$A$5:$L$527,11,0),"Não bate")</f>
        <v>18586.62</v>
      </c>
      <c r="K77" s="226">
        <f t="shared" si="31"/>
        <v>6.8270616174430865E-2</v>
      </c>
      <c r="L77" s="226" t="s">
        <v>1362</v>
      </c>
      <c r="M77" s="326" t="str">
        <f t="shared" si="32"/>
        <v>LONDRINA [ETAPA 01 - CONDOMINIO ARAÇARI]IV</v>
      </c>
    </row>
    <row r="78" spans="1:13" s="292" customFormat="1" ht="15" customHeight="1">
      <c r="A78" s="326" t="str">
        <f t="shared" si="30"/>
        <v>LONDRINA [ETAPA 03 - AREAS EXTERNAS G3 - G7]XIII17</v>
      </c>
      <c r="B78" s="467" t="s">
        <v>36</v>
      </c>
      <c r="C78" s="377" t="s">
        <v>521</v>
      </c>
      <c r="D78" s="468">
        <v>17</v>
      </c>
      <c r="E78" s="74" t="s">
        <v>269</v>
      </c>
      <c r="F78" s="74" t="str">
        <f t="shared" si="33"/>
        <v>INADIMPLENTE</v>
      </c>
      <c r="G78" s="512">
        <v>2</v>
      </c>
      <c r="H78" s="513" t="s">
        <v>765</v>
      </c>
      <c r="I78" s="69">
        <v>200137.78</v>
      </c>
      <c r="J78" s="469">
        <f>IFERROR(VLOOKUP(CONCATENATE($B78,$C78,$D78,),Recebíveis!$A$5:$L$527,11,0),"Não bate")</f>
        <v>200152.14</v>
      </c>
      <c r="K78" s="226">
        <f t="shared" si="31"/>
        <v>0.99992825457674339</v>
      </c>
      <c r="L78" s="226" t="s">
        <v>835</v>
      </c>
      <c r="M78" s="326" t="str">
        <f t="shared" si="32"/>
        <v>LONDRINA [ETAPA 03 - AREAS EXTERNAS G3 - G7]IV</v>
      </c>
    </row>
    <row r="79" spans="1:13" s="292" customFormat="1" ht="15" customHeight="1">
      <c r="A79" s="326" t="str">
        <f t="shared" si="30"/>
        <v>LONDRINA [ETAPA 02 - AREAS EXTERNAS G2 - G6]XV26</v>
      </c>
      <c r="B79" s="467" t="s">
        <v>38</v>
      </c>
      <c r="C79" s="377" t="s">
        <v>511</v>
      </c>
      <c r="D79" s="468">
        <v>26</v>
      </c>
      <c r="E79" s="74" t="s">
        <v>83</v>
      </c>
      <c r="F79" s="74" t="str">
        <f t="shared" si="33"/>
        <v>INADIMPLENTE</v>
      </c>
      <c r="G79" s="512">
        <v>2</v>
      </c>
      <c r="H79" s="513" t="s">
        <v>765</v>
      </c>
      <c r="I79" s="69">
        <v>4366.33</v>
      </c>
      <c r="J79" s="469">
        <f>IFERROR(VLOOKUP(CONCATENATE($B79,$C79,$D79,),Recebíveis!$A$5:$L$527,11,0),"Não bate")</f>
        <v>86135.66</v>
      </c>
      <c r="K79" s="226">
        <f t="shared" ref="K79:K80" si="34">I79/J79</f>
        <v>5.0691316465213125E-2</v>
      </c>
      <c r="L79" s="226" t="e">
        <v>#N/A</v>
      </c>
      <c r="M79" s="326" t="str">
        <f t="shared" si="32"/>
        <v>LONDRINA [ETAPA 02 - AREAS EXTERNAS G2 - G6]IV</v>
      </c>
    </row>
    <row r="80" spans="1:13" s="292" customFormat="1" ht="15" customHeight="1">
      <c r="A80" s="326" t="str">
        <f t="shared" si="30"/>
        <v>LONDRINA [ETAPA 03 - CONDOMINIO ARANGUA]XXXVI10</v>
      </c>
      <c r="B80" s="467" t="s">
        <v>33</v>
      </c>
      <c r="C80" s="377" t="s">
        <v>529</v>
      </c>
      <c r="D80" s="468">
        <v>10</v>
      </c>
      <c r="E80" s="74" t="s">
        <v>587</v>
      </c>
      <c r="F80" s="74" t="str">
        <f t="shared" si="33"/>
        <v>INADIMPLENTE</v>
      </c>
      <c r="G80" s="512">
        <v>2</v>
      </c>
      <c r="H80" s="513" t="s">
        <v>765</v>
      </c>
      <c r="I80" s="69">
        <v>2470.09</v>
      </c>
      <c r="J80" s="469">
        <f>IFERROR(VLOOKUP(CONCATENATE($B80,$C80,$D80,),Recebíveis!$A$5:$L$527,11,0),"Não bate")</f>
        <v>158723.16</v>
      </c>
      <c r="K80" s="226">
        <f t="shared" si="34"/>
        <v>1.556225317086681E-2</v>
      </c>
      <c r="L80" s="226" t="s">
        <v>1362</v>
      </c>
      <c r="M80" s="326" t="str">
        <f t="shared" si="32"/>
        <v>LONDRINA [ETAPA 03 - CONDOMINIO ARANGUA]IV</v>
      </c>
    </row>
    <row r="81" spans="1:14" s="292" customFormat="1" ht="15" customHeight="1">
      <c r="A81" s="326" t="str">
        <f t="shared" si="30"/>
        <v>LONDRINA [ETAPA 02 - CONDOMINIO TANGARA]XXXIII21</v>
      </c>
      <c r="B81" s="467" t="s">
        <v>35</v>
      </c>
      <c r="C81" s="377" t="s">
        <v>519</v>
      </c>
      <c r="D81" s="468">
        <v>21</v>
      </c>
      <c r="E81" s="74" t="s">
        <v>789</v>
      </c>
      <c r="F81" s="74" t="str">
        <f t="shared" si="33"/>
        <v>ATRASO</v>
      </c>
      <c r="G81" s="512">
        <v>1</v>
      </c>
      <c r="H81" s="513" t="s">
        <v>766</v>
      </c>
      <c r="I81" s="69">
        <v>1459.27</v>
      </c>
      <c r="J81" s="469">
        <f>IFERROR(VLOOKUP(CONCATENATE($B81,$C81,$D81,),Recebíveis!$A$5:$L$527,11,0),"Não bate")</f>
        <v>101608.25</v>
      </c>
      <c r="K81" s="226">
        <f t="shared" ref="K81:K84" si="35">I81/J81</f>
        <v>1.4361727517204558E-2</v>
      </c>
      <c r="L81" s="226"/>
      <c r="M81" s="326" t="str">
        <f t="shared" si="32"/>
        <v>LONDRINA [ETAPA 02 - CONDOMINIO TANGARA]I</v>
      </c>
    </row>
    <row r="82" spans="1:14" s="292" customFormat="1" ht="15" customHeight="1">
      <c r="A82" s="326" t="str">
        <f t="shared" si="30"/>
        <v>LONDRINA [ETAPA 03 - CONDOMINIO ARANGUA]XXXVIII27</v>
      </c>
      <c r="B82" s="471" t="s">
        <v>33</v>
      </c>
      <c r="C82" s="377" t="s">
        <v>531</v>
      </c>
      <c r="D82" s="468">
        <v>27</v>
      </c>
      <c r="E82" s="74" t="s">
        <v>103</v>
      </c>
      <c r="F82" s="74" t="str">
        <f t="shared" si="33"/>
        <v>ATRASO</v>
      </c>
      <c r="G82" s="512">
        <v>1</v>
      </c>
      <c r="H82" s="513" t="s">
        <v>766</v>
      </c>
      <c r="I82" s="521">
        <v>1930.34</v>
      </c>
      <c r="J82" s="469">
        <f>IFERROR(VLOOKUP(CONCATENATE($B82,$C82,$D82,),Recebíveis!$A$5:$L$527,11,0),"Não bate")</f>
        <v>113112.74</v>
      </c>
      <c r="K82" s="226">
        <f t="shared" si="35"/>
        <v>1.7065628504799722E-2</v>
      </c>
      <c r="L82" s="226" t="s">
        <v>1362</v>
      </c>
      <c r="M82" s="326" t="str">
        <f t="shared" si="32"/>
        <v>LONDRINA [ETAPA 03 - CONDOMINIO ARANGUA]I</v>
      </c>
    </row>
    <row r="83" spans="1:14" s="292" customFormat="1" ht="15" customHeight="1">
      <c r="A83" s="326" t="str">
        <f t="shared" si="30"/>
        <v>LONDRINA [ETAPA 01 - CONDOMINIO ARAÇARI]XXIII23</v>
      </c>
      <c r="B83" s="467" t="s">
        <v>34</v>
      </c>
      <c r="C83" s="377" t="s">
        <v>507</v>
      </c>
      <c r="D83" s="468">
        <v>23</v>
      </c>
      <c r="E83" s="74" t="s">
        <v>344</v>
      </c>
      <c r="F83" s="74" t="str">
        <f t="shared" si="33"/>
        <v>INADIMPLENTE</v>
      </c>
      <c r="G83" s="512">
        <v>1</v>
      </c>
      <c r="H83" s="513" t="s">
        <v>765</v>
      </c>
      <c r="I83" s="69">
        <v>4188.72</v>
      </c>
      <c r="J83" s="469">
        <f>IFERROR(VLOOKUP(CONCATENATE($B83,$C83,$D83,),Recebíveis!$A$5:$L$527,11,0),"Não bate")</f>
        <v>104107.92</v>
      </c>
      <c r="K83" s="226">
        <f t="shared" si="35"/>
        <v>4.0234402915743588E-2</v>
      </c>
      <c r="L83" s="226" t="s">
        <v>1361</v>
      </c>
      <c r="M83" s="326" t="str">
        <f t="shared" si="32"/>
        <v>LONDRINA [ETAPA 01 - CONDOMINIO ARAÇARI]IV</v>
      </c>
    </row>
    <row r="84" spans="1:14" s="292" customFormat="1" ht="15" customHeight="1">
      <c r="A84" s="326" t="str">
        <f t="shared" si="30"/>
        <v>LONDRINA [ETAPA 03 - CONDOMINIO ARANGUA]XXXVII41</v>
      </c>
      <c r="B84" s="467" t="s">
        <v>33</v>
      </c>
      <c r="C84" s="377" t="s">
        <v>530</v>
      </c>
      <c r="D84" s="468">
        <v>41</v>
      </c>
      <c r="E84" s="74" t="s">
        <v>235</v>
      </c>
      <c r="F84" s="74" t="str">
        <f t="shared" si="33"/>
        <v>INADIMPLENTE</v>
      </c>
      <c r="G84" s="512">
        <v>1</v>
      </c>
      <c r="H84" s="513" t="s">
        <v>765</v>
      </c>
      <c r="I84" s="69">
        <v>455.8</v>
      </c>
      <c r="J84" s="469">
        <f>IFERROR(VLOOKUP(CONCATENATE($B84,$C84,$D84,),Recebíveis!$A$5:$L$527,11,0),"Não bate")</f>
        <v>46701.950000000004</v>
      </c>
      <c r="K84" s="226">
        <f t="shared" si="35"/>
        <v>9.7597637786002497E-3</v>
      </c>
      <c r="L84" s="226" t="s">
        <v>1360</v>
      </c>
      <c r="M84" s="326" t="str">
        <f t="shared" si="32"/>
        <v>LONDRINA [ETAPA 03 - CONDOMINIO ARANGUA]IV</v>
      </c>
    </row>
    <row r="85" spans="1:14" s="292" customFormat="1" ht="15" customHeight="1">
      <c r="A85" s="326" t="str">
        <f t="shared" ref="A85:A97" si="36">CONCATENATE(B85,C85,D85)</f>
        <v>LONDRINA [ETAPA 03 - CONDOMINIO ARANGUA]XL26</v>
      </c>
      <c r="B85" s="467" t="s">
        <v>33</v>
      </c>
      <c r="C85" s="377" t="s">
        <v>523</v>
      </c>
      <c r="D85" s="468">
        <v>26</v>
      </c>
      <c r="E85" s="74" t="s">
        <v>168</v>
      </c>
      <c r="F85" s="74" t="str">
        <f t="shared" si="33"/>
        <v>INADIMPLENTE</v>
      </c>
      <c r="G85" s="512">
        <v>4</v>
      </c>
      <c r="H85" s="513" t="s">
        <v>765</v>
      </c>
      <c r="I85" s="69">
        <v>10391.01</v>
      </c>
      <c r="J85" s="469">
        <f>IFERROR(VLOOKUP(CONCATENATE($B85,$C85,$D85,),Recebíveis!$A$5:$L$527,11,0),"Não bate")</f>
        <v>113581.63</v>
      </c>
      <c r="K85" s="226">
        <f t="shared" ref="K85:K90" si="37">I85/J85</f>
        <v>9.1484952276173537E-2</v>
      </c>
      <c r="L85" s="226" t="e">
        <v>#N/A</v>
      </c>
      <c r="M85" s="326" t="str">
        <f t="shared" ref="M85:M97" si="38">CONCATENATE(B85,H85)</f>
        <v>LONDRINA [ETAPA 03 - CONDOMINIO ARANGUA]IV</v>
      </c>
    </row>
    <row r="86" spans="1:14" s="292" customFormat="1" ht="15" customHeight="1">
      <c r="A86" s="326" t="str">
        <f t="shared" si="36"/>
        <v>LONDRINA [ETAPA 03 - CONDOMINIO ARANGUA]XXXV25</v>
      </c>
      <c r="B86" s="467" t="s">
        <v>33</v>
      </c>
      <c r="C86" s="377" t="s">
        <v>528</v>
      </c>
      <c r="D86" s="468">
        <v>25</v>
      </c>
      <c r="E86" s="74" t="s">
        <v>937</v>
      </c>
      <c r="F86" s="74" t="str">
        <f t="shared" si="33"/>
        <v>ATRASO</v>
      </c>
      <c r="G86" s="512">
        <v>1</v>
      </c>
      <c r="H86" s="513" t="s">
        <v>766</v>
      </c>
      <c r="I86" s="69">
        <v>2580.58</v>
      </c>
      <c r="J86" s="469">
        <f>IFERROR(VLOOKUP(CONCATENATE($B86,$C86,$D86,),Recebíveis!$A$5:$L$527,11,0),"Não bate")</f>
        <v>135846.79</v>
      </c>
      <c r="K86" s="226">
        <f t="shared" si="37"/>
        <v>1.8996253058316651E-2</v>
      </c>
      <c r="L86" s="226" t="e">
        <v>#N/A</v>
      </c>
      <c r="M86" s="326" t="str">
        <f t="shared" si="38"/>
        <v>LONDRINA [ETAPA 03 - CONDOMINIO ARANGUA]I</v>
      </c>
    </row>
    <row r="87" spans="1:14" s="292" customFormat="1" ht="15" customHeight="1">
      <c r="A87" s="326" t="str">
        <f t="shared" si="36"/>
        <v>LONDRINA [ETAPA 01 - CONDOMINIO ARAÇARI]XXV17</v>
      </c>
      <c r="B87" s="467" t="s">
        <v>34</v>
      </c>
      <c r="C87" s="377" t="s">
        <v>509</v>
      </c>
      <c r="D87" s="468">
        <v>17</v>
      </c>
      <c r="E87" s="74" t="s">
        <v>1234</v>
      </c>
      <c r="F87" s="74" t="str">
        <f t="shared" si="33"/>
        <v>ATRASO</v>
      </c>
      <c r="G87" s="512">
        <v>2</v>
      </c>
      <c r="H87" s="513" t="s">
        <v>766</v>
      </c>
      <c r="I87" s="69">
        <v>4667.67</v>
      </c>
      <c r="J87" s="469">
        <f>IFERROR(VLOOKUP(CONCATENATE($B87,$C87,$D87,),Recebíveis!$A$5:$L$527,11,0),"Não bate")</f>
        <v>101985.79000000001</v>
      </c>
      <c r="K87" s="226">
        <f t="shared" si="37"/>
        <v>4.5767846677463593E-2</v>
      </c>
      <c r="L87" s="226" t="e">
        <v>#N/A</v>
      </c>
      <c r="M87" s="326" t="str">
        <f t="shared" si="38"/>
        <v>LONDRINA [ETAPA 01 - CONDOMINIO ARAÇARI]I</v>
      </c>
    </row>
    <row r="88" spans="1:14" s="292" customFormat="1" ht="15" customHeight="1">
      <c r="A88" s="326" t="str">
        <f t="shared" si="36"/>
        <v>LONDRINA [ETAPA 02 - CONDOMINIO TANGARA]XXXIII24</v>
      </c>
      <c r="B88" s="467" t="s">
        <v>35</v>
      </c>
      <c r="C88" s="422" t="s">
        <v>519</v>
      </c>
      <c r="D88" s="473">
        <v>24</v>
      </c>
      <c r="E88" s="74" t="s">
        <v>1066</v>
      </c>
      <c r="F88" s="74" t="str">
        <f t="shared" si="33"/>
        <v>ATRASO</v>
      </c>
      <c r="G88" s="512">
        <v>1</v>
      </c>
      <c r="H88" s="513" t="s">
        <v>766</v>
      </c>
      <c r="I88" s="69">
        <v>1359.09</v>
      </c>
      <c r="J88" s="469">
        <f>IFERROR(VLOOKUP(CONCATENATE($B88,$C88,$D88,),Recebíveis!$A$5:$L$527,11,0),"Não bate")</f>
        <v>80131.790000000008</v>
      </c>
      <c r="K88" s="226">
        <f t="shared" si="37"/>
        <v>1.6960684392548823E-2</v>
      </c>
      <c r="L88" s="226" t="e">
        <v>#N/A</v>
      </c>
      <c r="M88" s="326" t="str">
        <f t="shared" si="38"/>
        <v>LONDRINA [ETAPA 02 - CONDOMINIO TANGARA]I</v>
      </c>
    </row>
    <row r="89" spans="1:14" s="292" customFormat="1" ht="15" customHeight="1">
      <c r="A89" s="326" t="str">
        <f t="shared" si="36"/>
        <v>LONDRINA [ETAPA 02 - CONDOMINIO TANGARA]XXVII5</v>
      </c>
      <c r="B89" s="467" t="s">
        <v>35</v>
      </c>
      <c r="C89" s="422" t="s">
        <v>515</v>
      </c>
      <c r="D89" s="473">
        <v>5</v>
      </c>
      <c r="E89" s="74" t="s">
        <v>112</v>
      </c>
      <c r="F89" s="74" t="str">
        <f t="shared" si="33"/>
        <v>ATRASO</v>
      </c>
      <c r="G89" s="512">
        <v>1</v>
      </c>
      <c r="H89" s="513" t="s">
        <v>766</v>
      </c>
      <c r="I89" s="69">
        <v>1459.74</v>
      </c>
      <c r="J89" s="469">
        <f>IFERROR(VLOOKUP(CONCATENATE($B89,$C89,$D89,),Recebíveis!$A$5:$L$527,11,0),"Não bate")</f>
        <v>98044.87</v>
      </c>
      <c r="K89" s="226">
        <f t="shared" si="37"/>
        <v>1.4888489321266886E-2</v>
      </c>
      <c r="L89" s="226" t="e">
        <v>#N/A</v>
      </c>
      <c r="M89" s="326" t="str">
        <f t="shared" si="38"/>
        <v>LONDRINA [ETAPA 02 - CONDOMINIO TANGARA]I</v>
      </c>
    </row>
    <row r="90" spans="1:14" s="292" customFormat="1" ht="15" customHeight="1">
      <c r="A90" s="326" t="str">
        <f t="shared" si="36"/>
        <v>LONDRINA [ETAPA 01 - CONDOMINIO ARAÇARI]XXIV3</v>
      </c>
      <c r="B90" s="467" t="s">
        <v>34</v>
      </c>
      <c r="C90" s="422" t="s">
        <v>508</v>
      </c>
      <c r="D90" s="473">
        <v>3</v>
      </c>
      <c r="E90" s="74" t="s">
        <v>1363</v>
      </c>
      <c r="F90" s="74" t="str">
        <f t="shared" si="33"/>
        <v>ATRASO</v>
      </c>
      <c r="G90" s="512">
        <v>1</v>
      </c>
      <c r="H90" s="513" t="s">
        <v>766</v>
      </c>
      <c r="I90" s="69">
        <v>1601.28</v>
      </c>
      <c r="J90" s="469">
        <f>IFERROR(VLOOKUP(CONCATENATE($B90,$C90,$D90,),Recebíveis!$A$5:$L$527,11,0),"Não bate")</f>
        <v>108236.21</v>
      </c>
      <c r="K90" s="226">
        <f t="shared" si="37"/>
        <v>1.4794309593804143E-2</v>
      </c>
      <c r="L90" s="226" t="e">
        <v>#N/A</v>
      </c>
      <c r="M90" s="326" t="str">
        <f t="shared" si="38"/>
        <v>LONDRINA [ETAPA 01 - CONDOMINIO ARAÇARI]I</v>
      </c>
      <c r="N90" s="354"/>
    </row>
    <row r="91" spans="1:14" s="335" customFormat="1">
      <c r="A91" s="326" t="str">
        <f t="shared" si="36"/>
        <v>LONDRINA [ETAPA 01 - CONDOMINIO ARAÇARI]XXIII6</v>
      </c>
      <c r="B91" s="467" t="s">
        <v>34</v>
      </c>
      <c r="C91" s="422" t="s">
        <v>507</v>
      </c>
      <c r="D91" s="473">
        <v>6</v>
      </c>
      <c r="E91" s="74" t="s">
        <v>141</v>
      </c>
      <c r="F91" s="74" t="str">
        <f t="shared" si="33"/>
        <v>INADIMPLENTE</v>
      </c>
      <c r="G91" s="512">
        <v>5</v>
      </c>
      <c r="H91" s="513" t="s">
        <v>765</v>
      </c>
      <c r="I91" s="69">
        <v>7451.88</v>
      </c>
      <c r="J91" s="469">
        <f>IFERROR(VLOOKUP(CONCATENATE($B91,$C91,$D91,),Recebíveis!$A$5:$L$527,11,0),"Não bate")</f>
        <v>103654.21</v>
      </c>
      <c r="K91" s="226">
        <f t="shared" ref="K91:K127" si="39">I91/J91</f>
        <v>7.189172538192129E-2</v>
      </c>
      <c r="L91" s="226" t="s">
        <v>1161</v>
      </c>
      <c r="M91" s="326" t="str">
        <f t="shared" si="38"/>
        <v>LONDRINA [ETAPA 01 - CONDOMINIO ARAÇARI]IV</v>
      </c>
      <c r="N91" s="292"/>
    </row>
    <row r="92" spans="1:14" s="118" customFormat="1">
      <c r="A92" s="326" t="str">
        <f t="shared" si="36"/>
        <v>LONDRINA [ETAPA 03 - CONDOMINIO ARANGUA]XXXVIII1</v>
      </c>
      <c r="B92" s="467" t="s">
        <v>33</v>
      </c>
      <c r="C92" s="422" t="s">
        <v>531</v>
      </c>
      <c r="D92" s="473">
        <v>1</v>
      </c>
      <c r="E92" s="74" t="s">
        <v>395</v>
      </c>
      <c r="F92" s="74" t="str">
        <f t="shared" si="33"/>
        <v>ATRASO</v>
      </c>
      <c r="G92" s="512">
        <v>2</v>
      </c>
      <c r="H92" s="513" t="s">
        <v>764</v>
      </c>
      <c r="I92" s="69">
        <v>5399.83</v>
      </c>
      <c r="J92" s="469">
        <f>IFERROR(VLOOKUP(CONCATENATE($B92,$C92,$D92,),Recebíveis!$A$5:$L$527,11,0),"Não bate")</f>
        <v>200963.36000000002</v>
      </c>
      <c r="K92" s="226">
        <f t="shared" si="39"/>
        <v>2.6869723913851756E-2</v>
      </c>
      <c r="L92" s="226"/>
      <c r="M92" s="326" t="str">
        <f t="shared" si="38"/>
        <v>LONDRINA [ETAPA 03 - CONDOMINIO ARANGUA]II</v>
      </c>
      <c r="N92" s="292"/>
    </row>
    <row r="93" spans="1:14" s="335" customFormat="1">
      <c r="A93" s="326" t="str">
        <f t="shared" si="36"/>
        <v>LONDRINA [ETAPA 02 - AREAS EXTERNAS G2 - G6]XVIII20</v>
      </c>
      <c r="B93" s="467" t="s">
        <v>38</v>
      </c>
      <c r="C93" s="422" t="s">
        <v>512</v>
      </c>
      <c r="D93" s="473">
        <v>20</v>
      </c>
      <c r="E93" s="74" t="s">
        <v>1129</v>
      </c>
      <c r="F93" s="74" t="str">
        <f t="shared" si="33"/>
        <v>INADIMPLENTE</v>
      </c>
      <c r="G93" s="512">
        <v>4</v>
      </c>
      <c r="H93" s="513" t="s">
        <v>765</v>
      </c>
      <c r="I93" s="69">
        <v>4356.55</v>
      </c>
      <c r="J93" s="469">
        <f>IFERROR(VLOOKUP(CONCATENATE($B93,$C93,$D93,),Recebíveis!$A$5:$L$527,11,0),"Não bate")</f>
        <v>88045.41</v>
      </c>
      <c r="K93" s="226">
        <f t="shared" si="39"/>
        <v>4.948071682555627E-2</v>
      </c>
      <c r="L93" s="226"/>
      <c r="M93" s="326" t="str">
        <f t="shared" si="38"/>
        <v>LONDRINA [ETAPA 02 - AREAS EXTERNAS G2 - G6]IV</v>
      </c>
      <c r="N93" s="292"/>
    </row>
    <row r="94" spans="1:14" s="335" customFormat="1">
      <c r="A94" s="326" t="str">
        <f t="shared" si="36"/>
        <v>LONDRINA [ETAPA 02 - AREAS EXTERNAS G2 - G6]XVIII13</v>
      </c>
      <c r="B94" s="467" t="s">
        <v>38</v>
      </c>
      <c r="C94" s="422" t="s">
        <v>512</v>
      </c>
      <c r="D94" s="473">
        <v>13</v>
      </c>
      <c r="E94" s="74" t="s">
        <v>1163</v>
      </c>
      <c r="F94" s="74" t="str">
        <f t="shared" si="33"/>
        <v>ATRASO</v>
      </c>
      <c r="G94" s="512">
        <v>1</v>
      </c>
      <c r="H94" s="513" t="s">
        <v>767</v>
      </c>
      <c r="I94" s="69">
        <v>2192.7400000000002</v>
      </c>
      <c r="J94" s="469">
        <f>IFERROR(VLOOKUP(CONCATENATE($B94,$C94,$D94,),Recebíveis!$A$5:$L$527,11,0),"Não bate")</f>
        <v>84983.83</v>
      </c>
      <c r="K94" s="226">
        <f t="shared" si="39"/>
        <v>2.580184959891782E-2</v>
      </c>
      <c r="L94" s="226"/>
      <c r="M94" s="326" t="str">
        <f t="shared" si="38"/>
        <v>LONDRINA [ETAPA 02 - AREAS EXTERNAS G2 - G6]III</v>
      </c>
      <c r="N94" s="292"/>
    </row>
    <row r="95" spans="1:14" s="335" customFormat="1">
      <c r="A95" s="326" t="str">
        <f t="shared" si="36"/>
        <v>LONDRINA [ETAPA 03 - CONDOMINIO ARANGUA]XXXIX13</v>
      </c>
      <c r="B95" s="467" t="s">
        <v>33</v>
      </c>
      <c r="C95" s="422" t="s">
        <v>527</v>
      </c>
      <c r="D95" s="473">
        <v>13</v>
      </c>
      <c r="E95" s="74" t="s">
        <v>1364</v>
      </c>
      <c r="F95" s="74" t="str">
        <f t="shared" si="33"/>
        <v>ATRASO</v>
      </c>
      <c r="G95" s="512">
        <v>3</v>
      </c>
      <c r="H95" s="513" t="s">
        <v>767</v>
      </c>
      <c r="I95" s="69">
        <v>2894.63</v>
      </c>
      <c r="J95" s="469">
        <f>IFERROR(VLOOKUP(CONCATENATE($B95,$C95,$D95,),Recebíveis!$A$5:$L$527,11,0),"Não bate")</f>
        <v>115523.98</v>
      </c>
      <c r="K95" s="226">
        <f t="shared" si="39"/>
        <v>2.5056529388963227E-2</v>
      </c>
      <c r="L95" s="226"/>
      <c r="M95" s="326" t="str">
        <f t="shared" si="38"/>
        <v>LONDRINA [ETAPA 03 - CONDOMINIO ARANGUA]III</v>
      </c>
      <c r="N95" s="5"/>
    </row>
    <row r="96" spans="1:14" s="335" customFormat="1">
      <c r="A96" s="326" t="str">
        <f t="shared" si="36"/>
        <v>LONDRINA [ETAPA 04 - CONDOMINIO ARAGUARI]LI8</v>
      </c>
      <c r="B96" s="472" t="s">
        <v>878</v>
      </c>
      <c r="C96" s="422" t="s">
        <v>622</v>
      </c>
      <c r="D96" s="473">
        <v>8</v>
      </c>
      <c r="E96" s="74" t="s">
        <v>877</v>
      </c>
      <c r="F96" s="74" t="str">
        <f t="shared" si="33"/>
        <v>INADIMPLENTE</v>
      </c>
      <c r="G96" s="512">
        <v>4</v>
      </c>
      <c r="H96" s="513" t="s">
        <v>765</v>
      </c>
      <c r="I96" s="69">
        <v>7293.32</v>
      </c>
      <c r="J96" s="469">
        <f>IFERROR(VLOOKUP(CONCATENATE($B96,$C96,$D96,),Recebíveis!$A$5:$L$527,11,0),"Não bate")</f>
        <v>146021.46</v>
      </c>
      <c r="K96" s="226">
        <f t="shared" si="39"/>
        <v>4.994690506450216E-2</v>
      </c>
      <c r="L96" s="226"/>
      <c r="M96" s="326" t="str">
        <f t="shared" si="38"/>
        <v>LONDRINA [ETAPA 04 - CONDOMINIO ARAGUARI]IV</v>
      </c>
      <c r="N96" s="5"/>
    </row>
    <row r="97" spans="1:13">
      <c r="A97" s="326" t="str">
        <f t="shared" si="36"/>
        <v>LONDRINA [ETAPA 02 - AREAS EXTERNAS G2 - G6]VIII28</v>
      </c>
      <c r="B97" s="467" t="s">
        <v>38</v>
      </c>
      <c r="C97" s="422" t="s">
        <v>533</v>
      </c>
      <c r="D97" s="473">
        <v>28</v>
      </c>
      <c r="E97" s="74" t="s">
        <v>1117</v>
      </c>
      <c r="F97" s="74" t="str">
        <f t="shared" si="33"/>
        <v>INADIMPLENTE</v>
      </c>
      <c r="G97" s="512">
        <v>1</v>
      </c>
      <c r="H97" s="513" t="s">
        <v>765</v>
      </c>
      <c r="I97" s="69">
        <v>4864.16</v>
      </c>
      <c r="J97" s="469">
        <f>IFERROR(VLOOKUP(CONCATENATE($B97,$C97,$D97,),Recebíveis!$A$5:$L$527,11,0),"Não bate")</f>
        <v>151802.38</v>
      </c>
      <c r="K97" s="226">
        <f t="shared" si="39"/>
        <v>3.2042712373811268E-2</v>
      </c>
      <c r="L97" s="226"/>
      <c r="M97" s="326" t="str">
        <f t="shared" si="38"/>
        <v>LONDRINA [ETAPA 02 - AREAS EXTERNAS G2 - G6]IV</v>
      </c>
    </row>
    <row r="98" spans="1:13">
      <c r="A98" s="326" t="str">
        <f t="shared" ref="A98:A127" si="40">CONCATENATE(B98,C98,D98)</f>
        <v>LONDRINA [ETAPA 04 - AREAS EXTERNAS G4 - G8]XVII11</v>
      </c>
      <c r="B98" s="227" t="s">
        <v>612</v>
      </c>
      <c r="C98" s="422" t="s">
        <v>615</v>
      </c>
      <c r="D98" s="473">
        <v>11</v>
      </c>
      <c r="E98" s="74" t="s">
        <v>931</v>
      </c>
      <c r="F98" s="74" t="str">
        <f t="shared" si="33"/>
        <v>ATRASO</v>
      </c>
      <c r="G98" s="512">
        <v>1</v>
      </c>
      <c r="H98" s="513" t="s">
        <v>766</v>
      </c>
      <c r="I98" s="69">
        <v>950.24</v>
      </c>
      <c r="J98" s="469">
        <f>IFERROR(VLOOKUP(CONCATENATE($B98,$C98,$D98,),Recebíveis!$A$5:$L$527,11,0),"Não bate")</f>
        <v>67340.36</v>
      </c>
      <c r="K98" s="226">
        <f t="shared" si="39"/>
        <v>1.411100267358238E-2</v>
      </c>
      <c r="L98" s="226"/>
      <c r="M98" s="326" t="str">
        <f t="shared" ref="M98:M127" si="41">CONCATENATE(B98,H98)</f>
        <v>LONDRINA [ETAPA 04 - AREAS EXTERNAS G4 - G8]I</v>
      </c>
    </row>
    <row r="99" spans="1:13">
      <c r="A99" s="326" t="str">
        <f t="shared" si="40"/>
        <v>LONDRINA [ETAPA 04 - CONDOMINIO ARAGUARI]XLIX26</v>
      </c>
      <c r="B99" s="472" t="s">
        <v>878</v>
      </c>
      <c r="C99" s="422" t="s">
        <v>620</v>
      </c>
      <c r="D99" s="473">
        <v>26</v>
      </c>
      <c r="E99" s="74" t="s">
        <v>983</v>
      </c>
      <c r="F99" s="74" t="str">
        <f t="shared" si="33"/>
        <v>ATRASO</v>
      </c>
      <c r="G99" s="512">
        <v>1</v>
      </c>
      <c r="H99" s="513" t="s">
        <v>766</v>
      </c>
      <c r="I99" s="69">
        <v>3587.15</v>
      </c>
      <c r="J99" s="469">
        <f>IFERROR(VLOOKUP(CONCATENATE($B99,$C99,$D99,),Recebíveis!$A$5:$L$527,11,0),"Não bate")</f>
        <v>14087.15</v>
      </c>
      <c r="K99" s="226">
        <f t="shared" si="39"/>
        <v>0.25463986682898954</v>
      </c>
      <c r="L99" s="226"/>
      <c r="M99" s="326" t="str">
        <f t="shared" si="41"/>
        <v>LONDRINA [ETAPA 04 - CONDOMINIO ARAGUARI]I</v>
      </c>
    </row>
    <row r="100" spans="1:13">
      <c r="A100" s="326" t="str">
        <f t="shared" si="40"/>
        <v>LONDRINA [ETAPA 03 - CONDOMINIO ARANGUA]XLIII9</v>
      </c>
      <c r="B100" s="467" t="s">
        <v>33</v>
      </c>
      <c r="C100" s="422" t="s">
        <v>526</v>
      </c>
      <c r="D100" s="473">
        <v>9</v>
      </c>
      <c r="E100" s="74" t="s">
        <v>1116</v>
      </c>
      <c r="F100" s="74" t="str">
        <f t="shared" si="33"/>
        <v>INADIMPLENTE</v>
      </c>
      <c r="G100" s="512">
        <v>2</v>
      </c>
      <c r="H100" s="513" t="s">
        <v>765</v>
      </c>
      <c r="I100" s="69">
        <v>5543.66</v>
      </c>
      <c r="J100" s="469">
        <f>IFERROR(VLOOKUP(CONCATENATE($B100,$C100,$D100,),Recebíveis!$A$5:$L$527,11,0),"Não bate")</f>
        <v>135365.07</v>
      </c>
      <c r="K100" s="226">
        <f t="shared" si="39"/>
        <v>4.0953401050950584E-2</v>
      </c>
      <c r="L100" s="226"/>
      <c r="M100" s="326" t="str">
        <f t="shared" si="41"/>
        <v>LONDRINA [ETAPA 03 - CONDOMINIO ARANGUA]IV</v>
      </c>
    </row>
    <row r="101" spans="1:13">
      <c r="A101" s="326" t="str">
        <f t="shared" si="40"/>
        <v>LONDRINA [ETAPA 04 - AREAS EXTERNAS G4 - G8]X2</v>
      </c>
      <c r="B101" s="227" t="s">
        <v>612</v>
      </c>
      <c r="C101" s="422" t="s">
        <v>613</v>
      </c>
      <c r="D101" s="473">
        <v>2</v>
      </c>
      <c r="E101" s="74" t="s">
        <v>1118</v>
      </c>
      <c r="F101" s="74" t="str">
        <f t="shared" si="33"/>
        <v>ATRASO</v>
      </c>
      <c r="G101" s="512">
        <v>1</v>
      </c>
      <c r="H101" s="513" t="s">
        <v>766</v>
      </c>
      <c r="I101" s="69">
        <v>1154.27</v>
      </c>
      <c r="J101" s="469">
        <f>IFERROR(VLOOKUP(CONCATENATE($B101,$C101,$D101,),Recebíveis!$A$5:$L$527,11,0),"Não bate")</f>
        <v>124392.59</v>
      </c>
      <c r="K101" s="226">
        <f t="shared" si="39"/>
        <v>9.2792504762542524E-3</v>
      </c>
      <c r="L101" s="226"/>
      <c r="M101" s="326" t="str">
        <f t="shared" si="41"/>
        <v>LONDRINA [ETAPA 04 - AREAS EXTERNAS G4 - G8]I</v>
      </c>
    </row>
    <row r="102" spans="1:13">
      <c r="A102" s="326" t="str">
        <f t="shared" si="40"/>
        <v>LONDRINA [ETAPA 04 - AREAS EXTERNAS G4 - G8]XIV14</v>
      </c>
      <c r="B102" s="227" t="s">
        <v>612</v>
      </c>
      <c r="C102" s="422" t="s">
        <v>614</v>
      </c>
      <c r="D102" s="473">
        <v>14</v>
      </c>
      <c r="E102" s="74" t="s">
        <v>1275</v>
      </c>
      <c r="F102" s="74" t="str">
        <f t="shared" si="33"/>
        <v>ATRASO</v>
      </c>
      <c r="G102" s="512">
        <v>1</v>
      </c>
      <c r="H102" s="513" t="s">
        <v>766</v>
      </c>
      <c r="I102" s="69">
        <v>1439.19</v>
      </c>
      <c r="J102" s="469">
        <f>IFERROR(VLOOKUP(CONCATENATE($B102,$C102,$D102,),Recebíveis!$A$5:$L$527,11,0),"Não bate")</f>
        <v>118633.65000000001</v>
      </c>
      <c r="K102" s="226">
        <f t="shared" si="39"/>
        <v>1.2131380936184632E-2</v>
      </c>
      <c r="L102" s="226"/>
      <c r="M102" s="326" t="str">
        <f t="shared" si="41"/>
        <v>LONDRINA [ETAPA 04 - AREAS EXTERNAS G4 - G8]I</v>
      </c>
    </row>
    <row r="103" spans="1:13">
      <c r="A103" s="326" t="str">
        <f t="shared" si="40"/>
        <v>LONDRINA [ETAPA 02 - CONDOMINIO TANGARA]XXVII13</v>
      </c>
      <c r="B103" s="467" t="s">
        <v>35</v>
      </c>
      <c r="C103" s="422" t="s">
        <v>515</v>
      </c>
      <c r="D103" s="473">
        <v>13</v>
      </c>
      <c r="E103" s="74" t="s">
        <v>290</v>
      </c>
      <c r="F103" s="74" t="str">
        <f t="shared" si="33"/>
        <v>ATRASO</v>
      </c>
      <c r="G103" s="512">
        <v>1</v>
      </c>
      <c r="H103" s="513" t="s">
        <v>766</v>
      </c>
      <c r="I103" s="69">
        <v>2148.73</v>
      </c>
      <c r="J103" s="469">
        <f>IFERROR(VLOOKUP(CONCATENATE($B103,$C103,$D103,),Recebíveis!$A$5:$L$527,11,0),"Não bate")</f>
        <v>37464.75</v>
      </c>
      <c r="K103" s="226">
        <f t="shared" si="39"/>
        <v>5.7353378842778878E-2</v>
      </c>
      <c r="L103" s="226"/>
      <c r="M103" s="326" t="str">
        <f t="shared" si="41"/>
        <v>LONDRINA [ETAPA 02 - CONDOMINIO TANGARA]I</v>
      </c>
    </row>
    <row r="104" spans="1:13">
      <c r="A104" s="326" t="str">
        <f t="shared" si="40"/>
        <v>LONDRINA [ETAPA 02 - AREAS EXTERNAS G2 - G6]XV20</v>
      </c>
      <c r="B104" s="467" t="s">
        <v>38</v>
      </c>
      <c r="C104" s="422" t="s">
        <v>511</v>
      </c>
      <c r="D104" s="473">
        <v>20</v>
      </c>
      <c r="E104" s="74" t="s">
        <v>220</v>
      </c>
      <c r="F104" s="74" t="str">
        <f t="shared" si="33"/>
        <v>ATRASO</v>
      </c>
      <c r="G104" s="512">
        <v>1</v>
      </c>
      <c r="H104" s="513" t="s">
        <v>766</v>
      </c>
      <c r="I104" s="69">
        <v>1217.6100000000001</v>
      </c>
      <c r="J104" s="469">
        <f>IFERROR(VLOOKUP(CONCATENATE($B104,$C104,$D104,),Recebíveis!$A$5:$L$527,11,0),"Não bate")</f>
        <v>74676.790000000008</v>
      </c>
      <c r="K104" s="226">
        <f t="shared" si="39"/>
        <v>1.6305066139023917E-2</v>
      </c>
      <c r="L104" s="226"/>
      <c r="M104" s="326" t="str">
        <f t="shared" si="41"/>
        <v>LONDRINA [ETAPA 02 - AREAS EXTERNAS G2 - G6]I</v>
      </c>
    </row>
    <row r="105" spans="1:13">
      <c r="A105" s="326" t="str">
        <f t="shared" si="40"/>
        <v>LONDRINA [ETAPA 03 - CONDOMINIO ARANGUA]XXXVIII3</v>
      </c>
      <c r="B105" s="467" t="s">
        <v>33</v>
      </c>
      <c r="C105" s="422" t="s">
        <v>531</v>
      </c>
      <c r="D105" s="473">
        <v>3</v>
      </c>
      <c r="E105" s="74" t="s">
        <v>135</v>
      </c>
      <c r="F105" s="74" t="str">
        <f t="shared" si="33"/>
        <v>ATRASO</v>
      </c>
      <c r="G105" s="512">
        <v>1</v>
      </c>
      <c r="H105" s="513" t="s">
        <v>766</v>
      </c>
      <c r="I105" s="69">
        <v>1867.23</v>
      </c>
      <c r="J105" s="469">
        <f>IFERROR(VLOOKUP(CONCATENATE($B105,$C105,$D105,),Recebíveis!$A$5:$L$527,11,0),"Não bate")</f>
        <v>90623.63</v>
      </c>
      <c r="K105" s="226">
        <f t="shared" si="39"/>
        <v>2.0604228720478311E-2</v>
      </c>
      <c r="L105" s="226"/>
      <c r="M105" s="326" t="str">
        <f t="shared" si="41"/>
        <v>LONDRINA [ETAPA 03 - CONDOMINIO ARANGUA]I</v>
      </c>
    </row>
    <row r="106" spans="1:13">
      <c r="A106" s="326" t="str">
        <f t="shared" si="40"/>
        <v>LONDRINA [ETAPA 03 - CONDOMINIO ARANGUA]XXXVIII21</v>
      </c>
      <c r="B106" s="467" t="s">
        <v>33</v>
      </c>
      <c r="C106" s="422" t="s">
        <v>531</v>
      </c>
      <c r="D106" s="473">
        <v>21</v>
      </c>
      <c r="E106" s="74" t="s">
        <v>488</v>
      </c>
      <c r="F106" s="74" t="str">
        <f t="shared" si="33"/>
        <v>ATRASO</v>
      </c>
      <c r="G106" s="512">
        <v>1</v>
      </c>
      <c r="H106" s="513" t="s">
        <v>766</v>
      </c>
      <c r="I106" s="69">
        <v>5582.61</v>
      </c>
      <c r="J106" s="469">
        <f>IFERROR(VLOOKUP(CONCATENATE($B106,$C106,$D106,),Recebíveis!$A$5:$L$527,11,0),"Não bate")</f>
        <v>94872</v>
      </c>
      <c r="K106" s="226">
        <f t="shared" si="39"/>
        <v>5.8843599797622055E-2</v>
      </c>
      <c r="L106" s="226"/>
      <c r="M106" s="326" t="str">
        <f t="shared" si="41"/>
        <v>LONDRINA [ETAPA 03 - CONDOMINIO ARANGUA]I</v>
      </c>
    </row>
    <row r="107" spans="1:13">
      <c r="A107" s="326" t="str">
        <f t="shared" si="40"/>
        <v>LONDRINA [ETAPA 02 - AREAS EXTERNAS G2 - G6]XVIII - A2</v>
      </c>
      <c r="B107" s="467" t="s">
        <v>38</v>
      </c>
      <c r="C107" s="377" t="s">
        <v>1077</v>
      </c>
      <c r="D107" s="473">
        <v>2</v>
      </c>
      <c r="E107" s="74" t="s">
        <v>122</v>
      </c>
      <c r="F107" s="74" t="str">
        <f t="shared" si="33"/>
        <v>ATRASO</v>
      </c>
      <c r="G107" s="512">
        <v>1</v>
      </c>
      <c r="H107" s="513" t="s">
        <v>766</v>
      </c>
      <c r="I107" s="69">
        <v>3281.3</v>
      </c>
      <c r="J107" s="469">
        <f>IFERROR(VLOOKUP(CONCATENATE($B107,$C107,$D107,),Recebíveis!$A$5:$L$527,11,0),"Não bate")</f>
        <v>16532.11</v>
      </c>
      <c r="K107" s="226">
        <f t="shared" si="39"/>
        <v>0.1984804117562731</v>
      </c>
      <c r="L107" s="226"/>
      <c r="M107" s="326" t="str">
        <f t="shared" si="41"/>
        <v>LONDRINA [ETAPA 02 - AREAS EXTERNAS G2 - G6]I</v>
      </c>
    </row>
    <row r="108" spans="1:13">
      <c r="A108" s="326" t="str">
        <f t="shared" si="40"/>
        <v>LONDRINA [ETAPA 03 - CONDOMINIO ARANGUA]XL31</v>
      </c>
      <c r="B108" s="467" t="s">
        <v>33</v>
      </c>
      <c r="C108" s="422" t="s">
        <v>523</v>
      </c>
      <c r="D108" s="473">
        <v>31</v>
      </c>
      <c r="E108" s="74" t="s">
        <v>292</v>
      </c>
      <c r="F108" s="74" t="str">
        <f t="shared" si="33"/>
        <v>ATRASO</v>
      </c>
      <c r="G108" s="512">
        <v>1</v>
      </c>
      <c r="H108" s="513" t="s">
        <v>766</v>
      </c>
      <c r="I108" s="69">
        <v>2107.73</v>
      </c>
      <c r="J108" s="469">
        <f>IFERROR(VLOOKUP(CONCATENATE($B108,$C108,$D108,),Recebíveis!$A$5:$L$527,11,0),"Não bate")</f>
        <v>163230.29</v>
      </c>
      <c r="K108" s="226">
        <f t="shared" si="39"/>
        <v>1.2912615667104431E-2</v>
      </c>
      <c r="L108" s="226"/>
      <c r="M108" s="326" t="str">
        <f t="shared" si="41"/>
        <v>LONDRINA [ETAPA 03 - CONDOMINIO ARANGUA]I</v>
      </c>
    </row>
    <row r="109" spans="1:13">
      <c r="A109" s="326" t="str">
        <f t="shared" si="40"/>
        <v>LONDRINA [ETAPA 03 - CONDOMINIO ARANGUA]XLI4</v>
      </c>
      <c r="B109" s="467" t="s">
        <v>33</v>
      </c>
      <c r="C109" s="422" t="s">
        <v>524</v>
      </c>
      <c r="D109" s="473">
        <v>4</v>
      </c>
      <c r="E109" s="74" t="s">
        <v>791</v>
      </c>
      <c r="F109" s="74" t="str">
        <f t="shared" si="33"/>
        <v>ATRASO</v>
      </c>
      <c r="G109" s="512">
        <v>3</v>
      </c>
      <c r="H109" s="513" t="s">
        <v>767</v>
      </c>
      <c r="I109" s="69">
        <v>36859.270000000004</v>
      </c>
      <c r="J109" s="469">
        <f>IFERROR(VLOOKUP(CONCATENATE($B109,$C109,$D109,),Recebíveis!$A$5:$L$527,11,0),"Não bate")</f>
        <v>45395.85</v>
      </c>
      <c r="K109" s="226">
        <f t="shared" si="39"/>
        <v>0.81195241415239505</v>
      </c>
      <c r="L109" s="226"/>
      <c r="M109" s="326" t="str">
        <f t="shared" si="41"/>
        <v>LONDRINA [ETAPA 03 - CONDOMINIO ARANGUA]III</v>
      </c>
    </row>
    <row r="110" spans="1:13">
      <c r="A110" s="326" t="str">
        <f t="shared" si="40"/>
        <v>LONDRINA [ETAPA 04 - CONDOMINIO ARAGUARI]XLIX27</v>
      </c>
      <c r="B110" s="472" t="s">
        <v>878</v>
      </c>
      <c r="C110" s="422" t="s">
        <v>620</v>
      </c>
      <c r="D110" s="473">
        <v>27</v>
      </c>
      <c r="E110" s="74" t="s">
        <v>983</v>
      </c>
      <c r="F110" s="74" t="str">
        <f t="shared" si="33"/>
        <v>ATRASO</v>
      </c>
      <c r="G110" s="512">
        <v>1</v>
      </c>
      <c r="H110" s="513" t="s">
        <v>766</v>
      </c>
      <c r="I110" s="69">
        <v>3608.5</v>
      </c>
      <c r="J110" s="469">
        <f>IFERROR(VLOOKUP(CONCATENATE($B110,$C110,$D110,),Recebíveis!$A$5:$L$527,11,0),"Não bate")</f>
        <v>77108.5</v>
      </c>
      <c r="K110" s="226">
        <f t="shared" si="39"/>
        <v>4.6797694158231581E-2</v>
      </c>
      <c r="L110" s="226"/>
      <c r="M110" s="326" t="str">
        <f t="shared" si="41"/>
        <v>LONDRINA [ETAPA 04 - CONDOMINIO ARAGUARI]I</v>
      </c>
    </row>
    <row r="111" spans="1:13">
      <c r="A111" s="326" t="str">
        <f t="shared" si="40"/>
        <v>LONDRINA [ETAPA 01 - AREAS EXTERNAS G1 - G5]XI19</v>
      </c>
      <c r="B111" s="467" t="s">
        <v>37</v>
      </c>
      <c r="C111" s="422" t="s">
        <v>503</v>
      </c>
      <c r="D111" s="473">
        <v>19</v>
      </c>
      <c r="E111" s="74" t="s">
        <v>76</v>
      </c>
      <c r="F111" s="74" t="str">
        <f t="shared" ref="F111:F127" si="42">IF(H111="iv","INADIMPLENTE","ATRASO")</f>
        <v>ATRASO</v>
      </c>
      <c r="G111" s="512">
        <v>2</v>
      </c>
      <c r="H111" s="513" t="s">
        <v>764</v>
      </c>
      <c r="I111" s="69">
        <v>3017.86</v>
      </c>
      <c r="J111" s="469">
        <f>IFERROR(VLOOKUP(CONCATENATE($B111,$C111,$D111,),Recebíveis!$A$5:$L$527,11,0),"Não bate")</f>
        <v>86975.69</v>
      </c>
      <c r="K111" s="226">
        <f t="shared" si="39"/>
        <v>3.4697741403373748E-2</v>
      </c>
      <c r="L111" s="226"/>
      <c r="M111" s="326" t="str">
        <f t="shared" si="41"/>
        <v>LONDRINA [ETAPA 01 - AREAS EXTERNAS G1 - G5]II</v>
      </c>
    </row>
    <row r="112" spans="1:13">
      <c r="A112" s="326" t="str">
        <f t="shared" si="40"/>
        <v>LONDRINA [ETAPA 03 - CONDOMINIO ARANGUA]XL27</v>
      </c>
      <c r="B112" s="467" t="s">
        <v>33</v>
      </c>
      <c r="C112" s="422" t="s">
        <v>523</v>
      </c>
      <c r="D112" s="473">
        <v>27</v>
      </c>
      <c r="E112" s="74" t="s">
        <v>108</v>
      </c>
      <c r="F112" s="74" t="str">
        <f t="shared" si="42"/>
        <v>ATRASO</v>
      </c>
      <c r="G112" s="512">
        <v>2</v>
      </c>
      <c r="H112" s="513" t="s">
        <v>764</v>
      </c>
      <c r="I112" s="69">
        <v>3034.09</v>
      </c>
      <c r="J112" s="469">
        <f>IFERROR(VLOOKUP(CONCATENATE($B112,$C112,$D112,),Recebíveis!$A$5:$L$527,11,0),"Não bate")</f>
        <v>120967.68000000001</v>
      </c>
      <c r="K112" s="226">
        <f t="shared" si="39"/>
        <v>2.5081823508560301E-2</v>
      </c>
      <c r="L112" s="226"/>
      <c r="M112" s="326" t="str">
        <f t="shared" si="41"/>
        <v>LONDRINA [ETAPA 03 - CONDOMINIO ARANGUA]II</v>
      </c>
    </row>
    <row r="113" spans="1:13">
      <c r="A113" s="326" t="str">
        <f t="shared" si="40"/>
        <v>LONDRINA [ETAPA 03 - CONDOMINIO ARANGUA]XLI - A6</v>
      </c>
      <c r="B113" s="467" t="s">
        <v>33</v>
      </c>
      <c r="C113" s="422" t="s">
        <v>1079</v>
      </c>
      <c r="D113" s="473">
        <v>6</v>
      </c>
      <c r="E113" s="74" t="s">
        <v>563</v>
      </c>
      <c r="F113" s="74" t="str">
        <f t="shared" si="42"/>
        <v>ATRASO</v>
      </c>
      <c r="G113" s="512">
        <v>1</v>
      </c>
      <c r="H113" s="513" t="s">
        <v>766</v>
      </c>
      <c r="I113" s="69">
        <v>1662.33</v>
      </c>
      <c r="J113" s="469">
        <f>IFERROR(VLOOKUP(CONCATENATE($B113,$C113,$D113,),Recebíveis!$A$5:$L$527,11,0),"Não bate")</f>
        <v>125483.95</v>
      </c>
      <c r="K113" s="226">
        <f t="shared" si="39"/>
        <v>1.32473515537246E-2</v>
      </c>
      <c r="L113" s="226"/>
      <c r="M113" s="326" t="str">
        <f t="shared" si="41"/>
        <v>LONDRINA [ETAPA 03 - CONDOMINIO ARANGUA]I</v>
      </c>
    </row>
    <row r="114" spans="1:13">
      <c r="A114" s="326" t="str">
        <f t="shared" si="40"/>
        <v>LONDRINA [ETAPA 03 - AREAS EXTERNAS G3 - G7]XVI21</v>
      </c>
      <c r="B114" s="467" t="s">
        <v>36</v>
      </c>
      <c r="C114" s="422" t="s">
        <v>522</v>
      </c>
      <c r="D114" s="473">
        <v>21</v>
      </c>
      <c r="E114" s="74" t="s">
        <v>981</v>
      </c>
      <c r="F114" s="74" t="str">
        <f t="shared" si="42"/>
        <v>ATRASO</v>
      </c>
      <c r="G114" s="512">
        <v>2</v>
      </c>
      <c r="H114" s="513" t="s">
        <v>764</v>
      </c>
      <c r="I114" s="69">
        <v>3340.6</v>
      </c>
      <c r="J114" s="469">
        <f>IFERROR(VLOOKUP(CONCATENATE($B114,$C114,$D114,),Recebíveis!$A$5:$L$527,11,0),"Não bate")</f>
        <v>84545.3</v>
      </c>
      <c r="K114" s="226">
        <f t="shared" si="39"/>
        <v>3.9512545345512996E-2</v>
      </c>
      <c r="L114" s="226"/>
      <c r="M114" s="326" t="str">
        <f t="shared" si="41"/>
        <v>LONDRINA [ETAPA 03 - AREAS EXTERNAS G3 - G7]II</v>
      </c>
    </row>
    <row r="115" spans="1:13">
      <c r="A115" s="326" t="str">
        <f t="shared" si="40"/>
        <v>LONDRINA [ETAPA 04 - CONDOMINIO ARAGUARI]XLIV5</v>
      </c>
      <c r="B115" s="467" t="s">
        <v>878</v>
      </c>
      <c r="C115" s="422" t="s">
        <v>623</v>
      </c>
      <c r="D115" s="473">
        <v>5</v>
      </c>
      <c r="E115" s="74" t="s">
        <v>1155</v>
      </c>
      <c r="F115" s="74" t="str">
        <f t="shared" si="42"/>
        <v>ATRASO</v>
      </c>
      <c r="G115" s="512">
        <v>2</v>
      </c>
      <c r="H115" s="513" t="s">
        <v>764</v>
      </c>
      <c r="I115" s="69">
        <v>3776.97</v>
      </c>
      <c r="J115" s="469">
        <f>IFERROR(VLOOKUP(CONCATENATE($B115,$C115,$D115,),Recebíveis!$A$5:$L$527,11,0),"Não bate")</f>
        <v>193594.80000000002</v>
      </c>
      <c r="K115" s="226">
        <f t="shared" si="39"/>
        <v>1.9509666581953643E-2</v>
      </c>
      <c r="L115" s="226"/>
      <c r="M115" s="326" t="str">
        <f t="shared" si="41"/>
        <v>LONDRINA [ETAPA 04 - CONDOMINIO ARAGUARI]II</v>
      </c>
    </row>
    <row r="116" spans="1:13">
      <c r="A116" s="326" t="str">
        <f t="shared" si="40"/>
        <v>LONDRINA [ETAPA 03 - CONDOMINIO ARANGUA]XLIII8</v>
      </c>
      <c r="B116" s="467" t="s">
        <v>33</v>
      </c>
      <c r="C116" s="422" t="s">
        <v>526</v>
      </c>
      <c r="D116" s="473">
        <v>8</v>
      </c>
      <c r="E116" s="74" t="s">
        <v>1317</v>
      </c>
      <c r="F116" s="74" t="str">
        <f t="shared" si="42"/>
        <v>ATRASO</v>
      </c>
      <c r="G116" s="512">
        <v>2</v>
      </c>
      <c r="H116" s="513" t="s">
        <v>764</v>
      </c>
      <c r="I116" s="69">
        <v>2984.02</v>
      </c>
      <c r="J116" s="469">
        <f>IFERROR(VLOOKUP(CONCATENATE($B116,$C116,$D116,),Recebíveis!$A$5:$L$527,11,0),"Não bate")</f>
        <v>124491.75</v>
      </c>
      <c r="K116" s="226">
        <f t="shared" si="39"/>
        <v>2.3969620476858907E-2</v>
      </c>
      <c r="L116" s="226"/>
      <c r="M116" s="326" t="str">
        <f t="shared" si="41"/>
        <v>LONDRINA [ETAPA 03 - CONDOMINIO ARANGUA]II</v>
      </c>
    </row>
    <row r="117" spans="1:13">
      <c r="A117" s="326" t="str">
        <f t="shared" si="40"/>
        <v>LONDRINA [ETAPA 03 - CONDOMINIO ARANGUA]XLI - A5</v>
      </c>
      <c r="B117" s="467" t="s">
        <v>33</v>
      </c>
      <c r="C117" s="422" t="s">
        <v>1079</v>
      </c>
      <c r="D117" s="473">
        <v>5</v>
      </c>
      <c r="E117" s="74" t="s">
        <v>562</v>
      </c>
      <c r="F117" s="74" t="str">
        <f t="shared" si="42"/>
        <v>ATRASO</v>
      </c>
      <c r="G117" s="512">
        <v>2</v>
      </c>
      <c r="H117" s="513" t="s">
        <v>766</v>
      </c>
      <c r="I117" s="69">
        <v>6347.35</v>
      </c>
      <c r="J117" s="469">
        <f>IFERROR(VLOOKUP(CONCATENATE($B117,$C117,$D117,),Recebíveis!$A$5:$L$527,11,0),"Não bate")</f>
        <v>130367.01000000001</v>
      </c>
      <c r="K117" s="226">
        <f t="shared" si="39"/>
        <v>4.8688314628064264E-2</v>
      </c>
      <c r="L117" s="514"/>
      <c r="M117" s="326" t="str">
        <f t="shared" si="41"/>
        <v>LONDRINA [ETAPA 03 - CONDOMINIO ARANGUA]I</v>
      </c>
    </row>
    <row r="118" spans="1:13">
      <c r="A118" s="326" t="str">
        <f t="shared" si="40"/>
        <v>LONDRINA [ETAPA 01 - CONDOMINIO ARAÇARI]XXIV13</v>
      </c>
      <c r="B118" s="467" t="s">
        <v>34</v>
      </c>
      <c r="C118" s="510" t="s">
        <v>508</v>
      </c>
      <c r="D118" s="511">
        <v>13</v>
      </c>
      <c r="E118" s="74" t="s">
        <v>309</v>
      </c>
      <c r="F118" s="74" t="str">
        <f t="shared" si="42"/>
        <v>ATRASO</v>
      </c>
      <c r="G118" s="512">
        <v>1</v>
      </c>
      <c r="H118" s="513" t="s">
        <v>766</v>
      </c>
      <c r="I118" s="69">
        <v>1384.1</v>
      </c>
      <c r="J118" s="469">
        <f>IFERROR(VLOOKUP(CONCATENATE($B118,$C118,$D118,),Recebíveis!$A$5:$L$527,11,0),"Não bate")</f>
        <v>94012.03</v>
      </c>
      <c r="K118" s="226">
        <f t="shared" si="39"/>
        <v>1.4722583907612673E-2</v>
      </c>
      <c r="L118" s="514"/>
      <c r="M118" s="326" t="str">
        <f t="shared" si="41"/>
        <v>LONDRINA [ETAPA 01 - CONDOMINIO ARAÇARI]I</v>
      </c>
    </row>
    <row r="119" spans="1:13">
      <c r="A119" s="326" t="str">
        <f t="shared" si="40"/>
        <v>LONDRINA [ETAPA 03 - AREAS EXTERNAS G3 - G7]XVI20</v>
      </c>
      <c r="B119" s="467" t="s">
        <v>36</v>
      </c>
      <c r="C119" s="377" t="s">
        <v>522</v>
      </c>
      <c r="D119" s="511">
        <v>20</v>
      </c>
      <c r="E119" s="74" t="s">
        <v>139</v>
      </c>
      <c r="F119" s="74" t="str">
        <f t="shared" si="42"/>
        <v>ATRASO</v>
      </c>
      <c r="G119" s="512">
        <v>1</v>
      </c>
      <c r="H119" s="513" t="s">
        <v>766</v>
      </c>
      <c r="I119" s="69">
        <v>1711.62</v>
      </c>
      <c r="J119" s="469">
        <f>IFERROR(VLOOKUP(CONCATENATE($B119,$C119,$D119,),Recebíveis!$A$5:$L$527,11,0),"Não bate")</f>
        <v>120441.29000000001</v>
      </c>
      <c r="K119" s="226">
        <f t="shared" si="39"/>
        <v>1.4211239351554602E-2</v>
      </c>
      <c r="L119" s="514"/>
      <c r="M119" s="326" t="str">
        <f t="shared" si="41"/>
        <v>LONDRINA [ETAPA 03 - AREAS EXTERNAS G3 - G7]I</v>
      </c>
    </row>
    <row r="120" spans="1:13">
      <c r="A120" s="326" t="str">
        <f t="shared" si="40"/>
        <v>LONDRINA [ETAPA 04 - AREAS EXTERNAS G4 - G8]XIV16</v>
      </c>
      <c r="B120" s="227" t="s">
        <v>612</v>
      </c>
      <c r="C120" s="422" t="s">
        <v>614</v>
      </c>
      <c r="D120" s="511">
        <v>16</v>
      </c>
      <c r="E120" s="74" t="s">
        <v>952</v>
      </c>
      <c r="F120" s="74" t="str">
        <f t="shared" si="42"/>
        <v>ATRASO</v>
      </c>
      <c r="G120" s="512">
        <v>1</v>
      </c>
      <c r="H120" s="513" t="s">
        <v>766</v>
      </c>
      <c r="I120" s="69">
        <v>1907.64</v>
      </c>
      <c r="J120" s="469">
        <f>IFERROR(VLOOKUP(CONCATENATE($B120,$C120,$D120,),Recebíveis!$A$5:$L$527,11,0),"Não bate")</f>
        <v>92299.66</v>
      </c>
      <c r="K120" s="226">
        <f t="shared" si="39"/>
        <v>2.0667898451630265E-2</v>
      </c>
      <c r="L120" s="514"/>
      <c r="M120" s="326" t="str">
        <f t="shared" si="41"/>
        <v>LONDRINA [ETAPA 04 - AREAS EXTERNAS G4 - G8]I</v>
      </c>
    </row>
    <row r="121" spans="1:13">
      <c r="A121" s="326" t="str">
        <f t="shared" si="40"/>
        <v>LONDRINA [ETAPA 03 - CONDOMINIO ARANGUA]XLI17</v>
      </c>
      <c r="B121" s="467" t="s">
        <v>33</v>
      </c>
      <c r="C121" s="422" t="s">
        <v>524</v>
      </c>
      <c r="D121" s="511">
        <v>17</v>
      </c>
      <c r="E121" s="74" t="s">
        <v>1374</v>
      </c>
      <c r="F121" s="74" t="str">
        <f t="shared" si="42"/>
        <v>ATRASO</v>
      </c>
      <c r="G121" s="512">
        <v>1</v>
      </c>
      <c r="H121" s="513" t="s">
        <v>766</v>
      </c>
      <c r="I121" s="69">
        <v>1551.65</v>
      </c>
      <c r="J121" s="469">
        <f>IFERROR(VLOOKUP(CONCATENATE($B121,$C121,$D121,),Recebíveis!$A$5:$L$527,11,0),"Não bate")</f>
        <v>128753.04000000001</v>
      </c>
      <c r="K121" s="226">
        <f t="shared" si="39"/>
        <v>1.2051365932796616E-2</v>
      </c>
      <c r="L121" s="514"/>
      <c r="M121" s="326" t="str">
        <f t="shared" si="41"/>
        <v>LONDRINA [ETAPA 03 - CONDOMINIO ARANGUA]I</v>
      </c>
    </row>
    <row r="122" spans="1:13">
      <c r="A122" s="326" t="str">
        <f t="shared" si="40"/>
        <v>LONDRINA [ETAPA 03 - CONDOMINIO ARANGUA]XXXIX38</v>
      </c>
      <c r="B122" s="467" t="s">
        <v>33</v>
      </c>
      <c r="C122" s="422" t="s">
        <v>527</v>
      </c>
      <c r="D122" s="511">
        <v>38</v>
      </c>
      <c r="E122" s="74" t="s">
        <v>1410</v>
      </c>
      <c r="F122" s="74" t="str">
        <f t="shared" si="42"/>
        <v>ATRASO</v>
      </c>
      <c r="G122" s="512">
        <v>1</v>
      </c>
      <c r="H122" s="513" t="s">
        <v>766</v>
      </c>
      <c r="I122" s="69">
        <v>2119.65</v>
      </c>
      <c r="J122" s="469">
        <f>IFERROR(VLOOKUP(CONCATENATE($B122,$C122,$D122,),Recebíveis!$A$5:$L$527,11,0),"Não bate")</f>
        <v>187277.63</v>
      </c>
      <c r="K122" s="226">
        <f t="shared" si="39"/>
        <v>1.1318223110790114E-2</v>
      </c>
      <c r="L122" s="514"/>
      <c r="M122" s="326" t="str">
        <f t="shared" si="41"/>
        <v>LONDRINA [ETAPA 03 - CONDOMINIO ARANGUA]I</v>
      </c>
    </row>
    <row r="123" spans="1:13">
      <c r="A123" s="326" t="str">
        <f t="shared" si="40"/>
        <v>LONDRINA [ETAPA 04 - AREAS EXTERNAS G4 - G8]X24</v>
      </c>
      <c r="B123" s="227" t="s">
        <v>612</v>
      </c>
      <c r="C123" s="422" t="s">
        <v>613</v>
      </c>
      <c r="D123" s="511">
        <v>24</v>
      </c>
      <c r="E123" s="74" t="s">
        <v>1488</v>
      </c>
      <c r="F123" s="74" t="str">
        <f t="shared" si="42"/>
        <v>ATRASO</v>
      </c>
      <c r="G123" s="512">
        <v>1</v>
      </c>
      <c r="H123" s="513" t="s">
        <v>766</v>
      </c>
      <c r="I123" s="69">
        <v>3116.28</v>
      </c>
      <c r="J123" s="469">
        <f>IFERROR(VLOOKUP(CONCATENATE($B123,$C123,$D123,),Recebíveis!$A$5:$L$527,11,0),"Não bate")</f>
        <v>141749.26</v>
      </c>
      <c r="K123" s="226">
        <f t="shared" si="39"/>
        <v>2.1984453393266393E-2</v>
      </c>
      <c r="L123" s="514"/>
      <c r="M123" s="326" t="str">
        <f t="shared" si="41"/>
        <v>LONDRINA [ETAPA 04 - AREAS EXTERNAS G4 - G8]I</v>
      </c>
    </row>
    <row r="124" spans="1:13">
      <c r="A124" s="326" t="str">
        <f t="shared" si="40"/>
        <v>LONDRINA [ETAPA 04 - AREAS EXTERNAS G4 - G8]X25</v>
      </c>
      <c r="B124" s="227" t="s">
        <v>612</v>
      </c>
      <c r="C124" s="422" t="s">
        <v>613</v>
      </c>
      <c r="D124" s="511">
        <v>25</v>
      </c>
      <c r="E124" s="74" t="s">
        <v>1488</v>
      </c>
      <c r="F124" s="74" t="str">
        <f t="shared" si="42"/>
        <v>ATRASO</v>
      </c>
      <c r="G124" s="512">
        <v>1</v>
      </c>
      <c r="H124" s="513" t="s">
        <v>766</v>
      </c>
      <c r="I124" s="69">
        <v>3116.28</v>
      </c>
      <c r="J124" s="469">
        <f>IFERROR(VLOOKUP(CONCATENATE($B124,$C124,$D124,),Recebíveis!$A$5:$L$527,11,0),"Não bate")</f>
        <v>141749.26</v>
      </c>
      <c r="K124" s="226">
        <f t="shared" si="39"/>
        <v>2.1984453393266393E-2</v>
      </c>
      <c r="L124" s="514"/>
      <c r="M124" s="326" t="str">
        <f t="shared" si="41"/>
        <v>LONDRINA [ETAPA 04 - AREAS EXTERNAS G4 - G8]I</v>
      </c>
    </row>
    <row r="125" spans="1:13">
      <c r="A125" s="326" t="str">
        <f t="shared" si="40"/>
        <v>LONDRINA [ETAPA 04 - AREAS EXTERNAS G4 - G8]X26</v>
      </c>
      <c r="B125" s="227" t="s">
        <v>612</v>
      </c>
      <c r="C125" s="422" t="s">
        <v>613</v>
      </c>
      <c r="D125" s="511">
        <v>26</v>
      </c>
      <c r="E125" s="74" t="s">
        <v>1488</v>
      </c>
      <c r="F125" s="74" t="str">
        <f t="shared" si="42"/>
        <v>ATRASO</v>
      </c>
      <c r="G125" s="512">
        <v>1</v>
      </c>
      <c r="H125" s="513" t="s">
        <v>766</v>
      </c>
      <c r="I125" s="69">
        <v>3116.28</v>
      </c>
      <c r="J125" s="469">
        <f>IFERROR(VLOOKUP(CONCATENATE($B125,$C125,$D125,),Recebíveis!$A$5:$L$527,11,0),"Não bate")</f>
        <v>141749.26</v>
      </c>
      <c r="K125" s="226">
        <f t="shared" si="39"/>
        <v>2.1984453393266393E-2</v>
      </c>
      <c r="L125" s="514"/>
      <c r="M125" s="326" t="str">
        <f t="shared" si="41"/>
        <v>LONDRINA [ETAPA 04 - AREAS EXTERNAS G4 - G8]I</v>
      </c>
    </row>
    <row r="126" spans="1:13">
      <c r="A126" s="326" t="str">
        <f t="shared" si="40"/>
        <v>LONDRINA [ETAPA 04 - CONDOMINIO ARAGUARI]XLVI22</v>
      </c>
      <c r="B126" s="472" t="s">
        <v>878</v>
      </c>
      <c r="C126" s="422" t="s">
        <v>617</v>
      </c>
      <c r="D126" s="511">
        <v>22</v>
      </c>
      <c r="E126" s="74" t="s">
        <v>1488</v>
      </c>
      <c r="F126" s="74" t="str">
        <f t="shared" si="42"/>
        <v>ATRASO</v>
      </c>
      <c r="G126" s="512">
        <v>1</v>
      </c>
      <c r="H126" s="513" t="s">
        <v>766</v>
      </c>
      <c r="I126" s="69">
        <v>3265</v>
      </c>
      <c r="J126" s="469">
        <f>IFERROR(VLOOKUP(CONCATENATE($B126,$C126,$D126,),Recebíveis!$A$5:$L$527,11,0),"Não bate")</f>
        <v>194979.4</v>
      </c>
      <c r="K126" s="226">
        <f t="shared" si="39"/>
        <v>1.6745358740461812E-2</v>
      </c>
      <c r="L126" s="514"/>
      <c r="M126" s="326" t="str">
        <f t="shared" si="41"/>
        <v>LONDRINA [ETAPA 04 - CONDOMINIO ARAGUARI]I</v>
      </c>
    </row>
    <row r="127" spans="1:13">
      <c r="A127" s="326" t="str">
        <f t="shared" si="40"/>
        <v>LONDRINA [ETAPA 04 - CONDOMINIO ARAGUARI]XLVIII32</v>
      </c>
      <c r="B127" s="472" t="s">
        <v>878</v>
      </c>
      <c r="C127" s="422" t="s">
        <v>619</v>
      </c>
      <c r="D127" s="511">
        <v>32</v>
      </c>
      <c r="E127" s="74" t="s">
        <v>1489</v>
      </c>
      <c r="F127" s="74" t="str">
        <f t="shared" si="42"/>
        <v>ATRASO</v>
      </c>
      <c r="G127" s="512">
        <v>1</v>
      </c>
      <c r="H127" s="513" t="s">
        <v>766</v>
      </c>
      <c r="I127" s="69">
        <v>153300</v>
      </c>
      <c r="J127" s="469">
        <f>IFERROR(VLOOKUP(CONCATENATE($B127,$C127,$D127,),Recebíveis!$A$5:$L$527,11,0),"Não bate")</f>
        <v>153300</v>
      </c>
      <c r="K127" s="226">
        <f t="shared" si="39"/>
        <v>1</v>
      </c>
      <c r="L127" s="514"/>
      <c r="M127" s="326" t="str">
        <f t="shared" si="41"/>
        <v>LONDRINA [ETAPA 04 - CONDOMINIO ARAGUARI]I</v>
      </c>
    </row>
    <row r="128" spans="1:13">
      <c r="I128" s="515"/>
    </row>
  </sheetData>
  <autoFilter ref="B5:L124" xr:uid="{00000000-0009-0000-0000-000003000000}"/>
  <mergeCells count="1">
    <mergeCell ref="B2:G2"/>
  </mergeCells>
  <pageMargins left="0.511811024" right="0.511811024" top="0.78740157499999996" bottom="0.78740157499999996" header="0.31496062000000002" footer="0.31496062000000002"/>
  <pageSetup paperSize="9" scale="15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>
    <pageSetUpPr fitToPage="1"/>
  </sheetPr>
  <dimension ref="A1:XEN484"/>
  <sheetViews>
    <sheetView showGridLines="0" topLeftCell="A3" zoomScale="80" zoomScaleNormal="80" workbookViewId="0">
      <selection activeCell="E19" sqref="E19"/>
    </sheetView>
  </sheetViews>
  <sheetFormatPr defaultColWidth="9.140625" defaultRowHeight="15"/>
  <cols>
    <col min="1" max="1" width="3.5703125" style="5" customWidth="1"/>
    <col min="2" max="2" width="52.5703125" style="5" bestFit="1" customWidth="1"/>
    <col min="3" max="3" width="14.28515625" style="7" customWidth="1"/>
    <col min="4" max="4" width="15.140625" style="24" bestFit="1" customWidth="1"/>
    <col min="5" max="5" width="14.28515625" style="181" customWidth="1"/>
    <col min="6" max="6" width="14.28515625" style="199" customWidth="1"/>
    <col min="7" max="7" width="45.7109375" style="5" customWidth="1"/>
    <col min="8" max="8" width="15.28515625" style="52" customWidth="1"/>
    <col min="9" max="9" width="64.28515625" style="52" hidden="1" customWidth="1"/>
    <col min="10" max="10" width="23.5703125" style="52" hidden="1" customWidth="1"/>
    <col min="11" max="11" width="24.5703125" style="9" bestFit="1" customWidth="1"/>
    <col min="12" max="12" width="17.28515625" style="9" bestFit="1" customWidth="1"/>
    <col min="13" max="13" width="15" style="5" customWidth="1"/>
    <col min="14" max="14" width="13.85546875" style="5" bestFit="1" customWidth="1"/>
    <col min="15" max="15" width="9.140625" style="5" customWidth="1"/>
    <col min="16" max="16" width="9.140625" style="5"/>
    <col min="17" max="17" width="9.140625" style="107"/>
    <col min="18" max="18" width="56" style="5" bestFit="1" customWidth="1"/>
    <col min="19" max="19" width="25.42578125" style="5" customWidth="1"/>
    <col min="20" max="20" width="20" style="5" bestFit="1" customWidth="1"/>
    <col min="21" max="21" width="20.7109375" style="5" bestFit="1" customWidth="1"/>
    <col min="22" max="22" width="20.85546875" style="5" bestFit="1" customWidth="1"/>
    <col min="23" max="23" width="17.28515625" style="5" bestFit="1" customWidth="1"/>
    <col min="24" max="25" width="14.7109375" style="5" customWidth="1"/>
    <col min="26" max="26" width="56" style="5" bestFit="1" customWidth="1"/>
    <col min="27" max="27" width="22.42578125" style="5" bestFit="1" customWidth="1"/>
    <col min="28" max="28" width="17" style="5" bestFit="1" customWidth="1"/>
    <col min="29" max="29" width="14.7109375" style="5" customWidth="1"/>
    <col min="30" max="30" width="18.5703125" style="5" customWidth="1"/>
    <col min="31" max="31" width="67.7109375" style="5" bestFit="1" customWidth="1"/>
    <col min="32" max="45" width="14.7109375" style="5" customWidth="1"/>
    <col min="46" max="16384" width="9.140625" style="5"/>
  </cols>
  <sheetData>
    <row r="1" spans="1:1024 1026:2047 2049:7168 7170:8191 8193:12288 12290:13311 13313:16368" ht="7.5" customHeight="1" thickBot="1"/>
    <row r="2" spans="1:1024 1026:2047 2049:7168 7170:8191 8193:12288 12290:13311 13313:16368" ht="15.75" thickBot="1">
      <c r="B2" s="531" t="s">
        <v>1</v>
      </c>
      <c r="C2" s="532"/>
      <c r="D2" s="532"/>
      <c r="E2" s="532"/>
      <c r="F2" s="547"/>
      <c r="G2" s="532"/>
      <c r="H2" s="532"/>
      <c r="I2" s="532"/>
      <c r="J2" s="532"/>
      <c r="K2" s="532"/>
      <c r="L2" s="532"/>
      <c r="M2" s="533"/>
    </row>
    <row r="3" spans="1:1024 1026:2047 2049:7168 7170:8191 8193:12288 12290:13311 13313:16368">
      <c r="N3" s="396"/>
      <c r="O3" s="490"/>
      <c r="P3" s="490"/>
    </row>
    <row r="4" spans="1:1024 1026:2047 2049:7168 7170:8191 8193:12288 12290:13311 13313:16368" ht="30">
      <c r="B4" s="1" t="s">
        <v>3</v>
      </c>
      <c r="C4" s="2" t="s">
        <v>4</v>
      </c>
      <c r="D4" s="2" t="s">
        <v>5</v>
      </c>
      <c r="E4" s="4" t="s">
        <v>905</v>
      </c>
      <c r="F4" s="200" t="s">
        <v>624</v>
      </c>
      <c r="G4" s="1" t="s">
        <v>6</v>
      </c>
      <c r="H4" s="3" t="s">
        <v>9</v>
      </c>
      <c r="I4" s="3"/>
      <c r="J4" s="3" t="s">
        <v>555</v>
      </c>
      <c r="K4" s="4" t="s">
        <v>10</v>
      </c>
      <c r="L4" s="4" t="s">
        <v>15</v>
      </c>
      <c r="M4" s="493" t="s">
        <v>611</v>
      </c>
      <c r="N4" s="396"/>
      <c r="O4" s="490"/>
      <c r="P4" s="490"/>
      <c r="R4" s="553" t="s">
        <v>1018</v>
      </c>
      <c r="S4" s="554"/>
      <c r="T4" s="554"/>
      <c r="U4" s="554"/>
      <c r="V4" s="554"/>
      <c r="W4" s="554"/>
      <c r="X4" s="554"/>
      <c r="Y4" s="554"/>
    </row>
    <row r="5" spans="1:1024 1026:2047 2049:7168 7170:8191 8193:12288 12290:13311 13313:16368" s="335" customFormat="1">
      <c r="A5" s="61" t="str">
        <f t="shared" ref="A5:A68" si="0">CONCATENATE(B5,C5,D5)</f>
        <v>LONDRINA [ETAPA 01 - AREAS EXTERNAS G1 - G5]VII11</v>
      </c>
      <c r="B5" s="41" t="s">
        <v>37</v>
      </c>
      <c r="C5" s="42" t="s">
        <v>532</v>
      </c>
      <c r="D5" s="45">
        <v>11</v>
      </c>
      <c r="E5" s="64">
        <v>252.75</v>
      </c>
      <c r="F5" s="202"/>
      <c r="G5" s="41"/>
      <c r="H5" s="204"/>
      <c r="I5" s="259" t="str">
        <f>CONCATENATE(B5,MONTH(H5),"/",YEAR(H5))</f>
        <v>LONDRINA [ETAPA 01 - AREAS EXTERNAS G1 - G5]1/1900</v>
      </c>
      <c r="J5" s="53" t="str">
        <f>CONCATENATE(L5,MONTH(H5),"/",YEAR(H5))</f>
        <v>Distrato1/1900</v>
      </c>
      <c r="K5" s="43"/>
      <c r="L5" s="41" t="s">
        <v>570</v>
      </c>
      <c r="M5" s="504">
        <v>183695.91975000003</v>
      </c>
      <c r="N5" s="494" t="str">
        <f t="shared" ref="N5:N68" si="1">IF(M5&gt;0,"VGV","VENDA")</f>
        <v>VGV</v>
      </c>
      <c r="O5" s="491" t="str">
        <f>CONCATENATE(B5,N5)</f>
        <v>LONDRINA [ETAPA 01 - AREAS EXTERNAS G1 - G5]VGV</v>
      </c>
      <c r="P5" s="492" t="str">
        <f>CONCATENATE(N5,L5,B5)</f>
        <v>VGVDistratoLONDRINA [ETAPA 01 - AREAS EXTERNAS G1 - G5]</v>
      </c>
      <c r="Q5" s="485"/>
      <c r="R5" s="384"/>
      <c r="S5" s="384"/>
      <c r="T5" s="384"/>
      <c r="U5" s="384"/>
      <c r="V5" s="384"/>
      <c r="W5" s="384"/>
      <c r="X5" s="384"/>
      <c r="Y5" s="38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1024 1026:2047 2049:7168 7170:8191 8193:12288 12290:13311 13313:16368" s="335" customFormat="1">
      <c r="A6" s="61" t="str">
        <f t="shared" si="0"/>
        <v>LONDRINA [ETAPA 01 - AREAS EXTERNAS G1 - G5]VII14</v>
      </c>
      <c r="B6" s="41" t="s">
        <v>37</v>
      </c>
      <c r="C6" s="42" t="s">
        <v>532</v>
      </c>
      <c r="D6" s="45">
        <v>14</v>
      </c>
      <c r="E6" s="64">
        <v>252.5</v>
      </c>
      <c r="F6" s="202"/>
      <c r="G6" s="41"/>
      <c r="H6" s="204"/>
      <c r="I6" s="259" t="str">
        <f>CONCATENATE(B6,MONTH(H6),"/",YEAR(H6))</f>
        <v>LONDRINA [ETAPA 01 - AREAS EXTERNAS G1 - G5]1/1900</v>
      </c>
      <c r="J6" s="53" t="str">
        <f>CONCATENATE(L6,MONTH(H6),"/",YEAR(H6))</f>
        <v>Distrato1/1900</v>
      </c>
      <c r="K6" s="43"/>
      <c r="L6" s="41" t="s">
        <v>570</v>
      </c>
      <c r="M6" s="334">
        <v>183514.22250000003</v>
      </c>
      <c r="N6" s="494" t="str">
        <f t="shared" si="1"/>
        <v>VGV</v>
      </c>
      <c r="O6" s="491" t="str">
        <f t="shared" ref="O6:O69" si="2">CONCATENATE(B6,N6)</f>
        <v>LONDRINA [ETAPA 01 - AREAS EXTERNAS G1 - G5]VGV</v>
      </c>
      <c r="P6" s="492" t="str">
        <f t="shared" ref="P6:P69" si="3">CONCATENATE(N6,L6,B6)</f>
        <v>VGVDistratoLONDRINA [ETAPA 01 - AREAS EXTERNAS G1 - G5]</v>
      </c>
      <c r="Q6" s="485"/>
      <c r="R6" s="384"/>
      <c r="S6" s="384"/>
      <c r="T6" s="384"/>
      <c r="U6" s="384"/>
      <c r="V6" s="384"/>
      <c r="W6" s="384"/>
      <c r="X6" s="384"/>
      <c r="Y6" s="384"/>
      <c r="AJ6" s="5"/>
      <c r="AK6" s="5"/>
      <c r="AL6" s="5"/>
      <c r="AM6" s="5"/>
      <c r="AN6" s="5"/>
      <c r="AO6" s="5"/>
    </row>
    <row r="7" spans="1:1024 1026:2047 2049:7168 7170:8191 8193:12288 12290:13311 13313:16368" s="335" customFormat="1">
      <c r="A7" s="61" t="str">
        <f t="shared" si="0"/>
        <v>LONDRINA [ETAPA 01 - AREAS EXTERNAS G1 - G5]VII24</v>
      </c>
      <c r="B7" s="41" t="s">
        <v>37</v>
      </c>
      <c r="C7" s="42" t="s">
        <v>532</v>
      </c>
      <c r="D7" s="45">
        <v>24</v>
      </c>
      <c r="E7" s="154">
        <v>252.5</v>
      </c>
      <c r="F7" s="202"/>
      <c r="G7" s="41"/>
      <c r="H7" s="204"/>
      <c r="I7" s="259" t="str">
        <f>CONCATENATE(B7,MONTH(H7),"/",YEAR(H7))</f>
        <v>LONDRINA [ETAPA 01 - AREAS EXTERNAS G1 - G5]1/1900</v>
      </c>
      <c r="J7" s="53" t="str">
        <f t="shared" ref="J7:J70" si="4">CONCATENATE(L7,MONTH(H7),"/",YEAR(H7))</f>
        <v>Distrato1/1900</v>
      </c>
      <c r="K7" s="43"/>
      <c r="L7" s="41" t="s">
        <v>570</v>
      </c>
      <c r="M7" s="334">
        <v>183514.22250000003</v>
      </c>
      <c r="N7" s="494" t="str">
        <f t="shared" si="1"/>
        <v>VGV</v>
      </c>
      <c r="O7" s="491" t="str">
        <f t="shared" si="2"/>
        <v>LONDRINA [ETAPA 01 - AREAS EXTERNAS G1 - G5]VGV</v>
      </c>
      <c r="P7" s="492" t="str">
        <f t="shared" si="3"/>
        <v>VGVDistratoLONDRINA [ETAPA 01 - AREAS EXTERNAS G1 - G5]</v>
      </c>
      <c r="Q7" s="485"/>
      <c r="R7" s="384"/>
      <c r="S7" s="384"/>
      <c r="T7" s="384"/>
      <c r="U7" s="384"/>
      <c r="V7" s="384"/>
      <c r="W7" s="384"/>
      <c r="X7" s="384"/>
      <c r="Y7" s="384"/>
      <c r="AJ7" s="5"/>
      <c r="AK7" s="5"/>
      <c r="AL7" s="5"/>
      <c r="AM7" s="5"/>
      <c r="AN7" s="5"/>
      <c r="AO7" s="5"/>
    </row>
    <row r="8" spans="1:1024 1026:2047 2049:7168 7170:8191 8193:12288 12290:13311 13313:16368" s="107" customFormat="1">
      <c r="A8" s="61" t="str">
        <f t="shared" si="0"/>
        <v>LONDRINA [ETAPA 01 - AREAS EXTERNAS G1 - G5]VII25</v>
      </c>
      <c r="B8" s="41" t="s">
        <v>37</v>
      </c>
      <c r="C8" s="42" t="s">
        <v>532</v>
      </c>
      <c r="D8" s="45">
        <v>25</v>
      </c>
      <c r="E8" s="64">
        <v>252.75</v>
      </c>
      <c r="F8" s="378">
        <v>4953</v>
      </c>
      <c r="G8" s="41" t="s">
        <v>1394</v>
      </c>
      <c r="H8" s="204">
        <v>44187</v>
      </c>
      <c r="I8" s="259" t="str">
        <f t="shared" ref="I8:I71" si="5">CONCATENATE(B8,MONTH(H8),"/",YEAR(H8))</f>
        <v>LONDRINA [ETAPA 01 - AREAS EXTERNAS G1 - G5]12/2020</v>
      </c>
      <c r="J8" s="53" t="str">
        <f t="shared" si="4"/>
        <v>Distrato12/2020</v>
      </c>
      <c r="K8" s="43">
        <v>159800.1</v>
      </c>
      <c r="L8" s="41" t="s">
        <v>570</v>
      </c>
      <c r="M8" s="43">
        <v>0</v>
      </c>
      <c r="N8" s="494" t="str">
        <f t="shared" si="1"/>
        <v>VENDA</v>
      </c>
      <c r="O8" s="491" t="str">
        <f t="shared" si="2"/>
        <v>LONDRINA [ETAPA 01 - AREAS EXTERNAS G1 - G5]VENDA</v>
      </c>
      <c r="P8" s="492" t="str">
        <f t="shared" si="3"/>
        <v>VENDADistratoLONDRINA [ETAPA 01 - AREAS EXTERNAS G1 - G5]</v>
      </c>
      <c r="Q8" s="485"/>
      <c r="R8" s="5"/>
      <c r="S8" s="7"/>
      <c r="T8" s="24"/>
      <c r="U8" s="63"/>
      <c r="V8" s="63"/>
      <c r="X8" s="237"/>
      <c r="Y8" s="5"/>
      <c r="Z8" s="239"/>
      <c r="AJ8" s="5"/>
      <c r="AK8" s="5"/>
      <c r="AL8" s="5"/>
      <c r="AM8" s="5"/>
      <c r="AN8" s="5"/>
      <c r="AO8" s="5"/>
      <c r="AP8" s="235"/>
      <c r="AQ8" s="236"/>
      <c r="AR8" s="63"/>
      <c r="AS8" s="63"/>
      <c r="AU8" s="237"/>
      <c r="AV8" s="238"/>
      <c r="AW8" s="239"/>
      <c r="AX8" s="239"/>
      <c r="AY8" s="59"/>
      <c r="BA8" s="235"/>
      <c r="BB8" s="236"/>
      <c r="BC8" s="63"/>
      <c r="BD8" s="63"/>
      <c r="BF8" s="237"/>
      <c r="BG8" s="238"/>
      <c r="BH8" s="239"/>
      <c r="BI8" s="239"/>
      <c r="BJ8" s="59"/>
      <c r="BL8" s="235"/>
      <c r="BM8" s="236"/>
      <c r="BN8" s="63"/>
      <c r="BO8" s="63"/>
      <c r="BQ8" s="237"/>
      <c r="BR8" s="238"/>
      <c r="BS8" s="239"/>
      <c r="BT8" s="239"/>
      <c r="BU8" s="59"/>
      <c r="BW8" s="235"/>
      <c r="BX8" s="236"/>
      <c r="BY8" s="63"/>
      <c r="BZ8" s="63"/>
      <c r="CB8" s="237"/>
      <c r="CC8" s="238"/>
      <c r="CD8" s="239"/>
      <c r="CE8" s="239"/>
      <c r="CF8" s="59"/>
      <c r="CH8" s="235"/>
      <c r="CI8" s="236"/>
      <c r="CJ8" s="63"/>
      <c r="CK8" s="63"/>
      <c r="CM8" s="237"/>
      <c r="CN8" s="238"/>
      <c r="CO8" s="239"/>
      <c r="CP8" s="239"/>
      <c r="CQ8" s="59"/>
      <c r="CS8" s="235"/>
      <c r="CT8" s="236"/>
      <c r="CU8" s="63"/>
      <c r="CV8" s="63"/>
      <c r="CX8" s="237"/>
      <c r="CY8" s="238"/>
      <c r="CZ8" s="239"/>
      <c r="DA8" s="239"/>
      <c r="DB8" s="59"/>
      <c r="DD8" s="235"/>
      <c r="DE8" s="236"/>
      <c r="DF8" s="63"/>
      <c r="DG8" s="63"/>
      <c r="DI8" s="237"/>
      <c r="DJ8" s="238"/>
      <c r="DK8" s="239"/>
      <c r="DL8" s="239"/>
      <c r="DM8" s="59"/>
      <c r="DO8" s="235"/>
      <c r="DP8" s="236"/>
      <c r="DQ8" s="63"/>
      <c r="DR8" s="63"/>
      <c r="DT8" s="237"/>
      <c r="DU8" s="238"/>
      <c r="DV8" s="239"/>
      <c r="DW8" s="239"/>
      <c r="DX8" s="59"/>
      <c r="DZ8" s="235"/>
      <c r="EA8" s="236"/>
      <c r="EB8" s="63"/>
      <c r="EC8" s="63"/>
      <c r="EE8" s="237"/>
      <c r="EF8" s="238"/>
      <c r="EG8" s="239"/>
      <c r="EH8" s="239"/>
      <c r="EI8" s="59"/>
      <c r="EK8" s="235"/>
      <c r="EL8" s="236"/>
      <c r="EM8" s="63"/>
      <c r="EN8" s="63"/>
      <c r="EP8" s="237"/>
      <c r="EQ8" s="238"/>
      <c r="ER8" s="239"/>
      <c r="ES8" s="239"/>
      <c r="ET8" s="59"/>
      <c r="EV8" s="235"/>
      <c r="EW8" s="236"/>
      <c r="EX8" s="63"/>
      <c r="EY8" s="63"/>
      <c r="FA8" s="237"/>
      <c r="FB8" s="238"/>
      <c r="FC8" s="239"/>
      <c r="FD8" s="239"/>
      <c r="FE8" s="59"/>
      <c r="FG8" s="235"/>
      <c r="FH8" s="236"/>
      <c r="FI8" s="63"/>
      <c r="FJ8" s="63"/>
      <c r="FL8" s="237"/>
      <c r="FM8" s="238"/>
      <c r="FN8" s="239"/>
      <c r="FO8" s="239"/>
      <c r="FP8" s="59"/>
      <c r="FR8" s="235"/>
      <c r="FS8" s="236"/>
      <c r="FT8" s="63"/>
      <c r="FU8" s="63"/>
      <c r="FW8" s="237"/>
      <c r="FX8" s="238"/>
      <c r="FY8" s="239"/>
      <c r="FZ8" s="239"/>
      <c r="GA8" s="59"/>
      <c r="GC8" s="235"/>
      <c r="GD8" s="236"/>
      <c r="GE8" s="63"/>
      <c r="GF8" s="63"/>
      <c r="GH8" s="237"/>
      <c r="GI8" s="238"/>
      <c r="GJ8" s="239"/>
      <c r="GK8" s="239"/>
      <c r="GL8" s="59"/>
      <c r="GN8" s="235"/>
      <c r="GO8" s="236"/>
      <c r="GP8" s="63"/>
      <c r="GQ8" s="63"/>
      <c r="GS8" s="237"/>
      <c r="GT8" s="238"/>
      <c r="GU8" s="239"/>
      <c r="GV8" s="239"/>
      <c r="GW8" s="59"/>
      <c r="GY8" s="235"/>
      <c r="GZ8" s="236"/>
      <c r="HA8" s="63"/>
      <c r="HB8" s="63"/>
      <c r="HD8" s="237"/>
      <c r="HE8" s="238"/>
      <c r="HF8" s="239"/>
      <c r="HG8" s="239"/>
      <c r="HH8" s="59"/>
      <c r="HJ8" s="235"/>
      <c r="HK8" s="236"/>
      <c r="HL8" s="63"/>
      <c r="HM8" s="63"/>
      <c r="HO8" s="237"/>
      <c r="HP8" s="238"/>
      <c r="HQ8" s="239"/>
      <c r="HR8" s="239"/>
      <c r="HS8" s="59"/>
      <c r="HU8" s="235"/>
      <c r="HV8" s="236"/>
      <c r="HW8" s="63"/>
      <c r="HX8" s="63"/>
      <c r="HZ8" s="237"/>
      <c r="IA8" s="238"/>
      <c r="IB8" s="239"/>
      <c r="IC8" s="239"/>
      <c r="ID8" s="59"/>
      <c r="IF8" s="235"/>
      <c r="IG8" s="236"/>
      <c r="IH8" s="63"/>
      <c r="II8" s="63"/>
      <c r="IK8" s="237"/>
      <c r="IL8" s="238"/>
      <c r="IM8" s="239"/>
      <c r="IN8" s="239"/>
      <c r="IO8" s="59"/>
      <c r="IQ8" s="235"/>
      <c r="IR8" s="236"/>
      <c r="IS8" s="63"/>
      <c r="IT8" s="63"/>
      <c r="IV8" s="237"/>
      <c r="IW8" s="238"/>
      <c r="IX8" s="239"/>
      <c r="IY8" s="239"/>
      <c r="IZ8" s="59"/>
      <c r="JB8" s="235"/>
      <c r="JC8" s="236"/>
      <c r="JD8" s="63"/>
      <c r="JE8" s="63"/>
      <c r="JG8" s="237"/>
      <c r="JH8" s="238"/>
      <c r="JI8" s="239"/>
      <c r="JJ8" s="239"/>
      <c r="JK8" s="59"/>
      <c r="JM8" s="235"/>
      <c r="JN8" s="236"/>
      <c r="JO8" s="63"/>
      <c r="JP8" s="63"/>
      <c r="JR8" s="237"/>
      <c r="JS8" s="238"/>
      <c r="JT8" s="239"/>
      <c r="JU8" s="239"/>
      <c r="JV8" s="59"/>
      <c r="JX8" s="235"/>
      <c r="JY8" s="236"/>
      <c r="JZ8" s="63"/>
      <c r="KA8" s="63"/>
      <c r="KC8" s="237"/>
      <c r="KD8" s="238"/>
      <c r="KE8" s="239"/>
      <c r="KF8" s="239"/>
      <c r="KG8" s="59"/>
      <c r="KI8" s="235"/>
      <c r="KJ8" s="236"/>
      <c r="KK8" s="63"/>
      <c r="KL8" s="63"/>
      <c r="KN8" s="237"/>
      <c r="KO8" s="238"/>
      <c r="KP8" s="239"/>
      <c r="KQ8" s="239"/>
      <c r="KR8" s="59"/>
      <c r="KT8" s="235"/>
      <c r="KU8" s="236"/>
      <c r="KV8" s="63"/>
      <c r="KW8" s="63"/>
      <c r="KY8" s="237"/>
      <c r="KZ8" s="238"/>
      <c r="LA8" s="239"/>
      <c r="LB8" s="239"/>
      <c r="LC8" s="59"/>
      <c r="LE8" s="235"/>
      <c r="LF8" s="236"/>
      <c r="LG8" s="63"/>
      <c r="LH8" s="63"/>
      <c r="LJ8" s="237"/>
      <c r="LK8" s="238"/>
      <c r="LL8" s="239"/>
      <c r="LM8" s="239"/>
      <c r="LN8" s="59"/>
      <c r="LP8" s="235"/>
      <c r="LQ8" s="236"/>
      <c r="LR8" s="63"/>
      <c r="LS8" s="63"/>
      <c r="LU8" s="237"/>
      <c r="LV8" s="238"/>
      <c r="LW8" s="239"/>
      <c r="LX8" s="239"/>
      <c r="LY8" s="59"/>
      <c r="MA8" s="235"/>
      <c r="MB8" s="236"/>
      <c r="MC8" s="63"/>
      <c r="MD8" s="63"/>
      <c r="MF8" s="237"/>
      <c r="MG8" s="238"/>
      <c r="MH8" s="239"/>
      <c r="MI8" s="239"/>
      <c r="MJ8" s="59"/>
      <c r="ML8" s="235"/>
      <c r="MM8" s="236"/>
      <c r="MN8" s="63"/>
      <c r="MO8" s="63"/>
      <c r="MQ8" s="237"/>
      <c r="MR8" s="238"/>
      <c r="MS8" s="239"/>
      <c r="MT8" s="239"/>
      <c r="MU8" s="59"/>
      <c r="MW8" s="235"/>
      <c r="MX8" s="236"/>
      <c r="MY8" s="63"/>
      <c r="MZ8" s="63"/>
      <c r="NB8" s="237"/>
      <c r="NC8" s="238"/>
      <c r="ND8" s="239"/>
      <c r="NE8" s="239"/>
      <c r="NF8" s="59"/>
      <c r="NH8" s="235"/>
      <c r="NI8" s="236"/>
      <c r="NJ8" s="63"/>
      <c r="NK8" s="63"/>
      <c r="NM8" s="237"/>
      <c r="NN8" s="238"/>
      <c r="NO8" s="239"/>
      <c r="NP8" s="239"/>
      <c r="NQ8" s="59"/>
      <c r="NS8" s="235"/>
      <c r="NT8" s="236"/>
      <c r="NU8" s="63"/>
      <c r="NV8" s="63"/>
      <c r="NX8" s="237"/>
      <c r="NY8" s="238"/>
      <c r="NZ8" s="239"/>
      <c r="OA8" s="239"/>
      <c r="OB8" s="59"/>
      <c r="OD8" s="235"/>
      <c r="OE8" s="236"/>
      <c r="OF8" s="63"/>
      <c r="OG8" s="63"/>
      <c r="OI8" s="237"/>
      <c r="OJ8" s="238"/>
      <c r="OK8" s="239"/>
      <c r="OL8" s="239"/>
      <c r="OM8" s="59"/>
      <c r="OO8" s="235"/>
      <c r="OP8" s="236"/>
      <c r="OQ8" s="63"/>
      <c r="OR8" s="63"/>
      <c r="OT8" s="237"/>
      <c r="OU8" s="238"/>
      <c r="OV8" s="239"/>
      <c r="OW8" s="239"/>
      <c r="OX8" s="59"/>
      <c r="OZ8" s="235"/>
      <c r="PA8" s="236"/>
      <c r="PB8" s="63"/>
      <c r="PC8" s="63"/>
      <c r="PE8" s="237"/>
      <c r="PF8" s="238"/>
      <c r="PG8" s="239"/>
      <c r="PH8" s="239"/>
      <c r="PI8" s="59"/>
      <c r="PK8" s="235"/>
      <c r="PL8" s="236"/>
      <c r="PM8" s="63"/>
      <c r="PN8" s="63"/>
      <c r="PP8" s="237"/>
      <c r="PQ8" s="238"/>
      <c r="PR8" s="239"/>
      <c r="PS8" s="239"/>
      <c r="PT8" s="59"/>
      <c r="PV8" s="235"/>
      <c r="PW8" s="236"/>
      <c r="PX8" s="63"/>
      <c r="PY8" s="63"/>
      <c r="QA8" s="237"/>
      <c r="QB8" s="238"/>
      <c r="QC8" s="239"/>
      <c r="QD8" s="239"/>
      <c r="QE8" s="59"/>
      <c r="QG8" s="235"/>
      <c r="QH8" s="236"/>
      <c r="QI8" s="63"/>
      <c r="QJ8" s="63"/>
      <c r="QL8" s="237"/>
      <c r="QM8" s="238"/>
      <c r="QN8" s="239"/>
      <c r="QO8" s="239"/>
      <c r="QP8" s="59"/>
      <c r="QR8" s="235"/>
      <c r="QS8" s="236"/>
      <c r="QT8" s="63"/>
      <c r="QU8" s="63"/>
      <c r="QW8" s="237"/>
      <c r="QX8" s="238"/>
      <c r="QY8" s="239"/>
      <c r="QZ8" s="239"/>
      <c r="RA8" s="59"/>
      <c r="RC8" s="235"/>
      <c r="RD8" s="236"/>
      <c r="RE8" s="63"/>
      <c r="RF8" s="63"/>
      <c r="RH8" s="237"/>
      <c r="RI8" s="238"/>
      <c r="RJ8" s="239"/>
      <c r="RK8" s="239"/>
      <c r="RL8" s="59"/>
      <c r="RN8" s="235"/>
      <c r="RO8" s="236"/>
      <c r="RP8" s="63"/>
      <c r="RQ8" s="63"/>
      <c r="RS8" s="237"/>
      <c r="RT8" s="238"/>
      <c r="RU8" s="239"/>
      <c r="RV8" s="239"/>
      <c r="RW8" s="59"/>
      <c r="RY8" s="235"/>
      <c r="RZ8" s="236"/>
      <c r="SA8" s="63"/>
      <c r="SB8" s="63"/>
      <c r="SD8" s="237"/>
      <c r="SE8" s="238"/>
      <c r="SF8" s="239"/>
      <c r="SG8" s="239"/>
      <c r="SH8" s="59"/>
      <c r="SJ8" s="235"/>
      <c r="SK8" s="236"/>
      <c r="SL8" s="63"/>
      <c r="SM8" s="63"/>
      <c r="SO8" s="237"/>
      <c r="SP8" s="238"/>
      <c r="SQ8" s="239"/>
      <c r="SR8" s="239"/>
      <c r="SS8" s="59"/>
      <c r="SU8" s="235"/>
      <c r="SV8" s="236"/>
      <c r="SW8" s="63"/>
      <c r="SX8" s="63"/>
      <c r="SZ8" s="237"/>
      <c r="TA8" s="238"/>
      <c r="TB8" s="239"/>
      <c r="TC8" s="239"/>
      <c r="TD8" s="59"/>
      <c r="TF8" s="235"/>
      <c r="TG8" s="236"/>
      <c r="TH8" s="63"/>
      <c r="TI8" s="63"/>
      <c r="TK8" s="237"/>
      <c r="TL8" s="238"/>
      <c r="TM8" s="239"/>
      <c r="TN8" s="239"/>
      <c r="TO8" s="59"/>
      <c r="TQ8" s="235"/>
      <c r="TR8" s="236"/>
      <c r="TS8" s="63"/>
      <c r="TT8" s="63"/>
      <c r="TV8" s="237"/>
      <c r="TW8" s="238"/>
      <c r="TX8" s="239"/>
      <c r="TY8" s="239"/>
      <c r="TZ8" s="59"/>
      <c r="UB8" s="235"/>
      <c r="UC8" s="236"/>
      <c r="UD8" s="63"/>
      <c r="UE8" s="63"/>
      <c r="UG8" s="237"/>
      <c r="UH8" s="238"/>
      <c r="UI8" s="239"/>
      <c r="UJ8" s="239"/>
      <c r="UK8" s="59"/>
      <c r="UM8" s="235"/>
      <c r="UN8" s="236"/>
      <c r="UO8" s="63"/>
      <c r="UP8" s="63"/>
      <c r="UR8" s="237"/>
      <c r="US8" s="238"/>
      <c r="UT8" s="239"/>
      <c r="UU8" s="239"/>
      <c r="UV8" s="59"/>
      <c r="UX8" s="235"/>
      <c r="UY8" s="236"/>
      <c r="UZ8" s="63"/>
      <c r="VA8" s="63"/>
      <c r="VC8" s="237"/>
      <c r="VD8" s="238"/>
      <c r="VE8" s="239"/>
      <c r="VF8" s="239"/>
      <c r="VG8" s="59"/>
      <c r="VI8" s="235"/>
      <c r="VJ8" s="236"/>
      <c r="VK8" s="63"/>
      <c r="VL8" s="63"/>
      <c r="VN8" s="237"/>
      <c r="VO8" s="238"/>
      <c r="VP8" s="239"/>
      <c r="VQ8" s="239"/>
      <c r="VR8" s="59"/>
      <c r="VT8" s="235"/>
      <c r="VU8" s="236"/>
      <c r="VV8" s="63"/>
      <c r="VW8" s="63"/>
      <c r="VY8" s="237"/>
      <c r="VZ8" s="238"/>
      <c r="WA8" s="239"/>
      <c r="WB8" s="239"/>
      <c r="WC8" s="59"/>
      <c r="WE8" s="235"/>
      <c r="WF8" s="236"/>
      <c r="WG8" s="63"/>
      <c r="WH8" s="63"/>
      <c r="WJ8" s="237"/>
      <c r="WK8" s="238"/>
      <c r="WL8" s="239"/>
      <c r="WM8" s="239"/>
      <c r="WN8" s="59"/>
      <c r="WP8" s="235"/>
      <c r="WQ8" s="236"/>
      <c r="WR8" s="63"/>
      <c r="WS8" s="63"/>
      <c r="WU8" s="237"/>
      <c r="WV8" s="238"/>
      <c r="WW8" s="239"/>
      <c r="WX8" s="239"/>
      <c r="WY8" s="59"/>
      <c r="XA8" s="235"/>
      <c r="XB8" s="236"/>
      <c r="XC8" s="63"/>
      <c r="XD8" s="63"/>
      <c r="XF8" s="237"/>
      <c r="XG8" s="238"/>
      <c r="XH8" s="239"/>
      <c r="XI8" s="239"/>
      <c r="XJ8" s="59"/>
      <c r="XL8" s="235"/>
      <c r="XM8" s="236"/>
      <c r="XN8" s="63"/>
      <c r="XO8" s="63"/>
      <c r="XQ8" s="237"/>
      <c r="XR8" s="238"/>
      <c r="XS8" s="239"/>
      <c r="XT8" s="239"/>
      <c r="XU8" s="59"/>
      <c r="XW8" s="235"/>
      <c r="XX8" s="236"/>
      <c r="XY8" s="63"/>
      <c r="XZ8" s="63"/>
      <c r="YB8" s="237"/>
      <c r="YC8" s="238"/>
      <c r="YD8" s="239"/>
      <c r="YE8" s="239"/>
      <c r="YF8" s="59"/>
      <c r="YH8" s="235"/>
      <c r="YI8" s="236"/>
      <c r="YJ8" s="63"/>
      <c r="YK8" s="63"/>
      <c r="YM8" s="237"/>
      <c r="YN8" s="238"/>
      <c r="YO8" s="239"/>
      <c r="YP8" s="239"/>
      <c r="YQ8" s="59"/>
      <c r="YS8" s="235"/>
      <c r="YT8" s="236"/>
      <c r="YU8" s="63"/>
      <c r="YV8" s="63"/>
      <c r="YX8" s="237"/>
      <c r="YY8" s="238"/>
      <c r="YZ8" s="239"/>
      <c r="ZA8" s="239"/>
      <c r="ZB8" s="59"/>
      <c r="ZD8" s="235"/>
      <c r="ZE8" s="236"/>
      <c r="ZF8" s="63"/>
      <c r="ZG8" s="63"/>
      <c r="ZI8" s="237"/>
      <c r="ZJ8" s="238"/>
      <c r="ZK8" s="239"/>
      <c r="ZL8" s="239"/>
      <c r="ZM8" s="59"/>
      <c r="ZO8" s="235"/>
      <c r="ZP8" s="236"/>
      <c r="ZQ8" s="63"/>
      <c r="ZR8" s="63"/>
      <c r="ZT8" s="237"/>
      <c r="ZU8" s="238"/>
      <c r="ZV8" s="239"/>
      <c r="ZW8" s="239"/>
      <c r="ZX8" s="59"/>
      <c r="ZZ8" s="235"/>
      <c r="AAA8" s="236"/>
      <c r="AAB8" s="63"/>
      <c r="AAC8" s="63"/>
      <c r="AAE8" s="237"/>
      <c r="AAF8" s="238"/>
      <c r="AAG8" s="239"/>
      <c r="AAH8" s="239"/>
      <c r="AAI8" s="59"/>
      <c r="AAK8" s="235"/>
      <c r="AAL8" s="236"/>
      <c r="AAM8" s="63"/>
      <c r="AAN8" s="63"/>
      <c r="AAP8" s="237"/>
      <c r="AAQ8" s="238"/>
      <c r="AAR8" s="239"/>
      <c r="AAS8" s="239"/>
      <c r="AAT8" s="59"/>
      <c r="AAV8" s="235"/>
      <c r="AAW8" s="236"/>
      <c r="AAX8" s="63"/>
      <c r="AAY8" s="63"/>
      <c r="ABA8" s="237"/>
      <c r="ABB8" s="238"/>
      <c r="ABC8" s="239"/>
      <c r="ABD8" s="239"/>
      <c r="ABE8" s="59"/>
      <c r="ABG8" s="235"/>
      <c r="ABH8" s="236"/>
      <c r="ABI8" s="63"/>
      <c r="ABJ8" s="63"/>
      <c r="ABL8" s="237"/>
      <c r="ABM8" s="238"/>
      <c r="ABN8" s="239"/>
      <c r="ABO8" s="239"/>
      <c r="ABP8" s="59"/>
      <c r="ABR8" s="235"/>
      <c r="ABS8" s="236"/>
      <c r="ABT8" s="63"/>
      <c r="ABU8" s="63"/>
      <c r="ABW8" s="237"/>
      <c r="ABX8" s="238"/>
      <c r="ABY8" s="239"/>
      <c r="ABZ8" s="239"/>
      <c r="ACA8" s="59"/>
      <c r="ACC8" s="235"/>
      <c r="ACD8" s="236"/>
      <c r="ACE8" s="63"/>
      <c r="ACF8" s="63"/>
      <c r="ACH8" s="237"/>
      <c r="ACI8" s="238"/>
      <c r="ACJ8" s="239"/>
      <c r="ACK8" s="239"/>
      <c r="ACL8" s="59"/>
      <c r="ACN8" s="235"/>
      <c r="ACO8" s="236"/>
      <c r="ACP8" s="63"/>
      <c r="ACQ8" s="63"/>
      <c r="ACS8" s="237"/>
      <c r="ACT8" s="238"/>
      <c r="ACU8" s="239"/>
      <c r="ACV8" s="239"/>
      <c r="ACW8" s="59"/>
      <c r="ACY8" s="235"/>
      <c r="ACZ8" s="236"/>
      <c r="ADA8" s="63"/>
      <c r="ADB8" s="63"/>
      <c r="ADD8" s="237"/>
      <c r="ADE8" s="238"/>
      <c r="ADF8" s="239"/>
      <c r="ADG8" s="239"/>
      <c r="ADH8" s="59"/>
      <c r="ADJ8" s="235"/>
      <c r="ADK8" s="236"/>
      <c r="ADL8" s="63"/>
      <c r="ADM8" s="63"/>
      <c r="ADO8" s="237"/>
      <c r="ADP8" s="238"/>
      <c r="ADQ8" s="239"/>
      <c r="ADR8" s="239"/>
      <c r="ADS8" s="59"/>
      <c r="ADU8" s="235"/>
      <c r="ADV8" s="236"/>
      <c r="ADW8" s="63"/>
      <c r="ADX8" s="63"/>
      <c r="ADZ8" s="237"/>
      <c r="AEA8" s="238"/>
      <c r="AEB8" s="239"/>
      <c r="AEC8" s="239"/>
      <c r="AED8" s="59"/>
      <c r="AEF8" s="235"/>
      <c r="AEG8" s="236"/>
      <c r="AEH8" s="63"/>
      <c r="AEI8" s="63"/>
      <c r="AEK8" s="237"/>
      <c r="AEL8" s="238"/>
      <c r="AEM8" s="239"/>
      <c r="AEN8" s="239"/>
      <c r="AEO8" s="59"/>
      <c r="AEQ8" s="235"/>
      <c r="AER8" s="236"/>
      <c r="AES8" s="63"/>
      <c r="AET8" s="63"/>
      <c r="AEV8" s="237"/>
      <c r="AEW8" s="238"/>
      <c r="AEX8" s="239"/>
      <c r="AEY8" s="239"/>
      <c r="AEZ8" s="59"/>
      <c r="AFB8" s="235"/>
      <c r="AFC8" s="236"/>
      <c r="AFD8" s="63"/>
      <c r="AFE8" s="63"/>
      <c r="AFG8" s="237"/>
      <c r="AFH8" s="238"/>
      <c r="AFI8" s="239"/>
      <c r="AFJ8" s="239"/>
      <c r="AFK8" s="59"/>
      <c r="AFM8" s="235"/>
      <c r="AFN8" s="236"/>
      <c r="AFO8" s="63"/>
      <c r="AFP8" s="63"/>
      <c r="AFR8" s="237"/>
      <c r="AFS8" s="238"/>
      <c r="AFT8" s="239"/>
      <c r="AFU8" s="239"/>
      <c r="AFV8" s="59"/>
      <c r="AFX8" s="235"/>
      <c r="AFY8" s="236"/>
      <c r="AFZ8" s="63"/>
      <c r="AGA8" s="63"/>
      <c r="AGC8" s="237"/>
      <c r="AGD8" s="238"/>
      <c r="AGE8" s="239"/>
      <c r="AGF8" s="239"/>
      <c r="AGG8" s="59"/>
      <c r="AGI8" s="235"/>
      <c r="AGJ8" s="236"/>
      <c r="AGK8" s="63"/>
      <c r="AGL8" s="63"/>
      <c r="AGN8" s="237"/>
      <c r="AGO8" s="238"/>
      <c r="AGP8" s="239"/>
      <c r="AGQ8" s="239"/>
      <c r="AGR8" s="59"/>
      <c r="AGT8" s="235"/>
      <c r="AGU8" s="236"/>
      <c r="AGV8" s="63"/>
      <c r="AGW8" s="63"/>
      <c r="AGY8" s="237"/>
      <c r="AGZ8" s="238"/>
      <c r="AHA8" s="239"/>
      <c r="AHB8" s="239"/>
      <c r="AHC8" s="59"/>
      <c r="AHE8" s="235"/>
      <c r="AHF8" s="236"/>
      <c r="AHG8" s="63"/>
      <c r="AHH8" s="63"/>
      <c r="AHJ8" s="237"/>
      <c r="AHK8" s="238"/>
      <c r="AHL8" s="239"/>
      <c r="AHM8" s="239"/>
      <c r="AHN8" s="59"/>
      <c r="AHP8" s="235"/>
      <c r="AHQ8" s="236"/>
      <c r="AHR8" s="63"/>
      <c r="AHS8" s="63"/>
      <c r="AHU8" s="237"/>
      <c r="AHV8" s="238"/>
      <c r="AHW8" s="239"/>
      <c r="AHX8" s="239"/>
      <c r="AHY8" s="59"/>
      <c r="AIA8" s="235"/>
      <c r="AIB8" s="236"/>
      <c r="AIC8" s="63"/>
      <c r="AID8" s="63"/>
      <c r="AIF8" s="237"/>
      <c r="AIG8" s="238"/>
      <c r="AIH8" s="239"/>
      <c r="AII8" s="239"/>
      <c r="AIJ8" s="59"/>
      <c r="AIL8" s="235"/>
      <c r="AIM8" s="236"/>
      <c r="AIN8" s="63"/>
      <c r="AIO8" s="63"/>
      <c r="AIQ8" s="237"/>
      <c r="AIR8" s="238"/>
      <c r="AIS8" s="239"/>
      <c r="AIT8" s="239"/>
      <c r="AIU8" s="59"/>
      <c r="AIW8" s="235"/>
      <c r="AIX8" s="236"/>
      <c r="AIY8" s="63"/>
      <c r="AIZ8" s="63"/>
      <c r="AJB8" s="237"/>
      <c r="AJC8" s="238"/>
      <c r="AJD8" s="239"/>
      <c r="AJE8" s="239"/>
      <c r="AJF8" s="59"/>
      <c r="AJH8" s="235"/>
      <c r="AJI8" s="236"/>
      <c r="AJJ8" s="63"/>
      <c r="AJK8" s="63"/>
      <c r="AJM8" s="237"/>
      <c r="AJN8" s="238"/>
      <c r="AJO8" s="239"/>
      <c r="AJP8" s="239"/>
      <c r="AJQ8" s="59"/>
      <c r="AJS8" s="235"/>
      <c r="AJT8" s="236"/>
      <c r="AJU8" s="63"/>
      <c r="AJV8" s="63"/>
      <c r="AJX8" s="237"/>
      <c r="AJY8" s="238"/>
      <c r="AJZ8" s="239"/>
      <c r="AKA8" s="239"/>
      <c r="AKB8" s="59"/>
      <c r="AKD8" s="235"/>
      <c r="AKE8" s="236"/>
      <c r="AKF8" s="63"/>
      <c r="AKG8" s="63"/>
      <c r="AKI8" s="237"/>
      <c r="AKJ8" s="238"/>
      <c r="AKK8" s="239"/>
      <c r="AKL8" s="239"/>
      <c r="AKM8" s="59"/>
      <c r="AKO8" s="235"/>
      <c r="AKP8" s="236"/>
      <c r="AKQ8" s="63"/>
      <c r="AKR8" s="63"/>
      <c r="AKT8" s="237"/>
      <c r="AKU8" s="238"/>
      <c r="AKV8" s="239"/>
      <c r="AKW8" s="239"/>
      <c r="AKX8" s="59"/>
      <c r="AKZ8" s="235"/>
      <c r="ALA8" s="236"/>
      <c r="ALB8" s="63"/>
      <c r="ALC8" s="63"/>
      <c r="ALE8" s="237"/>
      <c r="ALF8" s="238"/>
      <c r="ALG8" s="239"/>
      <c r="ALH8" s="239"/>
      <c r="ALI8" s="59"/>
      <c r="ALK8" s="235"/>
      <c r="ALL8" s="236"/>
      <c r="ALM8" s="63"/>
      <c r="ALN8" s="63"/>
      <c r="ALP8" s="237"/>
      <c r="ALQ8" s="238"/>
      <c r="ALR8" s="239"/>
      <c r="ALS8" s="239"/>
      <c r="ALT8" s="59"/>
      <c r="ALV8" s="235"/>
      <c r="ALW8" s="236"/>
      <c r="ALX8" s="63"/>
      <c r="ALY8" s="63"/>
      <c r="AMA8" s="237"/>
      <c r="AMB8" s="238"/>
      <c r="AMC8" s="239"/>
      <c r="AMD8" s="239"/>
      <c r="AME8" s="59"/>
      <c r="AMG8" s="235"/>
      <c r="AMH8" s="236"/>
      <c r="AMI8" s="63"/>
      <c r="AMJ8" s="63"/>
      <c r="AML8" s="237"/>
      <c r="AMM8" s="238"/>
      <c r="AMN8" s="239"/>
      <c r="AMO8" s="239"/>
      <c r="AMP8" s="59"/>
      <c r="AMR8" s="235"/>
      <c r="AMS8" s="236"/>
      <c r="AMT8" s="63"/>
      <c r="AMU8" s="63"/>
      <c r="AMW8" s="237"/>
      <c r="AMX8" s="238"/>
      <c r="AMY8" s="239"/>
      <c r="AMZ8" s="239"/>
      <c r="ANA8" s="59"/>
      <c r="ANC8" s="235"/>
      <c r="AND8" s="236"/>
      <c r="ANE8" s="63"/>
      <c r="ANF8" s="63"/>
      <c r="ANH8" s="237"/>
      <c r="ANI8" s="238"/>
      <c r="ANJ8" s="239"/>
      <c r="ANK8" s="239"/>
      <c r="ANL8" s="59"/>
      <c r="ANN8" s="235"/>
      <c r="ANO8" s="236"/>
      <c r="ANP8" s="63"/>
      <c r="ANQ8" s="63"/>
      <c r="ANS8" s="237"/>
      <c r="ANT8" s="238"/>
      <c r="ANU8" s="239"/>
      <c r="ANV8" s="239"/>
      <c r="ANW8" s="59"/>
      <c r="ANY8" s="235"/>
      <c r="ANZ8" s="236"/>
      <c r="AOA8" s="63"/>
      <c r="AOB8" s="63"/>
      <c r="AOD8" s="237"/>
      <c r="AOE8" s="238"/>
      <c r="AOF8" s="239"/>
      <c r="AOG8" s="239"/>
      <c r="AOH8" s="59"/>
      <c r="AOJ8" s="235"/>
      <c r="AOK8" s="236"/>
      <c r="AOL8" s="63"/>
      <c r="AOM8" s="63"/>
      <c r="AOO8" s="237"/>
      <c r="AOP8" s="238"/>
      <c r="AOQ8" s="239"/>
      <c r="AOR8" s="239"/>
      <c r="AOS8" s="59"/>
      <c r="AOU8" s="235"/>
      <c r="AOV8" s="236"/>
      <c r="AOW8" s="63"/>
      <c r="AOX8" s="63"/>
      <c r="AOZ8" s="237"/>
      <c r="APA8" s="238"/>
      <c r="APB8" s="239"/>
      <c r="APC8" s="239"/>
      <c r="APD8" s="59"/>
      <c r="APF8" s="235"/>
      <c r="APG8" s="236"/>
      <c r="APH8" s="63"/>
      <c r="API8" s="63"/>
      <c r="APK8" s="237"/>
      <c r="APL8" s="238"/>
      <c r="APM8" s="239"/>
      <c r="APN8" s="239"/>
      <c r="APO8" s="59"/>
      <c r="APQ8" s="235"/>
      <c r="APR8" s="236"/>
      <c r="APS8" s="63"/>
      <c r="APT8" s="63"/>
      <c r="APV8" s="237"/>
      <c r="APW8" s="238"/>
      <c r="APX8" s="239"/>
      <c r="APY8" s="239"/>
      <c r="APZ8" s="59"/>
      <c r="AQB8" s="235"/>
      <c r="AQC8" s="236"/>
      <c r="AQD8" s="63"/>
      <c r="AQE8" s="63"/>
      <c r="AQG8" s="237"/>
      <c r="AQH8" s="238"/>
      <c r="AQI8" s="239"/>
      <c r="AQJ8" s="239"/>
      <c r="AQK8" s="59"/>
      <c r="AQM8" s="235"/>
      <c r="AQN8" s="236"/>
      <c r="AQO8" s="63"/>
      <c r="AQP8" s="63"/>
      <c r="AQR8" s="237"/>
      <c r="AQS8" s="238"/>
      <c r="AQT8" s="239"/>
      <c r="AQU8" s="239"/>
      <c r="AQV8" s="59"/>
      <c r="AQX8" s="235"/>
      <c r="AQY8" s="236"/>
      <c r="AQZ8" s="63"/>
      <c r="ARA8" s="63"/>
      <c r="ARC8" s="237"/>
      <c r="ARD8" s="238"/>
      <c r="ARE8" s="239"/>
      <c r="ARF8" s="239"/>
      <c r="ARG8" s="59"/>
      <c r="ARI8" s="235"/>
      <c r="ARJ8" s="236"/>
      <c r="ARK8" s="63"/>
      <c r="ARL8" s="63"/>
      <c r="ARN8" s="237"/>
      <c r="ARO8" s="238"/>
      <c r="ARP8" s="239"/>
      <c r="ARQ8" s="239"/>
      <c r="ARR8" s="59"/>
      <c r="ART8" s="235"/>
      <c r="ARU8" s="236"/>
      <c r="ARV8" s="63"/>
      <c r="ARW8" s="63"/>
      <c r="ARY8" s="237"/>
      <c r="ARZ8" s="238"/>
      <c r="ASA8" s="239"/>
      <c r="ASB8" s="239"/>
      <c r="ASC8" s="59"/>
      <c r="ASE8" s="235"/>
      <c r="ASF8" s="236"/>
      <c r="ASG8" s="63"/>
      <c r="ASH8" s="63"/>
      <c r="ASJ8" s="237"/>
      <c r="ASK8" s="238"/>
      <c r="ASL8" s="239"/>
      <c r="ASM8" s="239"/>
      <c r="ASN8" s="59"/>
      <c r="ASP8" s="235"/>
      <c r="ASQ8" s="236"/>
      <c r="ASR8" s="63"/>
      <c r="ASS8" s="63"/>
      <c r="ASU8" s="237"/>
      <c r="ASV8" s="238"/>
      <c r="ASW8" s="239"/>
      <c r="ASX8" s="239"/>
      <c r="ASY8" s="59"/>
      <c r="ATA8" s="235"/>
      <c r="ATB8" s="236"/>
      <c r="ATC8" s="63"/>
      <c r="ATD8" s="63"/>
      <c r="ATF8" s="237"/>
      <c r="ATG8" s="238"/>
      <c r="ATH8" s="239"/>
      <c r="ATI8" s="239"/>
      <c r="ATJ8" s="59"/>
      <c r="ATL8" s="235"/>
      <c r="ATM8" s="236"/>
      <c r="ATN8" s="63"/>
      <c r="ATO8" s="63"/>
      <c r="ATQ8" s="237"/>
      <c r="ATR8" s="238"/>
      <c r="ATS8" s="239"/>
      <c r="ATT8" s="239"/>
      <c r="ATU8" s="59"/>
      <c r="ATW8" s="235"/>
      <c r="ATX8" s="236"/>
      <c r="ATY8" s="63"/>
      <c r="ATZ8" s="63"/>
      <c r="AUB8" s="237"/>
      <c r="AUC8" s="238"/>
      <c r="AUD8" s="239"/>
      <c r="AUE8" s="239"/>
      <c r="AUF8" s="59"/>
      <c r="AUH8" s="235"/>
      <c r="AUI8" s="236"/>
      <c r="AUJ8" s="63"/>
      <c r="AUK8" s="63"/>
      <c r="AUM8" s="237"/>
      <c r="AUN8" s="238"/>
      <c r="AUO8" s="239"/>
      <c r="AUP8" s="239"/>
      <c r="AUQ8" s="59"/>
      <c r="AUS8" s="235"/>
      <c r="AUT8" s="236"/>
      <c r="AUU8" s="63"/>
      <c r="AUV8" s="63"/>
      <c r="AUX8" s="237"/>
      <c r="AUY8" s="238"/>
      <c r="AUZ8" s="239"/>
      <c r="AVA8" s="239"/>
      <c r="AVB8" s="59"/>
      <c r="AVD8" s="235"/>
      <c r="AVE8" s="236"/>
      <c r="AVF8" s="63"/>
      <c r="AVG8" s="63"/>
      <c r="AVI8" s="237"/>
      <c r="AVJ8" s="238"/>
      <c r="AVK8" s="239"/>
      <c r="AVL8" s="239"/>
      <c r="AVM8" s="59"/>
      <c r="AVO8" s="235"/>
      <c r="AVP8" s="236"/>
      <c r="AVQ8" s="63"/>
      <c r="AVR8" s="63"/>
      <c r="AVT8" s="237"/>
      <c r="AVU8" s="238"/>
      <c r="AVV8" s="239"/>
      <c r="AVW8" s="239"/>
      <c r="AVX8" s="59"/>
      <c r="AVZ8" s="235"/>
      <c r="AWA8" s="236"/>
      <c r="AWB8" s="63"/>
      <c r="AWC8" s="63"/>
      <c r="AWE8" s="237"/>
      <c r="AWF8" s="238"/>
      <c r="AWG8" s="239"/>
      <c r="AWH8" s="239"/>
      <c r="AWI8" s="59"/>
      <c r="AWK8" s="235"/>
      <c r="AWL8" s="236"/>
      <c r="AWM8" s="63"/>
      <c r="AWN8" s="63"/>
      <c r="AWP8" s="237"/>
      <c r="AWQ8" s="238"/>
      <c r="AWR8" s="239"/>
      <c r="AWS8" s="239"/>
      <c r="AWT8" s="59"/>
      <c r="AWV8" s="235"/>
      <c r="AWW8" s="236"/>
      <c r="AWX8" s="63"/>
      <c r="AWY8" s="63"/>
      <c r="AXA8" s="237"/>
      <c r="AXB8" s="238"/>
      <c r="AXC8" s="239"/>
      <c r="AXD8" s="239"/>
      <c r="AXE8" s="59"/>
      <c r="AXG8" s="235"/>
      <c r="AXH8" s="236"/>
      <c r="AXI8" s="63"/>
      <c r="AXJ8" s="63"/>
      <c r="AXL8" s="237"/>
      <c r="AXM8" s="238"/>
      <c r="AXN8" s="239"/>
      <c r="AXO8" s="239"/>
      <c r="AXP8" s="59"/>
      <c r="AXR8" s="235"/>
      <c r="AXS8" s="236"/>
      <c r="AXT8" s="63"/>
      <c r="AXU8" s="63"/>
      <c r="AXW8" s="237"/>
      <c r="AXX8" s="238"/>
      <c r="AXY8" s="239"/>
      <c r="AXZ8" s="239"/>
      <c r="AYA8" s="59"/>
      <c r="AYC8" s="235"/>
      <c r="AYD8" s="236"/>
      <c r="AYE8" s="63"/>
      <c r="AYF8" s="63"/>
      <c r="AYH8" s="237"/>
      <c r="AYI8" s="238"/>
      <c r="AYJ8" s="239"/>
      <c r="AYK8" s="239"/>
      <c r="AYL8" s="59"/>
      <c r="AYN8" s="235"/>
      <c r="AYO8" s="236"/>
      <c r="AYP8" s="63"/>
      <c r="AYQ8" s="63"/>
      <c r="AYS8" s="237"/>
      <c r="AYT8" s="238"/>
      <c r="AYU8" s="239"/>
      <c r="AYV8" s="239"/>
      <c r="AYW8" s="59"/>
      <c r="AYY8" s="235"/>
      <c r="AYZ8" s="236"/>
      <c r="AZA8" s="63"/>
      <c r="AZB8" s="63"/>
      <c r="AZD8" s="237"/>
      <c r="AZE8" s="238"/>
      <c r="AZF8" s="239"/>
      <c r="AZG8" s="239"/>
      <c r="AZH8" s="59"/>
      <c r="AZJ8" s="235"/>
      <c r="AZK8" s="236"/>
      <c r="AZL8" s="63"/>
      <c r="AZM8" s="63"/>
      <c r="AZO8" s="237"/>
      <c r="AZP8" s="238"/>
      <c r="AZQ8" s="239"/>
      <c r="AZR8" s="239"/>
      <c r="AZS8" s="59"/>
      <c r="AZU8" s="235"/>
      <c r="AZV8" s="236"/>
      <c r="AZW8" s="63"/>
      <c r="AZX8" s="63"/>
      <c r="AZZ8" s="237"/>
      <c r="BAA8" s="238"/>
      <c r="BAB8" s="239"/>
      <c r="BAC8" s="239"/>
      <c r="BAD8" s="59"/>
      <c r="BAF8" s="235"/>
      <c r="BAG8" s="236"/>
      <c r="BAH8" s="63"/>
      <c r="BAI8" s="63"/>
      <c r="BAK8" s="237"/>
      <c r="BAL8" s="238"/>
      <c r="BAM8" s="239"/>
      <c r="BAN8" s="239"/>
      <c r="BAO8" s="59"/>
      <c r="BAQ8" s="235"/>
      <c r="BAR8" s="236"/>
      <c r="BAS8" s="63"/>
      <c r="BAT8" s="63"/>
      <c r="BAV8" s="237"/>
      <c r="BAW8" s="238"/>
      <c r="BAX8" s="239"/>
      <c r="BAY8" s="239"/>
      <c r="BAZ8" s="59"/>
      <c r="BBB8" s="235"/>
      <c r="BBC8" s="236"/>
      <c r="BBD8" s="63"/>
      <c r="BBE8" s="63"/>
      <c r="BBG8" s="237"/>
      <c r="BBH8" s="238"/>
      <c r="BBI8" s="239"/>
      <c r="BBJ8" s="239"/>
      <c r="BBK8" s="59"/>
      <c r="BBM8" s="235"/>
      <c r="BBN8" s="236"/>
      <c r="BBO8" s="63"/>
      <c r="BBP8" s="63"/>
      <c r="BBR8" s="237"/>
      <c r="BBS8" s="238"/>
      <c r="BBT8" s="239"/>
      <c r="BBU8" s="239"/>
      <c r="BBV8" s="59"/>
      <c r="BBX8" s="235"/>
      <c r="BBY8" s="236"/>
      <c r="BBZ8" s="63"/>
      <c r="BCA8" s="63"/>
      <c r="BCC8" s="237"/>
      <c r="BCD8" s="238"/>
      <c r="BCE8" s="239"/>
      <c r="BCF8" s="239"/>
      <c r="BCG8" s="59"/>
      <c r="BCI8" s="235"/>
      <c r="BCJ8" s="236"/>
      <c r="BCK8" s="63"/>
      <c r="BCL8" s="63"/>
      <c r="BCN8" s="237"/>
      <c r="BCO8" s="238"/>
      <c r="BCP8" s="239"/>
      <c r="BCQ8" s="239"/>
      <c r="BCR8" s="59"/>
      <c r="BCT8" s="235"/>
      <c r="BCU8" s="236"/>
      <c r="BCV8" s="63"/>
      <c r="BCW8" s="63"/>
      <c r="BCY8" s="237"/>
      <c r="BCZ8" s="238"/>
      <c r="BDA8" s="239"/>
      <c r="BDB8" s="239"/>
      <c r="BDC8" s="59"/>
      <c r="BDE8" s="235"/>
      <c r="BDF8" s="236"/>
      <c r="BDG8" s="63"/>
      <c r="BDH8" s="63"/>
      <c r="BDJ8" s="237"/>
      <c r="BDK8" s="238"/>
      <c r="BDL8" s="239"/>
      <c r="BDM8" s="239"/>
      <c r="BDN8" s="59"/>
      <c r="BDP8" s="235"/>
      <c r="BDQ8" s="236"/>
      <c r="BDR8" s="63"/>
      <c r="BDS8" s="63"/>
      <c r="BDU8" s="237"/>
      <c r="BDV8" s="238"/>
      <c r="BDW8" s="239"/>
      <c r="BDX8" s="239"/>
      <c r="BDY8" s="59"/>
      <c r="BEA8" s="235"/>
      <c r="BEB8" s="236"/>
      <c r="BEC8" s="63"/>
      <c r="BED8" s="63"/>
      <c r="BEF8" s="237"/>
      <c r="BEG8" s="238"/>
      <c r="BEH8" s="239"/>
      <c r="BEI8" s="239"/>
      <c r="BEJ8" s="59"/>
      <c r="BEL8" s="235"/>
      <c r="BEM8" s="236"/>
      <c r="BEN8" s="63"/>
      <c r="BEO8" s="63"/>
      <c r="BEQ8" s="237"/>
      <c r="BER8" s="238"/>
      <c r="BES8" s="239"/>
      <c r="BET8" s="239"/>
      <c r="BEU8" s="59"/>
      <c r="BEW8" s="235"/>
      <c r="BEX8" s="236"/>
      <c r="BEY8" s="63"/>
      <c r="BEZ8" s="63"/>
      <c r="BFB8" s="237"/>
      <c r="BFC8" s="238"/>
      <c r="BFD8" s="239"/>
      <c r="BFE8" s="239"/>
      <c r="BFF8" s="59"/>
      <c r="BFH8" s="235"/>
      <c r="BFI8" s="236"/>
      <c r="BFJ8" s="63"/>
      <c r="BFK8" s="63"/>
      <c r="BFM8" s="237"/>
      <c r="BFN8" s="238"/>
      <c r="BFO8" s="239"/>
      <c r="BFP8" s="239"/>
      <c r="BFQ8" s="59"/>
      <c r="BFS8" s="235"/>
      <c r="BFT8" s="236"/>
      <c r="BFU8" s="63"/>
      <c r="BFV8" s="63"/>
      <c r="BFX8" s="237"/>
      <c r="BFY8" s="238"/>
      <c r="BFZ8" s="239"/>
      <c r="BGA8" s="239"/>
      <c r="BGB8" s="59"/>
      <c r="BGD8" s="235"/>
      <c r="BGE8" s="236"/>
      <c r="BGF8" s="63"/>
      <c r="BGG8" s="63"/>
      <c r="BGI8" s="237"/>
      <c r="BGJ8" s="238"/>
      <c r="BGK8" s="239"/>
      <c r="BGL8" s="239"/>
      <c r="BGM8" s="59"/>
      <c r="BGO8" s="235"/>
      <c r="BGP8" s="236"/>
      <c r="BGQ8" s="63"/>
      <c r="BGR8" s="63"/>
      <c r="BGT8" s="237"/>
      <c r="BGU8" s="238"/>
      <c r="BGV8" s="239"/>
      <c r="BGW8" s="239"/>
      <c r="BGX8" s="59"/>
      <c r="BGZ8" s="235"/>
      <c r="BHA8" s="236"/>
      <c r="BHB8" s="63"/>
      <c r="BHC8" s="63"/>
      <c r="BHE8" s="237"/>
      <c r="BHF8" s="238"/>
      <c r="BHG8" s="239"/>
      <c r="BHH8" s="239"/>
      <c r="BHI8" s="59"/>
      <c r="BHK8" s="235"/>
      <c r="BHL8" s="236"/>
      <c r="BHM8" s="63"/>
      <c r="BHN8" s="63"/>
      <c r="BHP8" s="237"/>
      <c r="BHQ8" s="238"/>
      <c r="BHR8" s="239"/>
      <c r="BHS8" s="239"/>
      <c r="BHT8" s="59"/>
      <c r="BHV8" s="235"/>
      <c r="BHW8" s="236"/>
      <c r="BHX8" s="63"/>
      <c r="BHY8" s="63"/>
      <c r="BIA8" s="237"/>
      <c r="BIB8" s="238"/>
      <c r="BIC8" s="239"/>
      <c r="BID8" s="239"/>
      <c r="BIE8" s="59"/>
      <c r="BIG8" s="235"/>
      <c r="BIH8" s="236"/>
      <c r="BII8" s="63"/>
      <c r="BIJ8" s="63"/>
      <c r="BIL8" s="237"/>
      <c r="BIM8" s="238"/>
      <c r="BIN8" s="239"/>
      <c r="BIO8" s="239"/>
      <c r="BIP8" s="59"/>
      <c r="BIR8" s="235"/>
      <c r="BIS8" s="236"/>
      <c r="BIT8" s="63"/>
      <c r="BIU8" s="63"/>
      <c r="BIW8" s="237"/>
      <c r="BIX8" s="238"/>
      <c r="BIY8" s="239"/>
      <c r="BIZ8" s="239"/>
      <c r="BJA8" s="59"/>
      <c r="BJC8" s="235"/>
      <c r="BJD8" s="236"/>
      <c r="BJE8" s="63"/>
      <c r="BJF8" s="63"/>
      <c r="BJH8" s="237"/>
      <c r="BJI8" s="238"/>
      <c r="BJJ8" s="239"/>
      <c r="BJK8" s="239"/>
      <c r="BJL8" s="59"/>
      <c r="BJN8" s="235"/>
      <c r="BJO8" s="236"/>
      <c r="BJP8" s="63"/>
      <c r="BJQ8" s="63"/>
      <c r="BJS8" s="237"/>
      <c r="BJT8" s="238"/>
      <c r="BJU8" s="239"/>
      <c r="BJV8" s="239"/>
      <c r="BJW8" s="59"/>
      <c r="BJY8" s="235"/>
      <c r="BJZ8" s="236"/>
      <c r="BKA8" s="63"/>
      <c r="BKB8" s="63"/>
      <c r="BKD8" s="237"/>
      <c r="BKE8" s="238"/>
      <c r="BKF8" s="239"/>
      <c r="BKG8" s="239"/>
      <c r="BKH8" s="59"/>
      <c r="BKJ8" s="235"/>
      <c r="BKK8" s="236"/>
      <c r="BKL8" s="63"/>
      <c r="BKM8" s="63"/>
      <c r="BKO8" s="237"/>
      <c r="BKP8" s="238"/>
      <c r="BKQ8" s="239"/>
      <c r="BKR8" s="239"/>
      <c r="BKS8" s="59"/>
      <c r="BKU8" s="235"/>
      <c r="BKV8" s="236"/>
      <c r="BKW8" s="63"/>
      <c r="BKX8" s="63"/>
      <c r="BKZ8" s="237"/>
      <c r="BLA8" s="238"/>
      <c r="BLB8" s="239"/>
      <c r="BLC8" s="239"/>
      <c r="BLD8" s="59"/>
      <c r="BLF8" s="235"/>
      <c r="BLG8" s="236"/>
      <c r="BLH8" s="63"/>
      <c r="BLI8" s="63"/>
      <c r="BLK8" s="237"/>
      <c r="BLL8" s="238"/>
      <c r="BLM8" s="239"/>
      <c r="BLN8" s="239"/>
      <c r="BLO8" s="59"/>
      <c r="BLQ8" s="235"/>
      <c r="BLR8" s="236"/>
      <c r="BLS8" s="63"/>
      <c r="BLT8" s="63"/>
      <c r="BLV8" s="237"/>
      <c r="BLW8" s="238"/>
      <c r="BLX8" s="239"/>
      <c r="BLY8" s="239"/>
      <c r="BLZ8" s="59"/>
      <c r="BMB8" s="235"/>
      <c r="BMC8" s="236"/>
      <c r="BMD8" s="63"/>
      <c r="BME8" s="63"/>
      <c r="BMG8" s="237"/>
      <c r="BMH8" s="238"/>
      <c r="BMI8" s="239"/>
      <c r="BMJ8" s="239"/>
      <c r="BMK8" s="59"/>
      <c r="BMM8" s="235"/>
      <c r="BMN8" s="236"/>
      <c r="BMO8" s="63"/>
      <c r="BMP8" s="63"/>
      <c r="BMR8" s="237"/>
      <c r="BMS8" s="238"/>
      <c r="BMT8" s="239"/>
      <c r="BMU8" s="239"/>
      <c r="BMV8" s="59"/>
      <c r="BMX8" s="235"/>
      <c r="BMY8" s="236"/>
      <c r="BMZ8" s="63"/>
      <c r="BNA8" s="63"/>
      <c r="BNC8" s="237"/>
      <c r="BND8" s="238"/>
      <c r="BNE8" s="239"/>
      <c r="BNF8" s="239"/>
      <c r="BNG8" s="59"/>
      <c r="BNI8" s="235"/>
      <c r="BNJ8" s="236"/>
      <c r="BNK8" s="63"/>
      <c r="BNL8" s="63"/>
      <c r="BNN8" s="237"/>
      <c r="BNO8" s="238"/>
      <c r="BNP8" s="239"/>
      <c r="BNQ8" s="239"/>
      <c r="BNR8" s="59"/>
      <c r="BNT8" s="235"/>
      <c r="BNU8" s="236"/>
      <c r="BNV8" s="63"/>
      <c r="BNW8" s="63"/>
      <c r="BNY8" s="237"/>
      <c r="BNZ8" s="238"/>
      <c r="BOA8" s="239"/>
      <c r="BOB8" s="239"/>
      <c r="BOC8" s="59"/>
      <c r="BOE8" s="235"/>
      <c r="BOF8" s="236"/>
      <c r="BOG8" s="63"/>
      <c r="BOH8" s="63"/>
      <c r="BOJ8" s="237"/>
      <c r="BOK8" s="238"/>
      <c r="BOL8" s="239"/>
      <c r="BOM8" s="239"/>
      <c r="BON8" s="59"/>
      <c r="BOP8" s="235"/>
      <c r="BOQ8" s="236"/>
      <c r="BOR8" s="63"/>
      <c r="BOS8" s="63"/>
      <c r="BOU8" s="237"/>
      <c r="BOV8" s="238"/>
      <c r="BOW8" s="239"/>
      <c r="BOX8" s="239"/>
      <c r="BOY8" s="59"/>
      <c r="BPA8" s="235"/>
      <c r="BPB8" s="236"/>
      <c r="BPC8" s="63"/>
      <c r="BPD8" s="63"/>
      <c r="BPF8" s="237"/>
      <c r="BPG8" s="238"/>
      <c r="BPH8" s="239"/>
      <c r="BPI8" s="239"/>
      <c r="BPJ8" s="59"/>
      <c r="BPL8" s="235"/>
      <c r="BPM8" s="236"/>
      <c r="BPN8" s="63"/>
      <c r="BPO8" s="63"/>
      <c r="BPQ8" s="237"/>
      <c r="BPR8" s="238"/>
      <c r="BPS8" s="239"/>
      <c r="BPT8" s="239"/>
      <c r="BPU8" s="59"/>
      <c r="BPW8" s="235"/>
      <c r="BPX8" s="236"/>
      <c r="BPY8" s="63"/>
      <c r="BPZ8" s="63"/>
      <c r="BQB8" s="237"/>
      <c r="BQC8" s="238"/>
      <c r="BQD8" s="239"/>
      <c r="BQE8" s="239"/>
      <c r="BQF8" s="59"/>
      <c r="BQH8" s="235"/>
      <c r="BQI8" s="236"/>
      <c r="BQJ8" s="63"/>
      <c r="BQK8" s="63"/>
      <c r="BQM8" s="237"/>
      <c r="BQN8" s="238"/>
      <c r="BQO8" s="239"/>
      <c r="BQP8" s="239"/>
      <c r="BQQ8" s="59"/>
      <c r="BQS8" s="235"/>
      <c r="BQT8" s="236"/>
      <c r="BQU8" s="63"/>
      <c r="BQV8" s="63"/>
      <c r="BQX8" s="237"/>
      <c r="BQY8" s="238"/>
      <c r="BQZ8" s="239"/>
      <c r="BRA8" s="239"/>
      <c r="BRB8" s="59"/>
      <c r="BRD8" s="235"/>
      <c r="BRE8" s="236"/>
      <c r="BRF8" s="63"/>
      <c r="BRG8" s="63"/>
      <c r="BRI8" s="237"/>
      <c r="BRJ8" s="238"/>
      <c r="BRK8" s="239"/>
      <c r="BRL8" s="239"/>
      <c r="BRM8" s="59"/>
      <c r="BRO8" s="235"/>
      <c r="BRP8" s="236"/>
      <c r="BRQ8" s="63"/>
      <c r="BRR8" s="63"/>
      <c r="BRT8" s="237"/>
      <c r="BRU8" s="238"/>
      <c r="BRV8" s="239"/>
      <c r="BRW8" s="239"/>
      <c r="BRX8" s="59"/>
      <c r="BRZ8" s="235"/>
      <c r="BSA8" s="236"/>
      <c r="BSB8" s="63"/>
      <c r="BSC8" s="63"/>
      <c r="BSE8" s="237"/>
      <c r="BSF8" s="238"/>
      <c r="BSG8" s="239"/>
      <c r="BSH8" s="239"/>
      <c r="BSI8" s="59"/>
      <c r="BSK8" s="235"/>
      <c r="BSL8" s="236"/>
      <c r="BSM8" s="63"/>
      <c r="BSN8" s="63"/>
      <c r="BSP8" s="237"/>
      <c r="BSQ8" s="238"/>
      <c r="BSR8" s="239"/>
      <c r="BSS8" s="239"/>
      <c r="BST8" s="59"/>
      <c r="BSV8" s="235"/>
      <c r="BSW8" s="236"/>
      <c r="BSX8" s="63"/>
      <c r="BSY8" s="63"/>
      <c r="BTA8" s="237"/>
      <c r="BTB8" s="238"/>
      <c r="BTC8" s="239"/>
      <c r="BTD8" s="239"/>
      <c r="BTE8" s="59"/>
      <c r="BTG8" s="235"/>
      <c r="BTH8" s="236"/>
      <c r="BTI8" s="63"/>
      <c r="BTJ8" s="63"/>
      <c r="BTL8" s="237"/>
      <c r="BTM8" s="238"/>
      <c r="BTN8" s="239"/>
      <c r="BTO8" s="239"/>
      <c r="BTP8" s="59"/>
      <c r="BTR8" s="235"/>
      <c r="BTS8" s="236"/>
      <c r="BTT8" s="63"/>
      <c r="BTU8" s="63"/>
      <c r="BTW8" s="237"/>
      <c r="BTX8" s="238"/>
      <c r="BTY8" s="239"/>
      <c r="BTZ8" s="239"/>
      <c r="BUA8" s="59"/>
      <c r="BUC8" s="235"/>
      <c r="BUD8" s="236"/>
      <c r="BUE8" s="63"/>
      <c r="BUF8" s="63"/>
      <c r="BUH8" s="237"/>
      <c r="BUI8" s="238"/>
      <c r="BUJ8" s="239"/>
      <c r="BUK8" s="239"/>
      <c r="BUL8" s="59"/>
      <c r="BUN8" s="235"/>
      <c r="BUO8" s="236"/>
      <c r="BUP8" s="63"/>
      <c r="BUQ8" s="63"/>
      <c r="BUS8" s="237"/>
      <c r="BUT8" s="238"/>
      <c r="BUU8" s="239"/>
      <c r="BUV8" s="239"/>
      <c r="BUW8" s="59"/>
      <c r="BUY8" s="235"/>
      <c r="BUZ8" s="236"/>
      <c r="BVA8" s="63"/>
      <c r="BVB8" s="63"/>
      <c r="BVD8" s="237"/>
      <c r="BVE8" s="238"/>
      <c r="BVF8" s="239"/>
      <c r="BVG8" s="239"/>
      <c r="BVH8" s="59"/>
      <c r="BVJ8" s="235"/>
      <c r="BVK8" s="236"/>
      <c r="BVL8" s="63"/>
      <c r="BVM8" s="63"/>
      <c r="BVO8" s="237"/>
      <c r="BVP8" s="238"/>
      <c r="BVQ8" s="239"/>
      <c r="BVR8" s="239"/>
      <c r="BVS8" s="59"/>
      <c r="BVU8" s="235"/>
      <c r="BVV8" s="236"/>
      <c r="BVW8" s="63"/>
      <c r="BVX8" s="63"/>
      <c r="BVZ8" s="237"/>
      <c r="BWA8" s="238"/>
      <c r="BWB8" s="239"/>
      <c r="BWC8" s="239"/>
      <c r="BWD8" s="59"/>
      <c r="BWF8" s="235"/>
      <c r="BWG8" s="236"/>
      <c r="BWH8" s="63"/>
      <c r="BWI8" s="63"/>
      <c r="BWK8" s="237"/>
      <c r="BWL8" s="238"/>
      <c r="BWM8" s="239"/>
      <c r="BWN8" s="239"/>
      <c r="BWO8" s="59"/>
      <c r="BWQ8" s="235"/>
      <c r="BWR8" s="236"/>
      <c r="BWS8" s="63"/>
      <c r="BWT8" s="63"/>
      <c r="BWV8" s="237"/>
      <c r="BWW8" s="238"/>
      <c r="BWX8" s="239"/>
      <c r="BWY8" s="239"/>
      <c r="BWZ8" s="59"/>
      <c r="BXB8" s="235"/>
      <c r="BXC8" s="236"/>
      <c r="BXD8" s="63"/>
      <c r="BXE8" s="63"/>
      <c r="BXG8" s="237"/>
      <c r="BXH8" s="238"/>
      <c r="BXI8" s="239"/>
      <c r="BXJ8" s="239"/>
      <c r="BXK8" s="59"/>
      <c r="BXM8" s="235"/>
      <c r="BXN8" s="236"/>
      <c r="BXO8" s="63"/>
      <c r="BXP8" s="63"/>
      <c r="BXR8" s="237"/>
      <c r="BXS8" s="238"/>
      <c r="BXT8" s="239"/>
      <c r="BXU8" s="239"/>
      <c r="BXV8" s="59"/>
      <c r="BXX8" s="235"/>
      <c r="BXY8" s="236"/>
      <c r="BXZ8" s="63"/>
      <c r="BYA8" s="63"/>
      <c r="BYC8" s="237"/>
      <c r="BYD8" s="238"/>
      <c r="BYE8" s="239"/>
      <c r="BYF8" s="239"/>
      <c r="BYG8" s="59"/>
      <c r="BYI8" s="235"/>
      <c r="BYJ8" s="236"/>
      <c r="BYK8" s="63"/>
      <c r="BYL8" s="63"/>
      <c r="BYN8" s="237"/>
      <c r="BYO8" s="238"/>
      <c r="BYP8" s="239"/>
      <c r="BYQ8" s="239"/>
      <c r="BYR8" s="59"/>
      <c r="BYT8" s="235"/>
      <c r="BYU8" s="236"/>
      <c r="BYV8" s="63"/>
      <c r="BYW8" s="63"/>
      <c r="BYY8" s="237"/>
      <c r="BYZ8" s="238"/>
      <c r="BZA8" s="239"/>
      <c r="BZB8" s="239"/>
      <c r="BZC8" s="59"/>
      <c r="BZE8" s="235"/>
      <c r="BZF8" s="236"/>
      <c r="BZG8" s="63"/>
      <c r="BZH8" s="63"/>
      <c r="BZJ8" s="237"/>
      <c r="BZK8" s="238"/>
      <c r="BZL8" s="239"/>
      <c r="BZM8" s="239"/>
      <c r="BZN8" s="59"/>
      <c r="BZP8" s="235"/>
      <c r="BZQ8" s="236"/>
      <c r="BZR8" s="63"/>
      <c r="BZS8" s="63"/>
      <c r="BZU8" s="237"/>
      <c r="BZV8" s="238"/>
      <c r="BZW8" s="239"/>
      <c r="BZX8" s="239"/>
      <c r="BZY8" s="59"/>
      <c r="CAA8" s="235"/>
      <c r="CAB8" s="236"/>
      <c r="CAC8" s="63"/>
      <c r="CAD8" s="63"/>
      <c r="CAF8" s="237"/>
      <c r="CAG8" s="238"/>
      <c r="CAH8" s="239"/>
      <c r="CAI8" s="239"/>
      <c r="CAJ8" s="59"/>
      <c r="CAL8" s="235"/>
      <c r="CAM8" s="236"/>
      <c r="CAN8" s="63"/>
      <c r="CAO8" s="63"/>
      <c r="CAQ8" s="237"/>
      <c r="CAR8" s="238"/>
      <c r="CAS8" s="239"/>
      <c r="CAT8" s="239"/>
      <c r="CAU8" s="59"/>
      <c r="CAW8" s="235"/>
      <c r="CAX8" s="236"/>
      <c r="CAY8" s="63"/>
      <c r="CAZ8" s="63"/>
      <c r="CBB8" s="237"/>
      <c r="CBC8" s="238"/>
      <c r="CBD8" s="239"/>
      <c r="CBE8" s="239"/>
      <c r="CBF8" s="59"/>
      <c r="CBH8" s="235"/>
      <c r="CBI8" s="236"/>
      <c r="CBJ8" s="63"/>
      <c r="CBK8" s="63"/>
      <c r="CBM8" s="237"/>
      <c r="CBN8" s="238"/>
      <c r="CBO8" s="239"/>
      <c r="CBP8" s="239"/>
      <c r="CBQ8" s="59"/>
      <c r="CBS8" s="235"/>
      <c r="CBT8" s="236"/>
      <c r="CBU8" s="63"/>
      <c r="CBV8" s="63"/>
      <c r="CBX8" s="237"/>
      <c r="CBY8" s="238"/>
      <c r="CBZ8" s="239"/>
      <c r="CCA8" s="239"/>
      <c r="CCB8" s="59"/>
      <c r="CCD8" s="235"/>
      <c r="CCE8" s="236"/>
      <c r="CCF8" s="63"/>
      <c r="CCG8" s="63"/>
      <c r="CCI8" s="237"/>
      <c r="CCJ8" s="238"/>
      <c r="CCK8" s="239"/>
      <c r="CCL8" s="239"/>
      <c r="CCM8" s="59"/>
      <c r="CCO8" s="235"/>
      <c r="CCP8" s="236"/>
      <c r="CCQ8" s="63"/>
      <c r="CCR8" s="63"/>
      <c r="CCT8" s="237"/>
      <c r="CCU8" s="238"/>
      <c r="CCV8" s="239"/>
      <c r="CCW8" s="239"/>
      <c r="CCX8" s="59"/>
      <c r="CCZ8" s="235"/>
      <c r="CDA8" s="236"/>
      <c r="CDB8" s="63"/>
      <c r="CDC8" s="63"/>
      <c r="CDE8" s="237"/>
      <c r="CDF8" s="238"/>
      <c r="CDG8" s="239"/>
      <c r="CDH8" s="239"/>
      <c r="CDI8" s="59"/>
      <c r="CDK8" s="235"/>
      <c r="CDL8" s="236"/>
      <c r="CDM8" s="63"/>
      <c r="CDN8" s="63"/>
      <c r="CDP8" s="237"/>
      <c r="CDQ8" s="238"/>
      <c r="CDR8" s="239"/>
      <c r="CDS8" s="239"/>
      <c r="CDT8" s="59"/>
      <c r="CDV8" s="235"/>
      <c r="CDW8" s="236"/>
      <c r="CDX8" s="63"/>
      <c r="CDY8" s="63"/>
      <c r="CEA8" s="237"/>
      <c r="CEB8" s="238"/>
      <c r="CEC8" s="239"/>
      <c r="CED8" s="239"/>
      <c r="CEE8" s="59"/>
      <c r="CEG8" s="235"/>
      <c r="CEH8" s="236"/>
      <c r="CEI8" s="63"/>
      <c r="CEJ8" s="63"/>
      <c r="CEL8" s="237"/>
      <c r="CEM8" s="238"/>
      <c r="CEN8" s="239"/>
      <c r="CEO8" s="239"/>
      <c r="CEP8" s="59"/>
      <c r="CER8" s="235"/>
      <c r="CES8" s="236"/>
      <c r="CET8" s="63"/>
      <c r="CEU8" s="63"/>
      <c r="CEW8" s="237"/>
      <c r="CEX8" s="238"/>
      <c r="CEY8" s="239"/>
      <c r="CEZ8" s="239"/>
      <c r="CFA8" s="59"/>
      <c r="CFC8" s="235"/>
      <c r="CFD8" s="236"/>
      <c r="CFE8" s="63"/>
      <c r="CFF8" s="63"/>
      <c r="CFH8" s="237"/>
      <c r="CFI8" s="238"/>
      <c r="CFJ8" s="239"/>
      <c r="CFK8" s="239"/>
      <c r="CFL8" s="59"/>
      <c r="CFN8" s="235"/>
      <c r="CFO8" s="236"/>
      <c r="CFP8" s="63"/>
      <c r="CFQ8" s="63"/>
      <c r="CFS8" s="237"/>
      <c r="CFT8" s="238"/>
      <c r="CFU8" s="239"/>
      <c r="CFV8" s="239"/>
      <c r="CFW8" s="59"/>
      <c r="CFY8" s="235"/>
      <c r="CFZ8" s="236"/>
      <c r="CGA8" s="63"/>
      <c r="CGB8" s="63"/>
      <c r="CGD8" s="237"/>
      <c r="CGE8" s="238"/>
      <c r="CGF8" s="239"/>
      <c r="CGG8" s="239"/>
      <c r="CGH8" s="59"/>
      <c r="CGJ8" s="235"/>
      <c r="CGK8" s="236"/>
      <c r="CGL8" s="63"/>
      <c r="CGM8" s="63"/>
      <c r="CGO8" s="237"/>
      <c r="CGP8" s="238"/>
      <c r="CGQ8" s="239"/>
      <c r="CGR8" s="239"/>
      <c r="CGS8" s="59"/>
      <c r="CGU8" s="235"/>
      <c r="CGV8" s="236"/>
      <c r="CGW8" s="63"/>
      <c r="CGX8" s="63"/>
      <c r="CGZ8" s="237"/>
      <c r="CHA8" s="238"/>
      <c r="CHB8" s="239"/>
      <c r="CHC8" s="239"/>
      <c r="CHD8" s="59"/>
      <c r="CHF8" s="235"/>
      <c r="CHG8" s="236"/>
      <c r="CHH8" s="63"/>
      <c r="CHI8" s="63"/>
      <c r="CHK8" s="237"/>
      <c r="CHL8" s="238"/>
      <c r="CHM8" s="239"/>
      <c r="CHN8" s="239"/>
      <c r="CHO8" s="59"/>
      <c r="CHQ8" s="235"/>
      <c r="CHR8" s="236"/>
      <c r="CHS8" s="63"/>
      <c r="CHT8" s="63"/>
      <c r="CHV8" s="237"/>
      <c r="CHW8" s="238"/>
      <c r="CHX8" s="239"/>
      <c r="CHY8" s="239"/>
      <c r="CHZ8" s="59"/>
      <c r="CIB8" s="235"/>
      <c r="CIC8" s="236"/>
      <c r="CID8" s="63"/>
      <c r="CIE8" s="63"/>
      <c r="CIG8" s="237"/>
      <c r="CIH8" s="238"/>
      <c r="CII8" s="239"/>
      <c r="CIJ8" s="239"/>
      <c r="CIK8" s="59"/>
      <c r="CIM8" s="235"/>
      <c r="CIN8" s="236"/>
      <c r="CIO8" s="63"/>
      <c r="CIP8" s="63"/>
      <c r="CIR8" s="237"/>
      <c r="CIS8" s="238"/>
      <c r="CIT8" s="239"/>
      <c r="CIU8" s="239"/>
      <c r="CIV8" s="59"/>
      <c r="CIX8" s="235"/>
      <c r="CIY8" s="236"/>
      <c r="CIZ8" s="63"/>
      <c r="CJA8" s="63"/>
      <c r="CJC8" s="237"/>
      <c r="CJD8" s="238"/>
      <c r="CJE8" s="239"/>
      <c r="CJF8" s="239"/>
      <c r="CJG8" s="59"/>
      <c r="CJI8" s="235"/>
      <c r="CJJ8" s="236"/>
      <c r="CJK8" s="63"/>
      <c r="CJL8" s="63"/>
      <c r="CJN8" s="237"/>
      <c r="CJO8" s="238"/>
      <c r="CJP8" s="239"/>
      <c r="CJQ8" s="239"/>
      <c r="CJR8" s="59"/>
      <c r="CJT8" s="235"/>
      <c r="CJU8" s="236"/>
      <c r="CJV8" s="63"/>
      <c r="CJW8" s="63"/>
      <c r="CJY8" s="237"/>
      <c r="CJZ8" s="238"/>
      <c r="CKA8" s="239"/>
      <c r="CKB8" s="239"/>
      <c r="CKC8" s="59"/>
      <c r="CKE8" s="235"/>
      <c r="CKF8" s="236"/>
      <c r="CKG8" s="63"/>
      <c r="CKH8" s="63"/>
      <c r="CKJ8" s="237"/>
      <c r="CKK8" s="238"/>
      <c r="CKL8" s="239"/>
      <c r="CKM8" s="239"/>
      <c r="CKN8" s="59"/>
      <c r="CKP8" s="235"/>
      <c r="CKQ8" s="236"/>
      <c r="CKR8" s="63"/>
      <c r="CKS8" s="63"/>
      <c r="CKU8" s="237"/>
      <c r="CKV8" s="238"/>
      <c r="CKW8" s="239"/>
      <c r="CKX8" s="239"/>
      <c r="CKY8" s="59"/>
      <c r="CLA8" s="235"/>
      <c r="CLB8" s="236"/>
      <c r="CLC8" s="63"/>
      <c r="CLD8" s="63"/>
      <c r="CLF8" s="237"/>
      <c r="CLG8" s="238"/>
      <c r="CLH8" s="239"/>
      <c r="CLI8" s="239"/>
      <c r="CLJ8" s="59"/>
      <c r="CLL8" s="235"/>
      <c r="CLM8" s="236"/>
      <c r="CLN8" s="63"/>
      <c r="CLO8" s="63"/>
      <c r="CLQ8" s="237"/>
      <c r="CLR8" s="238"/>
      <c r="CLS8" s="239"/>
      <c r="CLT8" s="239"/>
      <c r="CLU8" s="59"/>
      <c r="CLW8" s="235"/>
      <c r="CLX8" s="236"/>
      <c r="CLY8" s="63"/>
      <c r="CLZ8" s="63"/>
      <c r="CMB8" s="237"/>
      <c r="CMC8" s="238"/>
      <c r="CMD8" s="239"/>
      <c r="CME8" s="239"/>
      <c r="CMF8" s="59"/>
      <c r="CMH8" s="235"/>
      <c r="CMI8" s="236"/>
      <c r="CMJ8" s="63"/>
      <c r="CMK8" s="63"/>
      <c r="CMM8" s="237"/>
      <c r="CMN8" s="238"/>
      <c r="CMO8" s="239"/>
      <c r="CMP8" s="239"/>
      <c r="CMQ8" s="59"/>
      <c r="CMS8" s="235"/>
      <c r="CMT8" s="236"/>
      <c r="CMU8" s="63"/>
      <c r="CMV8" s="63"/>
      <c r="CMX8" s="237"/>
      <c r="CMY8" s="238"/>
      <c r="CMZ8" s="239"/>
      <c r="CNA8" s="239"/>
      <c r="CNB8" s="59"/>
      <c r="CND8" s="235"/>
      <c r="CNE8" s="236"/>
      <c r="CNF8" s="63"/>
      <c r="CNG8" s="63"/>
      <c r="CNI8" s="237"/>
      <c r="CNJ8" s="238"/>
      <c r="CNK8" s="239"/>
      <c r="CNL8" s="239"/>
      <c r="CNM8" s="59"/>
      <c r="CNO8" s="235"/>
      <c r="CNP8" s="236"/>
      <c r="CNQ8" s="63"/>
      <c r="CNR8" s="63"/>
      <c r="CNT8" s="237"/>
      <c r="CNU8" s="238"/>
      <c r="CNV8" s="239"/>
      <c r="CNW8" s="239"/>
      <c r="CNX8" s="59"/>
      <c r="CNZ8" s="235"/>
      <c r="COA8" s="236"/>
      <c r="COB8" s="63"/>
      <c r="COC8" s="63"/>
      <c r="COE8" s="237"/>
      <c r="COF8" s="238"/>
      <c r="COG8" s="239"/>
      <c r="COH8" s="239"/>
      <c r="COI8" s="59"/>
      <c r="COK8" s="235"/>
      <c r="COL8" s="236"/>
      <c r="COM8" s="63"/>
      <c r="CON8" s="63"/>
      <c r="COP8" s="237"/>
      <c r="COQ8" s="238"/>
      <c r="COR8" s="239"/>
      <c r="COS8" s="239"/>
      <c r="COT8" s="59"/>
      <c r="COV8" s="235"/>
      <c r="COW8" s="236"/>
      <c r="COX8" s="63"/>
      <c r="COY8" s="63"/>
      <c r="CPA8" s="237"/>
      <c r="CPB8" s="238"/>
      <c r="CPC8" s="239"/>
      <c r="CPD8" s="239"/>
      <c r="CPE8" s="59"/>
      <c r="CPG8" s="235"/>
      <c r="CPH8" s="236"/>
      <c r="CPI8" s="63"/>
      <c r="CPJ8" s="63"/>
      <c r="CPL8" s="237"/>
      <c r="CPM8" s="238"/>
      <c r="CPN8" s="239"/>
      <c r="CPO8" s="239"/>
      <c r="CPP8" s="59"/>
      <c r="CPR8" s="235"/>
      <c r="CPS8" s="236"/>
      <c r="CPT8" s="63"/>
      <c r="CPU8" s="63"/>
      <c r="CPW8" s="237"/>
      <c r="CPX8" s="238"/>
      <c r="CPY8" s="239"/>
      <c r="CPZ8" s="239"/>
      <c r="CQA8" s="59"/>
      <c r="CQC8" s="235"/>
      <c r="CQD8" s="236"/>
      <c r="CQE8" s="63"/>
      <c r="CQF8" s="63"/>
      <c r="CQH8" s="237"/>
      <c r="CQI8" s="238"/>
      <c r="CQJ8" s="239"/>
      <c r="CQK8" s="239"/>
      <c r="CQL8" s="59"/>
      <c r="CQN8" s="235"/>
      <c r="CQO8" s="236"/>
      <c r="CQP8" s="63"/>
      <c r="CQQ8" s="63"/>
      <c r="CQS8" s="237"/>
      <c r="CQT8" s="238"/>
      <c r="CQU8" s="239"/>
      <c r="CQV8" s="239"/>
      <c r="CQW8" s="59"/>
      <c r="CQY8" s="235"/>
      <c r="CQZ8" s="236"/>
      <c r="CRA8" s="63"/>
      <c r="CRB8" s="63"/>
      <c r="CRD8" s="237"/>
      <c r="CRE8" s="238"/>
      <c r="CRF8" s="239"/>
      <c r="CRG8" s="239"/>
      <c r="CRH8" s="59"/>
      <c r="CRJ8" s="235"/>
      <c r="CRK8" s="236"/>
      <c r="CRL8" s="63"/>
      <c r="CRM8" s="63"/>
      <c r="CRO8" s="237"/>
      <c r="CRP8" s="238"/>
      <c r="CRQ8" s="239"/>
      <c r="CRR8" s="239"/>
      <c r="CRS8" s="59"/>
      <c r="CRU8" s="235"/>
      <c r="CRV8" s="236"/>
      <c r="CRW8" s="63"/>
      <c r="CRX8" s="63"/>
      <c r="CRZ8" s="237"/>
      <c r="CSA8" s="238"/>
      <c r="CSB8" s="239"/>
      <c r="CSC8" s="239"/>
      <c r="CSD8" s="59"/>
      <c r="CSF8" s="235"/>
      <c r="CSG8" s="236"/>
      <c r="CSH8" s="63"/>
      <c r="CSI8" s="63"/>
      <c r="CSK8" s="237"/>
      <c r="CSL8" s="238"/>
      <c r="CSM8" s="239"/>
      <c r="CSN8" s="239"/>
      <c r="CSO8" s="59"/>
      <c r="CSQ8" s="235"/>
      <c r="CSR8" s="236"/>
      <c r="CSS8" s="63"/>
      <c r="CST8" s="63"/>
      <c r="CSV8" s="237"/>
      <c r="CSW8" s="238"/>
      <c r="CSX8" s="239"/>
      <c r="CSY8" s="239"/>
      <c r="CSZ8" s="59"/>
      <c r="CTB8" s="235"/>
      <c r="CTC8" s="236"/>
      <c r="CTD8" s="63"/>
      <c r="CTE8" s="63"/>
      <c r="CTG8" s="237"/>
      <c r="CTH8" s="238"/>
      <c r="CTI8" s="239"/>
      <c r="CTJ8" s="239"/>
      <c r="CTK8" s="59"/>
      <c r="CTM8" s="235"/>
      <c r="CTN8" s="236"/>
      <c r="CTO8" s="63"/>
      <c r="CTP8" s="63"/>
      <c r="CTR8" s="237"/>
      <c r="CTS8" s="238"/>
      <c r="CTT8" s="239"/>
      <c r="CTU8" s="239"/>
      <c r="CTV8" s="59"/>
      <c r="CTX8" s="235"/>
      <c r="CTY8" s="236"/>
      <c r="CTZ8" s="63"/>
      <c r="CUA8" s="63"/>
      <c r="CUC8" s="237"/>
      <c r="CUD8" s="238"/>
      <c r="CUE8" s="239"/>
      <c r="CUF8" s="239"/>
      <c r="CUG8" s="59"/>
      <c r="CUI8" s="235"/>
      <c r="CUJ8" s="236"/>
      <c r="CUK8" s="63"/>
      <c r="CUL8" s="63"/>
      <c r="CUN8" s="237"/>
      <c r="CUO8" s="238"/>
      <c r="CUP8" s="239"/>
      <c r="CUQ8" s="239"/>
      <c r="CUR8" s="59"/>
      <c r="CUT8" s="235"/>
      <c r="CUU8" s="236"/>
      <c r="CUV8" s="63"/>
      <c r="CUW8" s="63"/>
      <c r="CUY8" s="237"/>
      <c r="CUZ8" s="238"/>
      <c r="CVA8" s="239"/>
      <c r="CVB8" s="239"/>
      <c r="CVC8" s="59"/>
      <c r="CVE8" s="235"/>
      <c r="CVF8" s="236"/>
      <c r="CVG8" s="63"/>
      <c r="CVH8" s="63"/>
      <c r="CVJ8" s="237"/>
      <c r="CVK8" s="238"/>
      <c r="CVL8" s="239"/>
      <c r="CVM8" s="239"/>
      <c r="CVN8" s="59"/>
      <c r="CVP8" s="235"/>
      <c r="CVQ8" s="236"/>
      <c r="CVR8" s="63"/>
      <c r="CVS8" s="63"/>
      <c r="CVU8" s="237"/>
      <c r="CVV8" s="238"/>
      <c r="CVW8" s="239"/>
      <c r="CVX8" s="239"/>
      <c r="CVY8" s="59"/>
      <c r="CWA8" s="235"/>
      <c r="CWB8" s="236"/>
      <c r="CWC8" s="63"/>
      <c r="CWD8" s="63"/>
      <c r="CWF8" s="237"/>
      <c r="CWG8" s="238"/>
      <c r="CWH8" s="239"/>
      <c r="CWI8" s="239"/>
      <c r="CWJ8" s="59"/>
      <c r="CWL8" s="235"/>
      <c r="CWM8" s="236"/>
      <c r="CWN8" s="63"/>
      <c r="CWO8" s="63"/>
      <c r="CWQ8" s="237"/>
      <c r="CWR8" s="238"/>
      <c r="CWS8" s="239"/>
      <c r="CWT8" s="239"/>
      <c r="CWU8" s="59"/>
      <c r="CWW8" s="235"/>
      <c r="CWX8" s="236"/>
      <c r="CWY8" s="63"/>
      <c r="CWZ8" s="63"/>
      <c r="CXB8" s="237"/>
      <c r="CXC8" s="238"/>
      <c r="CXD8" s="239"/>
      <c r="CXE8" s="239"/>
      <c r="CXF8" s="59"/>
      <c r="CXH8" s="235"/>
      <c r="CXI8" s="236"/>
      <c r="CXJ8" s="63"/>
      <c r="CXK8" s="63"/>
      <c r="CXM8" s="237"/>
      <c r="CXN8" s="238"/>
      <c r="CXO8" s="239"/>
      <c r="CXP8" s="239"/>
      <c r="CXQ8" s="59"/>
      <c r="CXS8" s="235"/>
      <c r="CXT8" s="236"/>
      <c r="CXU8" s="63"/>
      <c r="CXV8" s="63"/>
      <c r="CXX8" s="237"/>
      <c r="CXY8" s="238"/>
      <c r="CXZ8" s="239"/>
      <c r="CYA8" s="239"/>
      <c r="CYB8" s="59"/>
      <c r="CYD8" s="235"/>
      <c r="CYE8" s="236"/>
      <c r="CYF8" s="63"/>
      <c r="CYG8" s="63"/>
      <c r="CYI8" s="237"/>
      <c r="CYJ8" s="238"/>
      <c r="CYK8" s="239"/>
      <c r="CYL8" s="239"/>
      <c r="CYM8" s="59"/>
      <c r="CYO8" s="235"/>
      <c r="CYP8" s="236"/>
      <c r="CYQ8" s="63"/>
      <c r="CYR8" s="63"/>
      <c r="CYT8" s="237"/>
      <c r="CYU8" s="238"/>
      <c r="CYV8" s="239"/>
      <c r="CYW8" s="239"/>
      <c r="CYX8" s="59"/>
      <c r="CYZ8" s="235"/>
      <c r="CZA8" s="236"/>
      <c r="CZB8" s="63"/>
      <c r="CZC8" s="63"/>
      <c r="CZE8" s="237"/>
      <c r="CZF8" s="238"/>
      <c r="CZG8" s="239"/>
      <c r="CZH8" s="239"/>
      <c r="CZI8" s="59"/>
      <c r="CZK8" s="235"/>
      <c r="CZL8" s="236"/>
      <c r="CZM8" s="63"/>
      <c r="CZN8" s="63"/>
      <c r="CZP8" s="237"/>
      <c r="CZQ8" s="238"/>
      <c r="CZR8" s="239"/>
      <c r="CZS8" s="239"/>
      <c r="CZT8" s="59"/>
      <c r="CZV8" s="235"/>
      <c r="CZW8" s="236"/>
      <c r="CZX8" s="63"/>
      <c r="CZY8" s="63"/>
      <c r="DAA8" s="237"/>
      <c r="DAB8" s="238"/>
      <c r="DAC8" s="239"/>
      <c r="DAD8" s="239"/>
      <c r="DAE8" s="59"/>
      <c r="DAG8" s="235"/>
      <c r="DAH8" s="236"/>
      <c r="DAI8" s="63"/>
      <c r="DAJ8" s="63"/>
      <c r="DAL8" s="237"/>
      <c r="DAM8" s="238"/>
      <c r="DAN8" s="239"/>
      <c r="DAO8" s="239"/>
      <c r="DAP8" s="59"/>
      <c r="DAR8" s="235"/>
      <c r="DAS8" s="236"/>
      <c r="DAT8" s="63"/>
      <c r="DAU8" s="63"/>
      <c r="DAW8" s="237"/>
      <c r="DAX8" s="238"/>
      <c r="DAY8" s="239"/>
      <c r="DAZ8" s="239"/>
      <c r="DBA8" s="59"/>
      <c r="DBC8" s="235"/>
      <c r="DBD8" s="236"/>
      <c r="DBE8" s="63"/>
      <c r="DBF8" s="63"/>
      <c r="DBH8" s="237"/>
      <c r="DBI8" s="238"/>
      <c r="DBJ8" s="239"/>
      <c r="DBK8" s="239"/>
      <c r="DBL8" s="59"/>
      <c r="DBN8" s="235"/>
      <c r="DBO8" s="236"/>
      <c r="DBP8" s="63"/>
      <c r="DBQ8" s="63"/>
      <c r="DBS8" s="237"/>
      <c r="DBT8" s="238"/>
      <c r="DBU8" s="239"/>
      <c r="DBV8" s="239"/>
      <c r="DBW8" s="59"/>
      <c r="DBY8" s="235"/>
      <c r="DBZ8" s="236"/>
      <c r="DCA8" s="63"/>
      <c r="DCB8" s="63"/>
      <c r="DCD8" s="237"/>
      <c r="DCE8" s="238"/>
      <c r="DCF8" s="239"/>
      <c r="DCG8" s="239"/>
      <c r="DCH8" s="59"/>
      <c r="DCJ8" s="235"/>
      <c r="DCK8" s="236"/>
      <c r="DCL8" s="63"/>
      <c r="DCM8" s="63"/>
      <c r="DCO8" s="237"/>
      <c r="DCP8" s="238"/>
      <c r="DCQ8" s="239"/>
      <c r="DCR8" s="239"/>
      <c r="DCS8" s="59"/>
      <c r="DCU8" s="235"/>
      <c r="DCV8" s="236"/>
      <c r="DCW8" s="63"/>
      <c r="DCX8" s="63"/>
      <c r="DCZ8" s="237"/>
      <c r="DDA8" s="238"/>
      <c r="DDB8" s="239"/>
      <c r="DDC8" s="239"/>
      <c r="DDD8" s="59"/>
      <c r="DDF8" s="235"/>
      <c r="DDG8" s="236"/>
      <c r="DDH8" s="63"/>
      <c r="DDI8" s="63"/>
      <c r="DDK8" s="237"/>
      <c r="DDL8" s="238"/>
      <c r="DDM8" s="239"/>
      <c r="DDN8" s="239"/>
      <c r="DDO8" s="59"/>
      <c r="DDQ8" s="235"/>
      <c r="DDR8" s="236"/>
      <c r="DDS8" s="63"/>
      <c r="DDT8" s="63"/>
      <c r="DDV8" s="237"/>
      <c r="DDW8" s="238"/>
      <c r="DDX8" s="239"/>
      <c r="DDY8" s="239"/>
      <c r="DDZ8" s="59"/>
      <c r="DEB8" s="235"/>
      <c r="DEC8" s="236"/>
      <c r="DED8" s="63"/>
      <c r="DEE8" s="63"/>
      <c r="DEG8" s="237"/>
      <c r="DEH8" s="238"/>
      <c r="DEI8" s="239"/>
      <c r="DEJ8" s="239"/>
      <c r="DEK8" s="59"/>
      <c r="DEM8" s="235"/>
      <c r="DEN8" s="236"/>
      <c r="DEO8" s="63"/>
      <c r="DEP8" s="63"/>
      <c r="DER8" s="237"/>
      <c r="DES8" s="238"/>
      <c r="DET8" s="239"/>
      <c r="DEU8" s="239"/>
      <c r="DEV8" s="59"/>
      <c r="DEX8" s="235"/>
      <c r="DEY8" s="236"/>
      <c r="DEZ8" s="63"/>
      <c r="DFA8" s="63"/>
      <c r="DFC8" s="237"/>
      <c r="DFD8" s="238"/>
      <c r="DFE8" s="239"/>
      <c r="DFF8" s="239"/>
      <c r="DFG8" s="59"/>
      <c r="DFI8" s="235"/>
      <c r="DFJ8" s="236"/>
      <c r="DFK8" s="63"/>
      <c r="DFL8" s="63"/>
      <c r="DFN8" s="237"/>
      <c r="DFO8" s="238"/>
      <c r="DFP8" s="239"/>
      <c r="DFQ8" s="239"/>
      <c r="DFR8" s="59"/>
      <c r="DFT8" s="235"/>
      <c r="DFU8" s="236"/>
      <c r="DFV8" s="63"/>
      <c r="DFW8" s="63"/>
      <c r="DFY8" s="237"/>
      <c r="DFZ8" s="238"/>
      <c r="DGA8" s="239"/>
      <c r="DGB8" s="239"/>
      <c r="DGC8" s="59"/>
      <c r="DGE8" s="235"/>
      <c r="DGF8" s="236"/>
      <c r="DGG8" s="63"/>
      <c r="DGH8" s="63"/>
      <c r="DGJ8" s="237"/>
      <c r="DGK8" s="238"/>
      <c r="DGL8" s="239"/>
      <c r="DGM8" s="239"/>
      <c r="DGN8" s="59"/>
      <c r="DGP8" s="235"/>
      <c r="DGQ8" s="236"/>
      <c r="DGR8" s="63"/>
      <c r="DGS8" s="63"/>
      <c r="DGU8" s="237"/>
      <c r="DGV8" s="238"/>
      <c r="DGW8" s="239"/>
      <c r="DGX8" s="239"/>
      <c r="DGY8" s="59"/>
      <c r="DHA8" s="235"/>
      <c r="DHB8" s="236"/>
      <c r="DHC8" s="63"/>
      <c r="DHD8" s="63"/>
      <c r="DHF8" s="237"/>
      <c r="DHG8" s="238"/>
      <c r="DHH8" s="239"/>
      <c r="DHI8" s="239"/>
      <c r="DHJ8" s="59"/>
      <c r="DHL8" s="235"/>
      <c r="DHM8" s="236"/>
      <c r="DHN8" s="63"/>
      <c r="DHO8" s="63"/>
      <c r="DHQ8" s="237"/>
      <c r="DHR8" s="238"/>
      <c r="DHS8" s="239"/>
      <c r="DHT8" s="239"/>
      <c r="DHU8" s="59"/>
      <c r="DHW8" s="235"/>
      <c r="DHX8" s="236"/>
      <c r="DHY8" s="63"/>
      <c r="DHZ8" s="63"/>
      <c r="DIB8" s="237"/>
      <c r="DIC8" s="238"/>
      <c r="DID8" s="239"/>
      <c r="DIE8" s="239"/>
      <c r="DIF8" s="59"/>
      <c r="DIH8" s="235"/>
      <c r="DII8" s="236"/>
      <c r="DIJ8" s="63"/>
      <c r="DIK8" s="63"/>
      <c r="DIM8" s="237"/>
      <c r="DIN8" s="238"/>
      <c r="DIO8" s="239"/>
      <c r="DIP8" s="239"/>
      <c r="DIQ8" s="59"/>
      <c r="DIS8" s="235"/>
      <c r="DIT8" s="236"/>
      <c r="DIU8" s="63"/>
      <c r="DIV8" s="63"/>
      <c r="DIX8" s="237"/>
      <c r="DIY8" s="238"/>
      <c r="DIZ8" s="239"/>
      <c r="DJA8" s="239"/>
      <c r="DJB8" s="59"/>
      <c r="DJD8" s="235"/>
      <c r="DJE8" s="236"/>
      <c r="DJF8" s="63"/>
      <c r="DJG8" s="63"/>
      <c r="DJI8" s="237"/>
      <c r="DJJ8" s="238"/>
      <c r="DJK8" s="239"/>
      <c r="DJL8" s="239"/>
      <c r="DJM8" s="59"/>
      <c r="DJO8" s="235"/>
      <c r="DJP8" s="236"/>
      <c r="DJQ8" s="63"/>
      <c r="DJR8" s="63"/>
      <c r="DJT8" s="237"/>
      <c r="DJU8" s="238"/>
      <c r="DJV8" s="239"/>
      <c r="DJW8" s="239"/>
      <c r="DJX8" s="59"/>
      <c r="DJZ8" s="235"/>
      <c r="DKA8" s="236"/>
      <c r="DKB8" s="63"/>
      <c r="DKC8" s="63"/>
      <c r="DKE8" s="237"/>
      <c r="DKF8" s="238"/>
      <c r="DKG8" s="239"/>
      <c r="DKH8" s="239"/>
      <c r="DKI8" s="59"/>
      <c r="DKK8" s="235"/>
      <c r="DKL8" s="236"/>
      <c r="DKM8" s="63"/>
      <c r="DKN8" s="63"/>
      <c r="DKP8" s="237"/>
      <c r="DKQ8" s="238"/>
      <c r="DKR8" s="239"/>
      <c r="DKS8" s="239"/>
      <c r="DKT8" s="59"/>
      <c r="DKV8" s="235"/>
      <c r="DKW8" s="236"/>
      <c r="DKX8" s="63"/>
      <c r="DKY8" s="63"/>
      <c r="DLA8" s="237"/>
      <c r="DLB8" s="238"/>
      <c r="DLC8" s="239"/>
      <c r="DLD8" s="239"/>
      <c r="DLE8" s="59"/>
      <c r="DLG8" s="235"/>
      <c r="DLH8" s="236"/>
      <c r="DLI8" s="63"/>
      <c r="DLJ8" s="63"/>
      <c r="DLL8" s="237"/>
      <c r="DLM8" s="238"/>
      <c r="DLN8" s="239"/>
      <c r="DLO8" s="239"/>
      <c r="DLP8" s="59"/>
      <c r="DLR8" s="235"/>
      <c r="DLS8" s="236"/>
      <c r="DLT8" s="63"/>
      <c r="DLU8" s="63"/>
      <c r="DLW8" s="237"/>
      <c r="DLX8" s="238"/>
      <c r="DLY8" s="239"/>
      <c r="DLZ8" s="239"/>
      <c r="DMA8" s="59"/>
      <c r="DMC8" s="235"/>
      <c r="DMD8" s="236"/>
      <c r="DME8" s="63"/>
      <c r="DMF8" s="63"/>
      <c r="DMH8" s="237"/>
      <c r="DMI8" s="238"/>
      <c r="DMJ8" s="239"/>
      <c r="DMK8" s="239"/>
      <c r="DML8" s="59"/>
      <c r="DMN8" s="235"/>
      <c r="DMO8" s="236"/>
      <c r="DMP8" s="63"/>
      <c r="DMQ8" s="63"/>
      <c r="DMS8" s="237"/>
      <c r="DMT8" s="238"/>
      <c r="DMU8" s="239"/>
      <c r="DMV8" s="239"/>
      <c r="DMW8" s="59"/>
      <c r="DMY8" s="235"/>
      <c r="DMZ8" s="236"/>
      <c r="DNA8" s="63"/>
      <c r="DNB8" s="63"/>
      <c r="DND8" s="237"/>
      <c r="DNE8" s="238"/>
      <c r="DNF8" s="239"/>
      <c r="DNG8" s="239"/>
      <c r="DNH8" s="59"/>
      <c r="DNJ8" s="235"/>
      <c r="DNK8" s="236"/>
      <c r="DNL8" s="63"/>
      <c r="DNM8" s="63"/>
      <c r="DNO8" s="237"/>
      <c r="DNP8" s="238"/>
      <c r="DNQ8" s="239"/>
      <c r="DNR8" s="239"/>
      <c r="DNS8" s="59"/>
      <c r="DNU8" s="235"/>
      <c r="DNV8" s="236"/>
      <c r="DNW8" s="63"/>
      <c r="DNX8" s="63"/>
      <c r="DNZ8" s="237"/>
      <c r="DOA8" s="238"/>
      <c r="DOB8" s="239"/>
      <c r="DOC8" s="239"/>
      <c r="DOD8" s="59"/>
      <c r="DOF8" s="235"/>
      <c r="DOG8" s="236"/>
      <c r="DOH8" s="63"/>
      <c r="DOI8" s="63"/>
      <c r="DOK8" s="237"/>
      <c r="DOL8" s="238"/>
      <c r="DOM8" s="239"/>
      <c r="DON8" s="239"/>
      <c r="DOO8" s="59"/>
      <c r="DOQ8" s="235"/>
      <c r="DOR8" s="236"/>
      <c r="DOS8" s="63"/>
      <c r="DOT8" s="63"/>
      <c r="DOV8" s="237"/>
      <c r="DOW8" s="238"/>
      <c r="DOX8" s="239"/>
      <c r="DOY8" s="239"/>
      <c r="DOZ8" s="59"/>
      <c r="DPB8" s="235"/>
      <c r="DPC8" s="236"/>
      <c r="DPD8" s="63"/>
      <c r="DPE8" s="63"/>
      <c r="DPG8" s="237"/>
      <c r="DPH8" s="238"/>
      <c r="DPI8" s="239"/>
      <c r="DPJ8" s="239"/>
      <c r="DPK8" s="59"/>
      <c r="DPM8" s="235"/>
      <c r="DPN8" s="236"/>
      <c r="DPO8" s="63"/>
      <c r="DPP8" s="63"/>
      <c r="DPR8" s="237"/>
      <c r="DPS8" s="238"/>
      <c r="DPT8" s="239"/>
      <c r="DPU8" s="239"/>
      <c r="DPV8" s="59"/>
      <c r="DPX8" s="235"/>
      <c r="DPY8" s="236"/>
      <c r="DPZ8" s="63"/>
      <c r="DQA8" s="63"/>
      <c r="DQC8" s="237"/>
      <c r="DQD8" s="238"/>
      <c r="DQE8" s="239"/>
      <c r="DQF8" s="239"/>
      <c r="DQG8" s="59"/>
      <c r="DQI8" s="235"/>
      <c r="DQJ8" s="236"/>
      <c r="DQK8" s="63"/>
      <c r="DQL8" s="63"/>
      <c r="DQN8" s="237"/>
      <c r="DQO8" s="238"/>
      <c r="DQP8" s="239"/>
      <c r="DQQ8" s="239"/>
      <c r="DQR8" s="59"/>
      <c r="DQT8" s="235"/>
      <c r="DQU8" s="236"/>
      <c r="DQV8" s="63"/>
      <c r="DQW8" s="63"/>
      <c r="DQY8" s="237"/>
      <c r="DQZ8" s="238"/>
      <c r="DRA8" s="239"/>
      <c r="DRB8" s="239"/>
      <c r="DRC8" s="59"/>
      <c r="DRE8" s="235"/>
      <c r="DRF8" s="236"/>
      <c r="DRG8" s="63"/>
      <c r="DRH8" s="63"/>
      <c r="DRJ8" s="237"/>
      <c r="DRK8" s="238"/>
      <c r="DRL8" s="239"/>
      <c r="DRM8" s="239"/>
      <c r="DRN8" s="59"/>
      <c r="DRP8" s="235"/>
      <c r="DRQ8" s="236"/>
      <c r="DRR8" s="63"/>
      <c r="DRS8" s="63"/>
      <c r="DRU8" s="237"/>
      <c r="DRV8" s="238"/>
      <c r="DRW8" s="239"/>
      <c r="DRX8" s="239"/>
      <c r="DRY8" s="59"/>
      <c r="DSA8" s="235"/>
      <c r="DSB8" s="236"/>
      <c r="DSC8" s="63"/>
      <c r="DSD8" s="63"/>
      <c r="DSF8" s="237"/>
      <c r="DSG8" s="238"/>
      <c r="DSH8" s="239"/>
      <c r="DSI8" s="239"/>
      <c r="DSJ8" s="59"/>
      <c r="DSL8" s="235"/>
      <c r="DSM8" s="236"/>
      <c r="DSN8" s="63"/>
      <c r="DSO8" s="63"/>
      <c r="DSQ8" s="237"/>
      <c r="DSR8" s="238"/>
      <c r="DSS8" s="239"/>
      <c r="DST8" s="239"/>
      <c r="DSU8" s="59"/>
      <c r="DSW8" s="235"/>
      <c r="DSX8" s="236"/>
      <c r="DSY8" s="63"/>
      <c r="DSZ8" s="63"/>
      <c r="DTB8" s="237"/>
      <c r="DTC8" s="238"/>
      <c r="DTD8" s="239"/>
      <c r="DTE8" s="239"/>
      <c r="DTF8" s="59"/>
      <c r="DTH8" s="235"/>
      <c r="DTI8" s="236"/>
      <c r="DTJ8" s="63"/>
      <c r="DTK8" s="63"/>
      <c r="DTM8" s="237"/>
      <c r="DTN8" s="238"/>
      <c r="DTO8" s="239"/>
      <c r="DTP8" s="239"/>
      <c r="DTQ8" s="59"/>
      <c r="DTS8" s="235"/>
      <c r="DTT8" s="236"/>
      <c r="DTU8" s="63"/>
      <c r="DTV8" s="63"/>
      <c r="DTX8" s="237"/>
      <c r="DTY8" s="238"/>
      <c r="DTZ8" s="239"/>
      <c r="DUA8" s="239"/>
      <c r="DUB8" s="59"/>
      <c r="DUD8" s="235"/>
      <c r="DUE8" s="236"/>
      <c r="DUF8" s="63"/>
      <c r="DUG8" s="63"/>
      <c r="DUI8" s="237"/>
      <c r="DUJ8" s="238"/>
      <c r="DUK8" s="239"/>
      <c r="DUL8" s="239"/>
      <c r="DUM8" s="59"/>
      <c r="DUO8" s="235"/>
      <c r="DUP8" s="236"/>
      <c r="DUQ8" s="63"/>
      <c r="DUR8" s="63"/>
      <c r="DUT8" s="237"/>
      <c r="DUU8" s="238"/>
      <c r="DUV8" s="239"/>
      <c r="DUW8" s="239"/>
      <c r="DUX8" s="59"/>
      <c r="DUZ8" s="235"/>
      <c r="DVA8" s="236"/>
      <c r="DVB8" s="63"/>
      <c r="DVC8" s="63"/>
      <c r="DVE8" s="237"/>
      <c r="DVF8" s="238"/>
      <c r="DVG8" s="239"/>
      <c r="DVH8" s="239"/>
      <c r="DVI8" s="59"/>
      <c r="DVK8" s="235"/>
      <c r="DVL8" s="236"/>
      <c r="DVM8" s="63"/>
      <c r="DVN8" s="63"/>
      <c r="DVP8" s="237"/>
      <c r="DVQ8" s="238"/>
      <c r="DVR8" s="239"/>
      <c r="DVS8" s="239"/>
      <c r="DVT8" s="59"/>
      <c r="DVV8" s="235"/>
      <c r="DVW8" s="236"/>
      <c r="DVX8" s="63"/>
      <c r="DVY8" s="63"/>
      <c r="DWA8" s="237"/>
      <c r="DWB8" s="238"/>
      <c r="DWC8" s="239"/>
      <c r="DWD8" s="239"/>
      <c r="DWE8" s="59"/>
      <c r="DWG8" s="235"/>
      <c r="DWH8" s="236"/>
      <c r="DWI8" s="63"/>
      <c r="DWJ8" s="63"/>
      <c r="DWL8" s="237"/>
      <c r="DWM8" s="238"/>
      <c r="DWN8" s="239"/>
      <c r="DWO8" s="239"/>
      <c r="DWP8" s="59"/>
      <c r="DWR8" s="235"/>
      <c r="DWS8" s="236"/>
      <c r="DWT8" s="63"/>
      <c r="DWU8" s="63"/>
      <c r="DWW8" s="237"/>
      <c r="DWX8" s="238"/>
      <c r="DWY8" s="239"/>
      <c r="DWZ8" s="239"/>
      <c r="DXA8" s="59"/>
      <c r="DXC8" s="235"/>
      <c r="DXD8" s="236"/>
      <c r="DXE8" s="63"/>
      <c r="DXF8" s="63"/>
      <c r="DXH8" s="237"/>
      <c r="DXI8" s="238"/>
      <c r="DXJ8" s="239"/>
      <c r="DXK8" s="239"/>
      <c r="DXL8" s="59"/>
      <c r="DXN8" s="235"/>
      <c r="DXO8" s="236"/>
      <c r="DXP8" s="63"/>
      <c r="DXQ8" s="63"/>
      <c r="DXS8" s="237"/>
      <c r="DXT8" s="238"/>
      <c r="DXU8" s="239"/>
      <c r="DXV8" s="239"/>
      <c r="DXW8" s="59"/>
      <c r="DXY8" s="235"/>
      <c r="DXZ8" s="236"/>
      <c r="DYA8" s="63"/>
      <c r="DYB8" s="63"/>
      <c r="DYD8" s="237"/>
      <c r="DYE8" s="238"/>
      <c r="DYF8" s="239"/>
      <c r="DYG8" s="239"/>
      <c r="DYH8" s="59"/>
      <c r="DYJ8" s="235"/>
      <c r="DYK8" s="236"/>
      <c r="DYL8" s="63"/>
      <c r="DYM8" s="63"/>
      <c r="DYO8" s="237"/>
      <c r="DYP8" s="238"/>
      <c r="DYQ8" s="239"/>
      <c r="DYR8" s="239"/>
      <c r="DYS8" s="59"/>
      <c r="DYU8" s="235"/>
      <c r="DYV8" s="236"/>
      <c r="DYW8" s="63"/>
      <c r="DYX8" s="63"/>
      <c r="DYZ8" s="237"/>
      <c r="DZA8" s="238"/>
      <c r="DZB8" s="239"/>
      <c r="DZC8" s="239"/>
      <c r="DZD8" s="59"/>
      <c r="DZF8" s="235"/>
      <c r="DZG8" s="236"/>
      <c r="DZH8" s="63"/>
      <c r="DZI8" s="63"/>
      <c r="DZK8" s="237"/>
      <c r="DZL8" s="238"/>
      <c r="DZM8" s="239"/>
      <c r="DZN8" s="239"/>
      <c r="DZO8" s="59"/>
      <c r="DZQ8" s="235"/>
      <c r="DZR8" s="236"/>
      <c r="DZS8" s="63"/>
      <c r="DZT8" s="63"/>
      <c r="DZV8" s="237"/>
      <c r="DZW8" s="238"/>
      <c r="DZX8" s="239"/>
      <c r="DZY8" s="239"/>
      <c r="DZZ8" s="59"/>
      <c r="EAB8" s="235"/>
      <c r="EAC8" s="236"/>
      <c r="EAD8" s="63"/>
      <c r="EAE8" s="63"/>
      <c r="EAG8" s="237"/>
      <c r="EAH8" s="238"/>
      <c r="EAI8" s="239"/>
      <c r="EAJ8" s="239"/>
      <c r="EAK8" s="59"/>
      <c r="EAM8" s="235"/>
      <c r="EAN8" s="236"/>
      <c r="EAO8" s="63"/>
      <c r="EAP8" s="63"/>
      <c r="EAR8" s="237"/>
      <c r="EAS8" s="238"/>
      <c r="EAT8" s="239"/>
      <c r="EAU8" s="239"/>
      <c r="EAV8" s="59"/>
      <c r="EAX8" s="235"/>
      <c r="EAY8" s="236"/>
      <c r="EAZ8" s="63"/>
      <c r="EBA8" s="63"/>
      <c r="EBC8" s="237"/>
      <c r="EBD8" s="238"/>
      <c r="EBE8" s="239"/>
      <c r="EBF8" s="239"/>
      <c r="EBG8" s="59"/>
      <c r="EBI8" s="235"/>
      <c r="EBJ8" s="236"/>
      <c r="EBK8" s="63"/>
      <c r="EBL8" s="63"/>
      <c r="EBN8" s="237"/>
      <c r="EBO8" s="238"/>
      <c r="EBP8" s="239"/>
      <c r="EBQ8" s="239"/>
      <c r="EBR8" s="59"/>
      <c r="EBT8" s="235"/>
      <c r="EBU8" s="236"/>
      <c r="EBV8" s="63"/>
      <c r="EBW8" s="63"/>
      <c r="EBY8" s="237"/>
      <c r="EBZ8" s="238"/>
      <c r="ECA8" s="239"/>
      <c r="ECB8" s="239"/>
      <c r="ECC8" s="59"/>
      <c r="ECE8" s="235"/>
      <c r="ECF8" s="236"/>
      <c r="ECG8" s="63"/>
      <c r="ECH8" s="63"/>
      <c r="ECJ8" s="237"/>
      <c r="ECK8" s="238"/>
      <c r="ECL8" s="239"/>
      <c r="ECM8" s="239"/>
      <c r="ECN8" s="59"/>
      <c r="ECP8" s="235"/>
      <c r="ECQ8" s="236"/>
      <c r="ECR8" s="63"/>
      <c r="ECS8" s="63"/>
      <c r="ECU8" s="237"/>
      <c r="ECV8" s="238"/>
      <c r="ECW8" s="239"/>
      <c r="ECX8" s="239"/>
      <c r="ECY8" s="59"/>
      <c r="EDA8" s="235"/>
      <c r="EDB8" s="236"/>
      <c r="EDC8" s="63"/>
      <c r="EDD8" s="63"/>
      <c r="EDF8" s="237"/>
      <c r="EDG8" s="238"/>
      <c r="EDH8" s="239"/>
      <c r="EDI8" s="239"/>
      <c r="EDJ8" s="59"/>
      <c r="EDL8" s="235"/>
      <c r="EDM8" s="236"/>
      <c r="EDN8" s="63"/>
      <c r="EDO8" s="63"/>
      <c r="EDQ8" s="237"/>
      <c r="EDR8" s="238"/>
      <c r="EDS8" s="239"/>
      <c r="EDT8" s="239"/>
      <c r="EDU8" s="59"/>
      <c r="EDW8" s="235"/>
      <c r="EDX8" s="236"/>
      <c r="EDY8" s="63"/>
      <c r="EDZ8" s="63"/>
      <c r="EEB8" s="237"/>
      <c r="EEC8" s="238"/>
      <c r="EED8" s="239"/>
      <c r="EEE8" s="239"/>
      <c r="EEF8" s="59"/>
      <c r="EEH8" s="235"/>
      <c r="EEI8" s="236"/>
      <c r="EEJ8" s="63"/>
      <c r="EEK8" s="63"/>
      <c r="EEM8" s="237"/>
      <c r="EEN8" s="238"/>
      <c r="EEO8" s="239"/>
      <c r="EEP8" s="239"/>
      <c r="EEQ8" s="59"/>
      <c r="EES8" s="235"/>
      <c r="EET8" s="236"/>
      <c r="EEU8" s="63"/>
      <c r="EEV8" s="63"/>
      <c r="EEX8" s="237"/>
      <c r="EEY8" s="238"/>
      <c r="EEZ8" s="239"/>
      <c r="EFA8" s="239"/>
      <c r="EFB8" s="59"/>
      <c r="EFD8" s="235"/>
      <c r="EFE8" s="236"/>
      <c r="EFF8" s="63"/>
      <c r="EFG8" s="63"/>
      <c r="EFI8" s="237"/>
      <c r="EFJ8" s="238"/>
      <c r="EFK8" s="239"/>
      <c r="EFL8" s="239"/>
      <c r="EFM8" s="59"/>
      <c r="EFO8" s="235"/>
      <c r="EFP8" s="236"/>
      <c r="EFQ8" s="63"/>
      <c r="EFR8" s="63"/>
      <c r="EFT8" s="237"/>
      <c r="EFU8" s="238"/>
      <c r="EFV8" s="239"/>
      <c r="EFW8" s="239"/>
      <c r="EFX8" s="59"/>
      <c r="EFZ8" s="235"/>
      <c r="EGA8" s="236"/>
      <c r="EGB8" s="63"/>
      <c r="EGC8" s="63"/>
      <c r="EGE8" s="237"/>
      <c r="EGF8" s="238"/>
      <c r="EGG8" s="239"/>
      <c r="EGH8" s="239"/>
      <c r="EGI8" s="59"/>
      <c r="EGK8" s="235"/>
      <c r="EGL8" s="236"/>
      <c r="EGM8" s="63"/>
      <c r="EGN8" s="63"/>
      <c r="EGP8" s="237"/>
      <c r="EGQ8" s="238"/>
      <c r="EGR8" s="239"/>
      <c r="EGS8" s="239"/>
      <c r="EGT8" s="59"/>
      <c r="EGV8" s="235"/>
      <c r="EGW8" s="236"/>
      <c r="EGX8" s="63"/>
      <c r="EGY8" s="63"/>
      <c r="EHA8" s="237"/>
      <c r="EHB8" s="238"/>
      <c r="EHC8" s="239"/>
      <c r="EHD8" s="239"/>
      <c r="EHE8" s="59"/>
      <c r="EHG8" s="235"/>
      <c r="EHH8" s="236"/>
      <c r="EHI8" s="63"/>
      <c r="EHJ8" s="63"/>
      <c r="EHL8" s="237"/>
      <c r="EHM8" s="238"/>
      <c r="EHN8" s="239"/>
      <c r="EHO8" s="239"/>
      <c r="EHP8" s="59"/>
      <c r="EHR8" s="235"/>
      <c r="EHS8" s="236"/>
      <c r="EHT8" s="63"/>
      <c r="EHU8" s="63"/>
      <c r="EHW8" s="237"/>
      <c r="EHX8" s="238"/>
      <c r="EHY8" s="239"/>
      <c r="EHZ8" s="239"/>
      <c r="EIA8" s="59"/>
      <c r="EIC8" s="235"/>
      <c r="EID8" s="236"/>
      <c r="EIE8" s="63"/>
      <c r="EIF8" s="63"/>
      <c r="EIH8" s="237"/>
      <c r="EII8" s="238"/>
      <c r="EIJ8" s="239"/>
      <c r="EIK8" s="239"/>
      <c r="EIL8" s="59"/>
      <c r="EIN8" s="235"/>
      <c r="EIO8" s="236"/>
      <c r="EIP8" s="63"/>
      <c r="EIQ8" s="63"/>
      <c r="EIS8" s="237"/>
      <c r="EIT8" s="238"/>
      <c r="EIU8" s="239"/>
      <c r="EIV8" s="239"/>
      <c r="EIW8" s="59"/>
      <c r="EIY8" s="235"/>
      <c r="EIZ8" s="236"/>
      <c r="EJA8" s="63"/>
      <c r="EJB8" s="63"/>
      <c r="EJD8" s="237"/>
      <c r="EJE8" s="238"/>
      <c r="EJF8" s="239"/>
      <c r="EJG8" s="239"/>
      <c r="EJH8" s="59"/>
      <c r="EJJ8" s="235"/>
      <c r="EJK8" s="236"/>
      <c r="EJL8" s="63"/>
      <c r="EJM8" s="63"/>
      <c r="EJO8" s="237"/>
      <c r="EJP8" s="238"/>
      <c r="EJQ8" s="239"/>
      <c r="EJR8" s="239"/>
      <c r="EJS8" s="59"/>
      <c r="EJU8" s="235"/>
      <c r="EJV8" s="236"/>
      <c r="EJW8" s="63"/>
      <c r="EJX8" s="63"/>
      <c r="EJZ8" s="237"/>
      <c r="EKA8" s="238"/>
      <c r="EKB8" s="239"/>
      <c r="EKC8" s="239"/>
      <c r="EKD8" s="59"/>
      <c r="EKF8" s="235"/>
      <c r="EKG8" s="236"/>
      <c r="EKH8" s="63"/>
      <c r="EKI8" s="63"/>
      <c r="EKK8" s="237"/>
      <c r="EKL8" s="238"/>
      <c r="EKM8" s="239"/>
      <c r="EKN8" s="239"/>
      <c r="EKO8" s="59"/>
      <c r="EKQ8" s="235"/>
      <c r="EKR8" s="236"/>
      <c r="EKS8" s="63"/>
      <c r="EKT8" s="63"/>
      <c r="EKV8" s="237"/>
      <c r="EKW8" s="238"/>
      <c r="EKX8" s="239"/>
      <c r="EKY8" s="239"/>
      <c r="EKZ8" s="59"/>
      <c r="ELB8" s="235"/>
      <c r="ELC8" s="236"/>
      <c r="ELD8" s="63"/>
      <c r="ELE8" s="63"/>
      <c r="ELG8" s="237"/>
      <c r="ELH8" s="238"/>
      <c r="ELI8" s="239"/>
      <c r="ELJ8" s="239"/>
      <c r="ELK8" s="59"/>
      <c r="ELM8" s="235"/>
      <c r="ELN8" s="236"/>
      <c r="ELO8" s="63"/>
      <c r="ELP8" s="63"/>
      <c r="ELR8" s="237"/>
      <c r="ELS8" s="238"/>
      <c r="ELT8" s="239"/>
      <c r="ELU8" s="239"/>
      <c r="ELV8" s="59"/>
      <c r="ELX8" s="235"/>
      <c r="ELY8" s="236"/>
      <c r="ELZ8" s="63"/>
      <c r="EMA8" s="63"/>
      <c r="EMC8" s="237"/>
      <c r="EMD8" s="238"/>
      <c r="EME8" s="239"/>
      <c r="EMF8" s="239"/>
      <c r="EMG8" s="59"/>
      <c r="EMI8" s="235"/>
      <c r="EMJ8" s="236"/>
      <c r="EMK8" s="63"/>
      <c r="EML8" s="63"/>
      <c r="EMN8" s="237"/>
      <c r="EMO8" s="238"/>
      <c r="EMP8" s="239"/>
      <c r="EMQ8" s="239"/>
      <c r="EMR8" s="59"/>
      <c r="EMT8" s="235"/>
      <c r="EMU8" s="236"/>
      <c r="EMV8" s="63"/>
      <c r="EMW8" s="63"/>
      <c r="EMY8" s="237"/>
      <c r="EMZ8" s="238"/>
      <c r="ENA8" s="239"/>
      <c r="ENB8" s="239"/>
      <c r="ENC8" s="59"/>
      <c r="ENE8" s="235"/>
      <c r="ENF8" s="236"/>
      <c r="ENG8" s="63"/>
      <c r="ENH8" s="63"/>
      <c r="ENJ8" s="237"/>
      <c r="ENK8" s="238"/>
      <c r="ENL8" s="239"/>
      <c r="ENM8" s="239"/>
      <c r="ENN8" s="59"/>
      <c r="ENP8" s="235"/>
      <c r="ENQ8" s="236"/>
      <c r="ENR8" s="63"/>
      <c r="ENS8" s="63"/>
      <c r="ENU8" s="237"/>
      <c r="ENV8" s="238"/>
      <c r="ENW8" s="239"/>
      <c r="ENX8" s="239"/>
      <c r="ENY8" s="59"/>
      <c r="EOA8" s="235"/>
      <c r="EOB8" s="236"/>
      <c r="EOC8" s="63"/>
      <c r="EOD8" s="63"/>
      <c r="EOF8" s="237"/>
      <c r="EOG8" s="238"/>
      <c r="EOH8" s="239"/>
      <c r="EOI8" s="239"/>
      <c r="EOJ8" s="59"/>
      <c r="EOL8" s="235"/>
      <c r="EOM8" s="236"/>
      <c r="EON8" s="63"/>
      <c r="EOO8" s="63"/>
      <c r="EOQ8" s="237"/>
      <c r="EOR8" s="238"/>
      <c r="EOS8" s="239"/>
      <c r="EOT8" s="239"/>
      <c r="EOU8" s="59"/>
      <c r="EOW8" s="235"/>
      <c r="EOX8" s="236"/>
      <c r="EOY8" s="63"/>
      <c r="EOZ8" s="63"/>
      <c r="EPB8" s="237"/>
      <c r="EPC8" s="238"/>
      <c r="EPD8" s="239"/>
      <c r="EPE8" s="239"/>
      <c r="EPF8" s="59"/>
      <c r="EPH8" s="235"/>
      <c r="EPI8" s="236"/>
      <c r="EPJ8" s="63"/>
      <c r="EPK8" s="63"/>
      <c r="EPM8" s="237"/>
      <c r="EPN8" s="238"/>
      <c r="EPO8" s="239"/>
      <c r="EPP8" s="239"/>
      <c r="EPQ8" s="59"/>
      <c r="EPS8" s="235"/>
      <c r="EPT8" s="236"/>
      <c r="EPU8" s="63"/>
      <c r="EPV8" s="63"/>
      <c r="EPX8" s="237"/>
      <c r="EPY8" s="238"/>
      <c r="EPZ8" s="239"/>
      <c r="EQA8" s="239"/>
      <c r="EQB8" s="59"/>
      <c r="EQD8" s="235"/>
      <c r="EQE8" s="236"/>
      <c r="EQF8" s="63"/>
      <c r="EQG8" s="63"/>
      <c r="EQI8" s="237"/>
      <c r="EQJ8" s="238"/>
      <c r="EQK8" s="239"/>
      <c r="EQL8" s="239"/>
      <c r="EQM8" s="59"/>
      <c r="EQO8" s="235"/>
      <c r="EQP8" s="236"/>
      <c r="EQQ8" s="63"/>
      <c r="EQR8" s="63"/>
      <c r="EQT8" s="237"/>
      <c r="EQU8" s="238"/>
      <c r="EQV8" s="239"/>
      <c r="EQW8" s="239"/>
      <c r="EQX8" s="59"/>
      <c r="EQZ8" s="235"/>
      <c r="ERA8" s="236"/>
      <c r="ERB8" s="63"/>
      <c r="ERC8" s="63"/>
      <c r="ERE8" s="237"/>
      <c r="ERF8" s="238"/>
      <c r="ERG8" s="239"/>
      <c r="ERH8" s="239"/>
      <c r="ERI8" s="59"/>
      <c r="ERK8" s="235"/>
      <c r="ERL8" s="236"/>
      <c r="ERM8" s="63"/>
      <c r="ERN8" s="63"/>
      <c r="ERP8" s="237"/>
      <c r="ERQ8" s="238"/>
      <c r="ERR8" s="239"/>
      <c r="ERS8" s="239"/>
      <c r="ERT8" s="59"/>
      <c r="ERV8" s="235"/>
      <c r="ERW8" s="236"/>
      <c r="ERX8" s="63"/>
      <c r="ERY8" s="63"/>
      <c r="ESA8" s="237"/>
      <c r="ESB8" s="238"/>
      <c r="ESC8" s="239"/>
      <c r="ESD8" s="239"/>
      <c r="ESE8" s="59"/>
      <c r="ESG8" s="235"/>
      <c r="ESH8" s="236"/>
      <c r="ESI8" s="63"/>
      <c r="ESJ8" s="63"/>
      <c r="ESL8" s="237"/>
      <c r="ESM8" s="238"/>
      <c r="ESN8" s="239"/>
      <c r="ESO8" s="239"/>
      <c r="ESP8" s="59"/>
      <c r="ESR8" s="235"/>
      <c r="ESS8" s="236"/>
      <c r="EST8" s="63"/>
      <c r="ESU8" s="63"/>
      <c r="ESW8" s="237"/>
      <c r="ESX8" s="238"/>
      <c r="ESY8" s="239"/>
      <c r="ESZ8" s="239"/>
      <c r="ETA8" s="59"/>
      <c r="ETC8" s="235"/>
      <c r="ETD8" s="236"/>
      <c r="ETE8" s="63"/>
      <c r="ETF8" s="63"/>
      <c r="ETH8" s="237"/>
      <c r="ETI8" s="238"/>
      <c r="ETJ8" s="239"/>
      <c r="ETK8" s="239"/>
      <c r="ETL8" s="59"/>
      <c r="ETN8" s="235"/>
      <c r="ETO8" s="236"/>
      <c r="ETP8" s="63"/>
      <c r="ETQ8" s="63"/>
      <c r="ETS8" s="237"/>
      <c r="ETT8" s="238"/>
      <c r="ETU8" s="239"/>
      <c r="ETV8" s="239"/>
      <c r="ETW8" s="59"/>
      <c r="ETY8" s="235"/>
      <c r="ETZ8" s="236"/>
      <c r="EUA8" s="63"/>
      <c r="EUB8" s="63"/>
      <c r="EUD8" s="237"/>
      <c r="EUE8" s="238"/>
      <c r="EUF8" s="239"/>
      <c r="EUG8" s="239"/>
      <c r="EUH8" s="59"/>
      <c r="EUJ8" s="235"/>
      <c r="EUK8" s="236"/>
      <c r="EUL8" s="63"/>
      <c r="EUM8" s="63"/>
      <c r="EUO8" s="237"/>
      <c r="EUP8" s="238"/>
      <c r="EUQ8" s="239"/>
      <c r="EUR8" s="239"/>
      <c r="EUS8" s="59"/>
      <c r="EUU8" s="235"/>
      <c r="EUV8" s="236"/>
      <c r="EUW8" s="63"/>
      <c r="EUX8" s="63"/>
      <c r="EUZ8" s="237"/>
      <c r="EVA8" s="238"/>
      <c r="EVB8" s="239"/>
      <c r="EVC8" s="239"/>
      <c r="EVD8" s="59"/>
      <c r="EVF8" s="235"/>
      <c r="EVG8" s="236"/>
      <c r="EVH8" s="63"/>
      <c r="EVI8" s="63"/>
      <c r="EVK8" s="237"/>
      <c r="EVL8" s="238"/>
      <c r="EVM8" s="239"/>
      <c r="EVN8" s="239"/>
      <c r="EVO8" s="59"/>
      <c r="EVQ8" s="235"/>
      <c r="EVR8" s="236"/>
      <c r="EVS8" s="63"/>
      <c r="EVT8" s="63"/>
      <c r="EVV8" s="237"/>
      <c r="EVW8" s="238"/>
      <c r="EVX8" s="239"/>
      <c r="EVY8" s="239"/>
      <c r="EVZ8" s="59"/>
      <c r="EWB8" s="235"/>
      <c r="EWC8" s="236"/>
      <c r="EWD8" s="63"/>
      <c r="EWE8" s="63"/>
      <c r="EWG8" s="237"/>
      <c r="EWH8" s="238"/>
      <c r="EWI8" s="239"/>
      <c r="EWJ8" s="239"/>
      <c r="EWK8" s="59"/>
      <c r="EWM8" s="235"/>
      <c r="EWN8" s="236"/>
      <c r="EWO8" s="63"/>
      <c r="EWP8" s="63"/>
      <c r="EWR8" s="237"/>
      <c r="EWS8" s="238"/>
      <c r="EWT8" s="239"/>
      <c r="EWU8" s="239"/>
      <c r="EWV8" s="59"/>
      <c r="EWX8" s="235"/>
      <c r="EWY8" s="236"/>
      <c r="EWZ8" s="63"/>
      <c r="EXA8" s="63"/>
      <c r="EXC8" s="237"/>
      <c r="EXD8" s="238"/>
      <c r="EXE8" s="239"/>
      <c r="EXF8" s="239"/>
      <c r="EXG8" s="59"/>
      <c r="EXI8" s="235"/>
      <c r="EXJ8" s="236"/>
      <c r="EXK8" s="63"/>
      <c r="EXL8" s="63"/>
      <c r="EXN8" s="237"/>
      <c r="EXO8" s="238"/>
      <c r="EXP8" s="239"/>
      <c r="EXQ8" s="239"/>
      <c r="EXR8" s="59"/>
      <c r="EXT8" s="235"/>
      <c r="EXU8" s="236"/>
      <c r="EXV8" s="63"/>
      <c r="EXW8" s="63"/>
      <c r="EXY8" s="237"/>
      <c r="EXZ8" s="238"/>
      <c r="EYA8" s="239"/>
      <c r="EYB8" s="239"/>
      <c r="EYC8" s="59"/>
      <c r="EYE8" s="235"/>
      <c r="EYF8" s="236"/>
      <c r="EYG8" s="63"/>
      <c r="EYH8" s="63"/>
      <c r="EYJ8" s="237"/>
      <c r="EYK8" s="238"/>
      <c r="EYL8" s="239"/>
      <c r="EYM8" s="239"/>
      <c r="EYN8" s="59"/>
      <c r="EYP8" s="235"/>
      <c r="EYQ8" s="236"/>
      <c r="EYR8" s="63"/>
      <c r="EYS8" s="63"/>
      <c r="EYU8" s="237"/>
      <c r="EYV8" s="238"/>
      <c r="EYW8" s="239"/>
      <c r="EYX8" s="239"/>
      <c r="EYY8" s="59"/>
      <c r="EZA8" s="235"/>
      <c r="EZB8" s="236"/>
      <c r="EZC8" s="63"/>
      <c r="EZD8" s="63"/>
      <c r="EZF8" s="237"/>
      <c r="EZG8" s="238"/>
      <c r="EZH8" s="239"/>
      <c r="EZI8" s="239"/>
      <c r="EZJ8" s="59"/>
      <c r="EZL8" s="235"/>
      <c r="EZM8" s="236"/>
      <c r="EZN8" s="63"/>
      <c r="EZO8" s="63"/>
      <c r="EZQ8" s="237"/>
      <c r="EZR8" s="238"/>
      <c r="EZS8" s="239"/>
      <c r="EZT8" s="239"/>
      <c r="EZU8" s="59"/>
      <c r="EZW8" s="235"/>
      <c r="EZX8" s="236"/>
      <c r="EZY8" s="63"/>
      <c r="EZZ8" s="63"/>
      <c r="FAB8" s="237"/>
      <c r="FAC8" s="238"/>
      <c r="FAD8" s="239"/>
      <c r="FAE8" s="239"/>
      <c r="FAF8" s="59"/>
      <c r="FAH8" s="235"/>
      <c r="FAI8" s="236"/>
      <c r="FAJ8" s="63"/>
      <c r="FAK8" s="63"/>
      <c r="FAM8" s="237"/>
      <c r="FAN8" s="238"/>
      <c r="FAO8" s="239"/>
      <c r="FAP8" s="239"/>
      <c r="FAQ8" s="59"/>
      <c r="FAS8" s="235"/>
      <c r="FAT8" s="236"/>
      <c r="FAU8" s="63"/>
      <c r="FAV8" s="63"/>
      <c r="FAX8" s="237"/>
      <c r="FAY8" s="238"/>
      <c r="FAZ8" s="239"/>
      <c r="FBA8" s="239"/>
      <c r="FBB8" s="59"/>
      <c r="FBD8" s="235"/>
      <c r="FBE8" s="236"/>
      <c r="FBF8" s="63"/>
      <c r="FBG8" s="63"/>
      <c r="FBI8" s="237"/>
      <c r="FBJ8" s="238"/>
      <c r="FBK8" s="239"/>
      <c r="FBL8" s="239"/>
      <c r="FBM8" s="59"/>
      <c r="FBO8" s="235"/>
      <c r="FBP8" s="236"/>
      <c r="FBQ8" s="63"/>
      <c r="FBR8" s="63"/>
      <c r="FBT8" s="237"/>
      <c r="FBU8" s="238"/>
      <c r="FBV8" s="239"/>
      <c r="FBW8" s="239"/>
      <c r="FBX8" s="59"/>
      <c r="FBZ8" s="235"/>
      <c r="FCA8" s="236"/>
      <c r="FCB8" s="63"/>
      <c r="FCC8" s="63"/>
      <c r="FCE8" s="237"/>
      <c r="FCF8" s="238"/>
      <c r="FCG8" s="239"/>
      <c r="FCH8" s="239"/>
      <c r="FCI8" s="59"/>
      <c r="FCK8" s="235"/>
      <c r="FCL8" s="236"/>
      <c r="FCM8" s="63"/>
      <c r="FCN8" s="63"/>
      <c r="FCP8" s="237"/>
      <c r="FCQ8" s="238"/>
      <c r="FCR8" s="239"/>
      <c r="FCS8" s="239"/>
      <c r="FCT8" s="59"/>
      <c r="FCV8" s="235"/>
      <c r="FCW8" s="236"/>
      <c r="FCX8" s="63"/>
      <c r="FCY8" s="63"/>
      <c r="FDA8" s="237"/>
      <c r="FDB8" s="238"/>
      <c r="FDC8" s="239"/>
      <c r="FDD8" s="239"/>
      <c r="FDE8" s="59"/>
      <c r="FDG8" s="235"/>
      <c r="FDH8" s="236"/>
      <c r="FDI8" s="63"/>
      <c r="FDJ8" s="63"/>
      <c r="FDL8" s="237"/>
      <c r="FDM8" s="238"/>
      <c r="FDN8" s="239"/>
      <c r="FDO8" s="239"/>
      <c r="FDP8" s="59"/>
      <c r="FDR8" s="235"/>
      <c r="FDS8" s="236"/>
      <c r="FDT8" s="63"/>
      <c r="FDU8" s="63"/>
      <c r="FDW8" s="237"/>
      <c r="FDX8" s="238"/>
      <c r="FDY8" s="239"/>
      <c r="FDZ8" s="239"/>
      <c r="FEA8" s="59"/>
      <c r="FEC8" s="235"/>
      <c r="FED8" s="236"/>
      <c r="FEE8" s="63"/>
      <c r="FEF8" s="63"/>
      <c r="FEH8" s="237"/>
      <c r="FEI8" s="238"/>
      <c r="FEJ8" s="239"/>
      <c r="FEK8" s="239"/>
      <c r="FEL8" s="59"/>
      <c r="FEN8" s="235"/>
      <c r="FEO8" s="236"/>
      <c r="FEP8" s="63"/>
      <c r="FEQ8" s="63"/>
      <c r="FES8" s="237"/>
      <c r="FET8" s="238"/>
      <c r="FEU8" s="239"/>
      <c r="FEV8" s="239"/>
      <c r="FEW8" s="59"/>
      <c r="FEY8" s="235"/>
      <c r="FEZ8" s="236"/>
      <c r="FFA8" s="63"/>
      <c r="FFB8" s="63"/>
      <c r="FFD8" s="237"/>
      <c r="FFE8" s="238"/>
      <c r="FFF8" s="239"/>
      <c r="FFG8" s="239"/>
      <c r="FFH8" s="59"/>
      <c r="FFJ8" s="235"/>
      <c r="FFK8" s="236"/>
      <c r="FFL8" s="63"/>
      <c r="FFM8" s="63"/>
      <c r="FFO8" s="237"/>
      <c r="FFP8" s="238"/>
      <c r="FFQ8" s="239"/>
      <c r="FFR8" s="239"/>
      <c r="FFS8" s="59"/>
      <c r="FFU8" s="235"/>
      <c r="FFV8" s="236"/>
      <c r="FFW8" s="63"/>
      <c r="FFX8" s="63"/>
      <c r="FFZ8" s="237"/>
      <c r="FGA8" s="238"/>
      <c r="FGB8" s="239"/>
      <c r="FGC8" s="239"/>
      <c r="FGD8" s="59"/>
      <c r="FGF8" s="235"/>
      <c r="FGG8" s="236"/>
      <c r="FGH8" s="63"/>
      <c r="FGI8" s="63"/>
      <c r="FGK8" s="237"/>
      <c r="FGL8" s="238"/>
      <c r="FGM8" s="239"/>
      <c r="FGN8" s="239"/>
      <c r="FGO8" s="59"/>
      <c r="FGQ8" s="235"/>
      <c r="FGR8" s="236"/>
      <c r="FGS8" s="63"/>
      <c r="FGT8" s="63"/>
      <c r="FGV8" s="237"/>
      <c r="FGW8" s="238"/>
      <c r="FGX8" s="239"/>
      <c r="FGY8" s="239"/>
      <c r="FGZ8" s="59"/>
      <c r="FHB8" s="235"/>
      <c r="FHC8" s="236"/>
      <c r="FHD8" s="63"/>
      <c r="FHE8" s="63"/>
      <c r="FHG8" s="237"/>
      <c r="FHH8" s="238"/>
      <c r="FHI8" s="239"/>
      <c r="FHJ8" s="239"/>
      <c r="FHK8" s="59"/>
      <c r="FHM8" s="235"/>
      <c r="FHN8" s="236"/>
      <c r="FHO8" s="63"/>
      <c r="FHP8" s="63"/>
      <c r="FHR8" s="237"/>
      <c r="FHS8" s="238"/>
      <c r="FHT8" s="239"/>
      <c r="FHU8" s="239"/>
      <c r="FHV8" s="59"/>
      <c r="FHX8" s="235"/>
      <c r="FHY8" s="236"/>
      <c r="FHZ8" s="63"/>
      <c r="FIA8" s="63"/>
      <c r="FIC8" s="237"/>
      <c r="FID8" s="238"/>
      <c r="FIE8" s="239"/>
      <c r="FIF8" s="239"/>
      <c r="FIG8" s="59"/>
      <c r="FII8" s="235"/>
      <c r="FIJ8" s="236"/>
      <c r="FIK8" s="63"/>
      <c r="FIL8" s="63"/>
      <c r="FIN8" s="237"/>
      <c r="FIO8" s="238"/>
      <c r="FIP8" s="239"/>
      <c r="FIQ8" s="239"/>
      <c r="FIR8" s="59"/>
      <c r="FIT8" s="235"/>
      <c r="FIU8" s="236"/>
      <c r="FIV8" s="63"/>
      <c r="FIW8" s="63"/>
      <c r="FIY8" s="237"/>
      <c r="FIZ8" s="238"/>
      <c r="FJA8" s="239"/>
      <c r="FJB8" s="239"/>
      <c r="FJC8" s="59"/>
      <c r="FJE8" s="235"/>
      <c r="FJF8" s="236"/>
      <c r="FJG8" s="63"/>
      <c r="FJH8" s="63"/>
      <c r="FJJ8" s="237"/>
      <c r="FJK8" s="238"/>
      <c r="FJL8" s="239"/>
      <c r="FJM8" s="239"/>
      <c r="FJN8" s="59"/>
      <c r="FJP8" s="235"/>
      <c r="FJQ8" s="236"/>
      <c r="FJR8" s="63"/>
      <c r="FJS8" s="63"/>
      <c r="FJU8" s="237"/>
      <c r="FJV8" s="238"/>
      <c r="FJW8" s="239"/>
      <c r="FJX8" s="239"/>
      <c r="FJY8" s="59"/>
      <c r="FKA8" s="235"/>
      <c r="FKB8" s="236"/>
      <c r="FKC8" s="63"/>
      <c r="FKD8" s="63"/>
      <c r="FKF8" s="237"/>
      <c r="FKG8" s="238"/>
      <c r="FKH8" s="239"/>
      <c r="FKI8" s="239"/>
      <c r="FKJ8" s="59"/>
      <c r="FKL8" s="235"/>
      <c r="FKM8" s="236"/>
      <c r="FKN8" s="63"/>
      <c r="FKO8" s="63"/>
      <c r="FKQ8" s="237"/>
      <c r="FKR8" s="238"/>
      <c r="FKS8" s="239"/>
      <c r="FKT8" s="239"/>
      <c r="FKU8" s="59"/>
      <c r="FKW8" s="235"/>
      <c r="FKX8" s="236"/>
      <c r="FKY8" s="63"/>
      <c r="FKZ8" s="63"/>
      <c r="FLB8" s="237"/>
      <c r="FLC8" s="238"/>
      <c r="FLD8" s="239"/>
      <c r="FLE8" s="239"/>
      <c r="FLF8" s="59"/>
      <c r="FLH8" s="235"/>
      <c r="FLI8" s="236"/>
      <c r="FLJ8" s="63"/>
      <c r="FLK8" s="63"/>
      <c r="FLM8" s="237"/>
      <c r="FLN8" s="238"/>
      <c r="FLO8" s="239"/>
      <c r="FLP8" s="239"/>
      <c r="FLQ8" s="59"/>
      <c r="FLS8" s="235"/>
      <c r="FLT8" s="236"/>
      <c r="FLU8" s="63"/>
      <c r="FLV8" s="63"/>
      <c r="FLX8" s="237"/>
      <c r="FLY8" s="238"/>
      <c r="FLZ8" s="239"/>
      <c r="FMA8" s="239"/>
      <c r="FMB8" s="59"/>
      <c r="FMD8" s="235"/>
      <c r="FME8" s="236"/>
      <c r="FMF8" s="63"/>
      <c r="FMG8" s="63"/>
      <c r="FMI8" s="237"/>
      <c r="FMJ8" s="238"/>
      <c r="FMK8" s="239"/>
      <c r="FML8" s="239"/>
      <c r="FMM8" s="59"/>
      <c r="FMO8" s="235"/>
      <c r="FMP8" s="236"/>
      <c r="FMQ8" s="63"/>
      <c r="FMR8" s="63"/>
      <c r="FMT8" s="237"/>
      <c r="FMU8" s="238"/>
      <c r="FMV8" s="239"/>
      <c r="FMW8" s="239"/>
      <c r="FMX8" s="59"/>
      <c r="FMZ8" s="235"/>
      <c r="FNA8" s="236"/>
      <c r="FNB8" s="63"/>
      <c r="FNC8" s="63"/>
      <c r="FNE8" s="237"/>
      <c r="FNF8" s="238"/>
      <c r="FNG8" s="239"/>
      <c r="FNH8" s="239"/>
      <c r="FNI8" s="59"/>
      <c r="FNK8" s="235"/>
      <c r="FNL8" s="236"/>
      <c r="FNM8" s="63"/>
      <c r="FNN8" s="63"/>
      <c r="FNP8" s="237"/>
      <c r="FNQ8" s="238"/>
      <c r="FNR8" s="239"/>
      <c r="FNS8" s="239"/>
      <c r="FNT8" s="59"/>
      <c r="FNV8" s="235"/>
      <c r="FNW8" s="236"/>
      <c r="FNX8" s="63"/>
      <c r="FNY8" s="63"/>
      <c r="FOA8" s="237"/>
      <c r="FOB8" s="238"/>
      <c r="FOC8" s="239"/>
      <c r="FOD8" s="239"/>
      <c r="FOE8" s="59"/>
      <c r="FOG8" s="235"/>
      <c r="FOH8" s="236"/>
      <c r="FOI8" s="63"/>
      <c r="FOJ8" s="63"/>
      <c r="FOL8" s="237"/>
      <c r="FOM8" s="238"/>
      <c r="FON8" s="239"/>
      <c r="FOO8" s="239"/>
      <c r="FOP8" s="59"/>
      <c r="FOR8" s="235"/>
      <c r="FOS8" s="236"/>
      <c r="FOT8" s="63"/>
      <c r="FOU8" s="63"/>
      <c r="FOW8" s="237"/>
      <c r="FOX8" s="238"/>
      <c r="FOY8" s="239"/>
      <c r="FOZ8" s="239"/>
      <c r="FPA8" s="59"/>
      <c r="FPC8" s="235"/>
      <c r="FPD8" s="236"/>
      <c r="FPE8" s="63"/>
      <c r="FPF8" s="63"/>
      <c r="FPH8" s="237"/>
      <c r="FPI8" s="238"/>
      <c r="FPJ8" s="239"/>
      <c r="FPK8" s="239"/>
      <c r="FPL8" s="59"/>
      <c r="FPN8" s="235"/>
      <c r="FPO8" s="236"/>
      <c r="FPP8" s="63"/>
      <c r="FPQ8" s="63"/>
      <c r="FPS8" s="237"/>
      <c r="FPT8" s="238"/>
      <c r="FPU8" s="239"/>
      <c r="FPV8" s="239"/>
      <c r="FPW8" s="59"/>
      <c r="FPY8" s="235"/>
      <c r="FPZ8" s="236"/>
      <c r="FQA8" s="63"/>
      <c r="FQB8" s="63"/>
      <c r="FQD8" s="237"/>
      <c r="FQE8" s="238"/>
      <c r="FQF8" s="239"/>
      <c r="FQG8" s="239"/>
      <c r="FQH8" s="59"/>
      <c r="FQJ8" s="235"/>
      <c r="FQK8" s="236"/>
      <c r="FQL8" s="63"/>
      <c r="FQM8" s="63"/>
      <c r="FQO8" s="237"/>
      <c r="FQP8" s="238"/>
      <c r="FQQ8" s="239"/>
      <c r="FQR8" s="239"/>
      <c r="FQS8" s="59"/>
      <c r="FQU8" s="235"/>
      <c r="FQV8" s="236"/>
      <c r="FQW8" s="63"/>
      <c r="FQX8" s="63"/>
      <c r="FQZ8" s="237"/>
      <c r="FRA8" s="238"/>
      <c r="FRB8" s="239"/>
      <c r="FRC8" s="239"/>
      <c r="FRD8" s="59"/>
      <c r="FRF8" s="235"/>
      <c r="FRG8" s="236"/>
      <c r="FRH8" s="63"/>
      <c r="FRI8" s="63"/>
      <c r="FRK8" s="237"/>
      <c r="FRL8" s="238"/>
      <c r="FRM8" s="239"/>
      <c r="FRN8" s="239"/>
      <c r="FRO8" s="59"/>
      <c r="FRQ8" s="235"/>
      <c r="FRR8" s="236"/>
      <c r="FRS8" s="63"/>
      <c r="FRT8" s="63"/>
      <c r="FRV8" s="237"/>
      <c r="FRW8" s="238"/>
      <c r="FRX8" s="239"/>
      <c r="FRY8" s="239"/>
      <c r="FRZ8" s="59"/>
      <c r="FSB8" s="235"/>
      <c r="FSC8" s="236"/>
      <c r="FSD8" s="63"/>
      <c r="FSE8" s="63"/>
      <c r="FSG8" s="237"/>
      <c r="FSH8" s="238"/>
      <c r="FSI8" s="239"/>
      <c r="FSJ8" s="239"/>
      <c r="FSK8" s="59"/>
      <c r="FSM8" s="235"/>
      <c r="FSN8" s="236"/>
      <c r="FSO8" s="63"/>
      <c r="FSP8" s="63"/>
      <c r="FSR8" s="237"/>
      <c r="FSS8" s="238"/>
      <c r="FST8" s="239"/>
      <c r="FSU8" s="239"/>
      <c r="FSV8" s="59"/>
      <c r="FSX8" s="235"/>
      <c r="FSY8" s="236"/>
      <c r="FSZ8" s="63"/>
      <c r="FTA8" s="63"/>
      <c r="FTC8" s="237"/>
      <c r="FTD8" s="238"/>
      <c r="FTE8" s="239"/>
      <c r="FTF8" s="239"/>
      <c r="FTG8" s="59"/>
      <c r="FTI8" s="235"/>
      <c r="FTJ8" s="236"/>
      <c r="FTK8" s="63"/>
      <c r="FTL8" s="63"/>
      <c r="FTN8" s="237"/>
      <c r="FTO8" s="238"/>
      <c r="FTP8" s="239"/>
      <c r="FTQ8" s="239"/>
      <c r="FTR8" s="59"/>
      <c r="FTT8" s="235"/>
      <c r="FTU8" s="236"/>
      <c r="FTV8" s="63"/>
      <c r="FTW8" s="63"/>
      <c r="FTY8" s="237"/>
      <c r="FTZ8" s="238"/>
      <c r="FUA8" s="239"/>
      <c r="FUB8" s="239"/>
      <c r="FUC8" s="59"/>
      <c r="FUE8" s="235"/>
      <c r="FUF8" s="236"/>
      <c r="FUG8" s="63"/>
      <c r="FUH8" s="63"/>
      <c r="FUJ8" s="237"/>
      <c r="FUK8" s="238"/>
      <c r="FUL8" s="239"/>
      <c r="FUM8" s="239"/>
      <c r="FUN8" s="59"/>
      <c r="FUP8" s="235"/>
      <c r="FUQ8" s="236"/>
      <c r="FUR8" s="63"/>
      <c r="FUS8" s="63"/>
      <c r="FUU8" s="237"/>
      <c r="FUV8" s="238"/>
      <c r="FUW8" s="239"/>
      <c r="FUX8" s="239"/>
      <c r="FUY8" s="59"/>
      <c r="FVA8" s="235"/>
      <c r="FVB8" s="236"/>
      <c r="FVC8" s="63"/>
      <c r="FVD8" s="63"/>
      <c r="FVF8" s="237"/>
      <c r="FVG8" s="238"/>
      <c r="FVH8" s="239"/>
      <c r="FVI8" s="239"/>
      <c r="FVJ8" s="59"/>
      <c r="FVL8" s="235"/>
      <c r="FVM8" s="236"/>
      <c r="FVN8" s="63"/>
      <c r="FVO8" s="63"/>
      <c r="FVQ8" s="237"/>
      <c r="FVR8" s="238"/>
      <c r="FVS8" s="239"/>
      <c r="FVT8" s="239"/>
      <c r="FVU8" s="59"/>
      <c r="FVW8" s="235"/>
      <c r="FVX8" s="236"/>
      <c r="FVY8" s="63"/>
      <c r="FVZ8" s="63"/>
      <c r="FWB8" s="237"/>
      <c r="FWC8" s="238"/>
      <c r="FWD8" s="239"/>
      <c r="FWE8" s="239"/>
      <c r="FWF8" s="59"/>
      <c r="FWH8" s="235"/>
      <c r="FWI8" s="236"/>
      <c r="FWJ8" s="63"/>
      <c r="FWK8" s="63"/>
      <c r="FWM8" s="237"/>
      <c r="FWN8" s="238"/>
      <c r="FWO8" s="239"/>
      <c r="FWP8" s="239"/>
      <c r="FWQ8" s="59"/>
      <c r="FWS8" s="235"/>
      <c r="FWT8" s="236"/>
      <c r="FWU8" s="63"/>
      <c r="FWV8" s="63"/>
      <c r="FWX8" s="237"/>
      <c r="FWY8" s="238"/>
      <c r="FWZ8" s="239"/>
      <c r="FXA8" s="239"/>
      <c r="FXB8" s="59"/>
      <c r="FXD8" s="235"/>
      <c r="FXE8" s="236"/>
      <c r="FXF8" s="63"/>
      <c r="FXG8" s="63"/>
      <c r="FXI8" s="237"/>
      <c r="FXJ8" s="238"/>
      <c r="FXK8" s="239"/>
      <c r="FXL8" s="239"/>
      <c r="FXM8" s="59"/>
      <c r="FXO8" s="235"/>
      <c r="FXP8" s="236"/>
      <c r="FXQ8" s="63"/>
      <c r="FXR8" s="63"/>
      <c r="FXT8" s="237"/>
      <c r="FXU8" s="238"/>
      <c r="FXV8" s="239"/>
      <c r="FXW8" s="239"/>
      <c r="FXX8" s="59"/>
      <c r="FXZ8" s="235"/>
      <c r="FYA8" s="236"/>
      <c r="FYB8" s="63"/>
      <c r="FYC8" s="63"/>
      <c r="FYE8" s="237"/>
      <c r="FYF8" s="238"/>
      <c r="FYG8" s="239"/>
      <c r="FYH8" s="239"/>
      <c r="FYI8" s="59"/>
      <c r="FYK8" s="235"/>
      <c r="FYL8" s="236"/>
      <c r="FYM8" s="63"/>
      <c r="FYN8" s="63"/>
      <c r="FYP8" s="237"/>
      <c r="FYQ8" s="238"/>
      <c r="FYR8" s="239"/>
      <c r="FYS8" s="239"/>
      <c r="FYT8" s="59"/>
      <c r="FYV8" s="235"/>
      <c r="FYW8" s="236"/>
      <c r="FYX8" s="63"/>
      <c r="FYY8" s="63"/>
      <c r="FZA8" s="237"/>
      <c r="FZB8" s="238"/>
      <c r="FZC8" s="239"/>
      <c r="FZD8" s="239"/>
      <c r="FZE8" s="59"/>
      <c r="FZG8" s="235"/>
      <c r="FZH8" s="236"/>
      <c r="FZI8" s="63"/>
      <c r="FZJ8" s="63"/>
      <c r="FZL8" s="237"/>
      <c r="FZM8" s="238"/>
      <c r="FZN8" s="239"/>
      <c r="FZO8" s="239"/>
      <c r="FZP8" s="59"/>
      <c r="FZR8" s="235"/>
      <c r="FZS8" s="236"/>
      <c r="FZT8" s="63"/>
      <c r="FZU8" s="63"/>
      <c r="FZW8" s="237"/>
      <c r="FZX8" s="238"/>
      <c r="FZY8" s="239"/>
      <c r="FZZ8" s="239"/>
      <c r="GAA8" s="59"/>
      <c r="GAC8" s="235"/>
      <c r="GAD8" s="236"/>
      <c r="GAE8" s="63"/>
      <c r="GAF8" s="63"/>
      <c r="GAH8" s="237"/>
      <c r="GAI8" s="238"/>
      <c r="GAJ8" s="239"/>
      <c r="GAK8" s="239"/>
      <c r="GAL8" s="59"/>
      <c r="GAN8" s="235"/>
      <c r="GAO8" s="236"/>
      <c r="GAP8" s="63"/>
      <c r="GAQ8" s="63"/>
      <c r="GAS8" s="237"/>
      <c r="GAT8" s="238"/>
      <c r="GAU8" s="239"/>
      <c r="GAV8" s="239"/>
      <c r="GAW8" s="59"/>
      <c r="GAY8" s="235"/>
      <c r="GAZ8" s="236"/>
      <c r="GBA8" s="63"/>
      <c r="GBB8" s="63"/>
      <c r="GBD8" s="237"/>
      <c r="GBE8" s="238"/>
      <c r="GBF8" s="239"/>
      <c r="GBG8" s="239"/>
      <c r="GBH8" s="59"/>
      <c r="GBJ8" s="235"/>
      <c r="GBK8" s="236"/>
      <c r="GBL8" s="63"/>
      <c r="GBM8" s="63"/>
      <c r="GBO8" s="237"/>
      <c r="GBP8" s="238"/>
      <c r="GBQ8" s="239"/>
      <c r="GBR8" s="239"/>
      <c r="GBS8" s="59"/>
      <c r="GBU8" s="235"/>
      <c r="GBV8" s="236"/>
      <c r="GBW8" s="63"/>
      <c r="GBX8" s="63"/>
      <c r="GBZ8" s="237"/>
      <c r="GCA8" s="238"/>
      <c r="GCB8" s="239"/>
      <c r="GCC8" s="239"/>
      <c r="GCD8" s="59"/>
      <c r="GCF8" s="235"/>
      <c r="GCG8" s="236"/>
      <c r="GCH8" s="63"/>
      <c r="GCI8" s="63"/>
      <c r="GCK8" s="237"/>
      <c r="GCL8" s="238"/>
      <c r="GCM8" s="239"/>
      <c r="GCN8" s="239"/>
      <c r="GCO8" s="59"/>
      <c r="GCQ8" s="235"/>
      <c r="GCR8" s="236"/>
      <c r="GCS8" s="63"/>
      <c r="GCT8" s="63"/>
      <c r="GCV8" s="237"/>
      <c r="GCW8" s="238"/>
      <c r="GCX8" s="239"/>
      <c r="GCY8" s="239"/>
      <c r="GCZ8" s="59"/>
      <c r="GDB8" s="235"/>
      <c r="GDC8" s="236"/>
      <c r="GDD8" s="63"/>
      <c r="GDE8" s="63"/>
      <c r="GDG8" s="237"/>
      <c r="GDH8" s="238"/>
      <c r="GDI8" s="239"/>
      <c r="GDJ8" s="239"/>
      <c r="GDK8" s="59"/>
      <c r="GDM8" s="235"/>
      <c r="GDN8" s="236"/>
      <c r="GDO8" s="63"/>
      <c r="GDP8" s="63"/>
      <c r="GDR8" s="237"/>
      <c r="GDS8" s="238"/>
      <c r="GDT8" s="239"/>
      <c r="GDU8" s="239"/>
      <c r="GDV8" s="59"/>
      <c r="GDX8" s="235"/>
      <c r="GDY8" s="236"/>
      <c r="GDZ8" s="63"/>
      <c r="GEA8" s="63"/>
      <c r="GEC8" s="237"/>
      <c r="GED8" s="238"/>
      <c r="GEE8" s="239"/>
      <c r="GEF8" s="239"/>
      <c r="GEG8" s="59"/>
      <c r="GEI8" s="235"/>
      <c r="GEJ8" s="236"/>
      <c r="GEK8" s="63"/>
      <c r="GEL8" s="63"/>
      <c r="GEN8" s="237"/>
      <c r="GEO8" s="238"/>
      <c r="GEP8" s="239"/>
      <c r="GEQ8" s="239"/>
      <c r="GER8" s="59"/>
      <c r="GET8" s="235"/>
      <c r="GEU8" s="236"/>
      <c r="GEV8" s="63"/>
      <c r="GEW8" s="63"/>
      <c r="GEY8" s="237"/>
      <c r="GEZ8" s="238"/>
      <c r="GFA8" s="239"/>
      <c r="GFB8" s="239"/>
      <c r="GFC8" s="59"/>
      <c r="GFE8" s="235"/>
      <c r="GFF8" s="236"/>
      <c r="GFG8" s="63"/>
      <c r="GFH8" s="63"/>
      <c r="GFJ8" s="237"/>
      <c r="GFK8" s="238"/>
      <c r="GFL8" s="239"/>
      <c r="GFM8" s="239"/>
      <c r="GFN8" s="59"/>
      <c r="GFP8" s="235"/>
      <c r="GFQ8" s="236"/>
      <c r="GFR8" s="63"/>
      <c r="GFS8" s="63"/>
      <c r="GFU8" s="237"/>
      <c r="GFV8" s="238"/>
      <c r="GFW8" s="239"/>
      <c r="GFX8" s="239"/>
      <c r="GFY8" s="59"/>
      <c r="GGA8" s="235"/>
      <c r="GGB8" s="236"/>
      <c r="GGC8" s="63"/>
      <c r="GGD8" s="63"/>
      <c r="GGF8" s="237"/>
      <c r="GGG8" s="238"/>
      <c r="GGH8" s="239"/>
      <c r="GGI8" s="239"/>
      <c r="GGJ8" s="59"/>
      <c r="GGL8" s="235"/>
      <c r="GGM8" s="236"/>
      <c r="GGN8" s="63"/>
      <c r="GGO8" s="63"/>
      <c r="GGQ8" s="237"/>
      <c r="GGR8" s="238"/>
      <c r="GGS8" s="239"/>
      <c r="GGT8" s="239"/>
      <c r="GGU8" s="59"/>
      <c r="GGW8" s="235"/>
      <c r="GGX8" s="236"/>
      <c r="GGY8" s="63"/>
      <c r="GGZ8" s="63"/>
      <c r="GHB8" s="237"/>
      <c r="GHC8" s="238"/>
      <c r="GHD8" s="239"/>
      <c r="GHE8" s="239"/>
      <c r="GHF8" s="59"/>
      <c r="GHH8" s="235"/>
      <c r="GHI8" s="236"/>
      <c r="GHJ8" s="63"/>
      <c r="GHK8" s="63"/>
      <c r="GHM8" s="237"/>
      <c r="GHN8" s="238"/>
      <c r="GHO8" s="239"/>
      <c r="GHP8" s="239"/>
      <c r="GHQ8" s="59"/>
      <c r="GHS8" s="235"/>
      <c r="GHT8" s="236"/>
      <c r="GHU8" s="63"/>
      <c r="GHV8" s="63"/>
      <c r="GHX8" s="237"/>
      <c r="GHY8" s="238"/>
      <c r="GHZ8" s="239"/>
      <c r="GIA8" s="239"/>
      <c r="GIB8" s="59"/>
      <c r="GID8" s="235"/>
      <c r="GIE8" s="236"/>
      <c r="GIF8" s="63"/>
      <c r="GIG8" s="63"/>
      <c r="GII8" s="237"/>
      <c r="GIJ8" s="238"/>
      <c r="GIK8" s="239"/>
      <c r="GIL8" s="239"/>
      <c r="GIM8" s="59"/>
      <c r="GIO8" s="235"/>
      <c r="GIP8" s="236"/>
      <c r="GIQ8" s="63"/>
      <c r="GIR8" s="63"/>
      <c r="GIT8" s="237"/>
      <c r="GIU8" s="238"/>
      <c r="GIV8" s="239"/>
      <c r="GIW8" s="239"/>
      <c r="GIX8" s="59"/>
      <c r="GIZ8" s="235"/>
      <c r="GJA8" s="236"/>
      <c r="GJB8" s="63"/>
      <c r="GJC8" s="63"/>
      <c r="GJE8" s="237"/>
      <c r="GJF8" s="238"/>
      <c r="GJG8" s="239"/>
      <c r="GJH8" s="239"/>
      <c r="GJI8" s="59"/>
      <c r="GJK8" s="235"/>
      <c r="GJL8" s="236"/>
      <c r="GJM8" s="63"/>
      <c r="GJN8" s="63"/>
      <c r="GJP8" s="237"/>
      <c r="GJQ8" s="238"/>
      <c r="GJR8" s="239"/>
      <c r="GJS8" s="239"/>
      <c r="GJT8" s="59"/>
      <c r="GJV8" s="235"/>
      <c r="GJW8" s="236"/>
      <c r="GJX8" s="63"/>
      <c r="GJY8" s="63"/>
      <c r="GKA8" s="237"/>
      <c r="GKB8" s="238"/>
      <c r="GKC8" s="239"/>
      <c r="GKD8" s="239"/>
      <c r="GKE8" s="59"/>
      <c r="GKG8" s="235"/>
      <c r="GKH8" s="236"/>
      <c r="GKI8" s="63"/>
      <c r="GKJ8" s="63"/>
      <c r="GKL8" s="237"/>
      <c r="GKM8" s="238"/>
      <c r="GKN8" s="239"/>
      <c r="GKO8" s="239"/>
      <c r="GKP8" s="59"/>
      <c r="GKR8" s="235"/>
      <c r="GKS8" s="236"/>
      <c r="GKT8" s="63"/>
      <c r="GKU8" s="63"/>
      <c r="GKW8" s="237"/>
      <c r="GKX8" s="238"/>
      <c r="GKY8" s="239"/>
      <c r="GKZ8" s="239"/>
      <c r="GLA8" s="59"/>
      <c r="GLC8" s="235"/>
      <c r="GLD8" s="236"/>
      <c r="GLE8" s="63"/>
      <c r="GLF8" s="63"/>
      <c r="GLH8" s="237"/>
      <c r="GLI8" s="238"/>
      <c r="GLJ8" s="239"/>
      <c r="GLK8" s="239"/>
      <c r="GLL8" s="59"/>
      <c r="GLN8" s="235"/>
      <c r="GLO8" s="236"/>
      <c r="GLP8" s="63"/>
      <c r="GLQ8" s="63"/>
      <c r="GLS8" s="237"/>
      <c r="GLT8" s="238"/>
      <c r="GLU8" s="239"/>
      <c r="GLV8" s="239"/>
      <c r="GLW8" s="59"/>
      <c r="GLY8" s="235"/>
      <c r="GLZ8" s="236"/>
      <c r="GMA8" s="63"/>
      <c r="GMB8" s="63"/>
      <c r="GMD8" s="237"/>
      <c r="GME8" s="238"/>
      <c r="GMF8" s="239"/>
      <c r="GMG8" s="239"/>
      <c r="GMH8" s="59"/>
      <c r="GMJ8" s="235"/>
      <c r="GMK8" s="236"/>
      <c r="GML8" s="63"/>
      <c r="GMM8" s="63"/>
      <c r="GMO8" s="237"/>
      <c r="GMP8" s="238"/>
      <c r="GMQ8" s="239"/>
      <c r="GMR8" s="239"/>
      <c r="GMS8" s="59"/>
      <c r="GMU8" s="235"/>
      <c r="GMV8" s="236"/>
      <c r="GMW8" s="63"/>
      <c r="GMX8" s="63"/>
      <c r="GMZ8" s="237"/>
      <c r="GNA8" s="238"/>
      <c r="GNB8" s="239"/>
      <c r="GNC8" s="239"/>
      <c r="GND8" s="59"/>
      <c r="GNF8" s="235"/>
      <c r="GNG8" s="236"/>
      <c r="GNH8" s="63"/>
      <c r="GNI8" s="63"/>
      <c r="GNK8" s="237"/>
      <c r="GNL8" s="238"/>
      <c r="GNM8" s="239"/>
      <c r="GNN8" s="239"/>
      <c r="GNO8" s="59"/>
      <c r="GNQ8" s="235"/>
      <c r="GNR8" s="236"/>
      <c r="GNS8" s="63"/>
      <c r="GNT8" s="63"/>
      <c r="GNV8" s="237"/>
      <c r="GNW8" s="238"/>
      <c r="GNX8" s="239"/>
      <c r="GNY8" s="239"/>
      <c r="GNZ8" s="59"/>
      <c r="GOB8" s="235"/>
      <c r="GOC8" s="236"/>
      <c r="GOD8" s="63"/>
      <c r="GOE8" s="63"/>
      <c r="GOG8" s="237"/>
      <c r="GOH8" s="238"/>
      <c r="GOI8" s="239"/>
      <c r="GOJ8" s="239"/>
      <c r="GOK8" s="59"/>
      <c r="GOM8" s="235"/>
      <c r="GON8" s="236"/>
      <c r="GOO8" s="63"/>
      <c r="GOP8" s="63"/>
      <c r="GOR8" s="237"/>
      <c r="GOS8" s="238"/>
      <c r="GOT8" s="239"/>
      <c r="GOU8" s="239"/>
      <c r="GOV8" s="59"/>
      <c r="GOX8" s="235"/>
      <c r="GOY8" s="236"/>
      <c r="GOZ8" s="63"/>
      <c r="GPA8" s="63"/>
      <c r="GPC8" s="237"/>
      <c r="GPD8" s="238"/>
      <c r="GPE8" s="239"/>
      <c r="GPF8" s="239"/>
      <c r="GPG8" s="59"/>
      <c r="GPI8" s="235"/>
      <c r="GPJ8" s="236"/>
      <c r="GPK8" s="63"/>
      <c r="GPL8" s="63"/>
      <c r="GPN8" s="237"/>
      <c r="GPO8" s="238"/>
      <c r="GPP8" s="239"/>
      <c r="GPQ8" s="239"/>
      <c r="GPR8" s="59"/>
      <c r="GPT8" s="235"/>
      <c r="GPU8" s="236"/>
      <c r="GPV8" s="63"/>
      <c r="GPW8" s="63"/>
      <c r="GPY8" s="237"/>
      <c r="GPZ8" s="238"/>
      <c r="GQA8" s="239"/>
      <c r="GQB8" s="239"/>
      <c r="GQC8" s="59"/>
      <c r="GQE8" s="235"/>
      <c r="GQF8" s="236"/>
      <c r="GQG8" s="63"/>
      <c r="GQH8" s="63"/>
      <c r="GQJ8" s="237"/>
      <c r="GQK8" s="238"/>
      <c r="GQL8" s="239"/>
      <c r="GQM8" s="239"/>
      <c r="GQN8" s="59"/>
      <c r="GQP8" s="235"/>
      <c r="GQQ8" s="236"/>
      <c r="GQR8" s="63"/>
      <c r="GQS8" s="63"/>
      <c r="GQU8" s="237"/>
      <c r="GQV8" s="238"/>
      <c r="GQW8" s="239"/>
      <c r="GQX8" s="239"/>
      <c r="GQY8" s="59"/>
      <c r="GRA8" s="235"/>
      <c r="GRB8" s="236"/>
      <c r="GRC8" s="63"/>
      <c r="GRD8" s="63"/>
      <c r="GRF8" s="237"/>
      <c r="GRG8" s="238"/>
      <c r="GRH8" s="239"/>
      <c r="GRI8" s="239"/>
      <c r="GRJ8" s="59"/>
      <c r="GRL8" s="235"/>
      <c r="GRM8" s="236"/>
      <c r="GRN8" s="63"/>
      <c r="GRO8" s="63"/>
      <c r="GRQ8" s="237"/>
      <c r="GRR8" s="238"/>
      <c r="GRS8" s="239"/>
      <c r="GRT8" s="239"/>
      <c r="GRU8" s="59"/>
      <c r="GRW8" s="235"/>
      <c r="GRX8" s="236"/>
      <c r="GRY8" s="63"/>
      <c r="GRZ8" s="63"/>
      <c r="GSB8" s="237"/>
      <c r="GSC8" s="238"/>
      <c r="GSD8" s="239"/>
      <c r="GSE8" s="239"/>
      <c r="GSF8" s="59"/>
      <c r="GSH8" s="235"/>
      <c r="GSI8" s="236"/>
      <c r="GSJ8" s="63"/>
      <c r="GSK8" s="63"/>
      <c r="GSM8" s="237"/>
      <c r="GSN8" s="238"/>
      <c r="GSO8" s="239"/>
      <c r="GSP8" s="239"/>
      <c r="GSQ8" s="59"/>
      <c r="GSS8" s="235"/>
      <c r="GST8" s="236"/>
      <c r="GSU8" s="63"/>
      <c r="GSV8" s="63"/>
      <c r="GSX8" s="237"/>
      <c r="GSY8" s="238"/>
      <c r="GSZ8" s="239"/>
      <c r="GTA8" s="239"/>
      <c r="GTB8" s="59"/>
      <c r="GTD8" s="235"/>
      <c r="GTE8" s="236"/>
      <c r="GTF8" s="63"/>
      <c r="GTG8" s="63"/>
      <c r="GTI8" s="237"/>
      <c r="GTJ8" s="238"/>
      <c r="GTK8" s="239"/>
      <c r="GTL8" s="239"/>
      <c r="GTM8" s="59"/>
      <c r="GTO8" s="235"/>
      <c r="GTP8" s="236"/>
      <c r="GTQ8" s="63"/>
      <c r="GTR8" s="63"/>
      <c r="GTT8" s="237"/>
      <c r="GTU8" s="238"/>
      <c r="GTV8" s="239"/>
      <c r="GTW8" s="239"/>
      <c r="GTX8" s="59"/>
      <c r="GTZ8" s="235"/>
      <c r="GUA8" s="236"/>
      <c r="GUB8" s="63"/>
      <c r="GUC8" s="63"/>
      <c r="GUE8" s="237"/>
      <c r="GUF8" s="238"/>
      <c r="GUG8" s="239"/>
      <c r="GUH8" s="239"/>
      <c r="GUI8" s="59"/>
      <c r="GUK8" s="235"/>
      <c r="GUL8" s="236"/>
      <c r="GUM8" s="63"/>
      <c r="GUN8" s="63"/>
      <c r="GUP8" s="237"/>
      <c r="GUQ8" s="238"/>
      <c r="GUR8" s="239"/>
      <c r="GUS8" s="239"/>
      <c r="GUT8" s="59"/>
      <c r="GUV8" s="235"/>
      <c r="GUW8" s="236"/>
      <c r="GUX8" s="63"/>
      <c r="GUY8" s="63"/>
      <c r="GVA8" s="237"/>
      <c r="GVB8" s="238"/>
      <c r="GVC8" s="239"/>
      <c r="GVD8" s="239"/>
      <c r="GVE8" s="59"/>
      <c r="GVG8" s="235"/>
      <c r="GVH8" s="236"/>
      <c r="GVI8" s="63"/>
      <c r="GVJ8" s="63"/>
      <c r="GVL8" s="237"/>
      <c r="GVM8" s="238"/>
      <c r="GVN8" s="239"/>
      <c r="GVO8" s="239"/>
      <c r="GVP8" s="59"/>
      <c r="GVR8" s="235"/>
      <c r="GVS8" s="236"/>
      <c r="GVT8" s="63"/>
      <c r="GVU8" s="63"/>
      <c r="GVW8" s="237"/>
      <c r="GVX8" s="238"/>
      <c r="GVY8" s="239"/>
      <c r="GVZ8" s="239"/>
      <c r="GWA8" s="59"/>
      <c r="GWC8" s="235"/>
      <c r="GWD8" s="236"/>
      <c r="GWE8" s="63"/>
      <c r="GWF8" s="63"/>
      <c r="GWH8" s="237"/>
      <c r="GWI8" s="238"/>
      <c r="GWJ8" s="239"/>
      <c r="GWK8" s="239"/>
      <c r="GWL8" s="59"/>
      <c r="GWN8" s="235"/>
      <c r="GWO8" s="236"/>
      <c r="GWP8" s="63"/>
      <c r="GWQ8" s="63"/>
      <c r="GWS8" s="237"/>
      <c r="GWT8" s="238"/>
      <c r="GWU8" s="239"/>
      <c r="GWV8" s="239"/>
      <c r="GWW8" s="59"/>
      <c r="GWY8" s="235"/>
      <c r="GWZ8" s="236"/>
      <c r="GXA8" s="63"/>
      <c r="GXB8" s="63"/>
      <c r="GXD8" s="237"/>
      <c r="GXE8" s="238"/>
      <c r="GXF8" s="239"/>
      <c r="GXG8" s="239"/>
      <c r="GXH8" s="59"/>
      <c r="GXJ8" s="235"/>
      <c r="GXK8" s="236"/>
      <c r="GXL8" s="63"/>
      <c r="GXM8" s="63"/>
      <c r="GXO8" s="237"/>
      <c r="GXP8" s="238"/>
      <c r="GXQ8" s="239"/>
      <c r="GXR8" s="239"/>
      <c r="GXS8" s="59"/>
      <c r="GXU8" s="235"/>
      <c r="GXV8" s="236"/>
      <c r="GXW8" s="63"/>
      <c r="GXX8" s="63"/>
      <c r="GXZ8" s="237"/>
      <c r="GYA8" s="238"/>
      <c r="GYB8" s="239"/>
      <c r="GYC8" s="239"/>
      <c r="GYD8" s="59"/>
      <c r="GYF8" s="235"/>
      <c r="GYG8" s="236"/>
      <c r="GYH8" s="63"/>
      <c r="GYI8" s="63"/>
      <c r="GYK8" s="237"/>
      <c r="GYL8" s="238"/>
      <c r="GYM8" s="239"/>
      <c r="GYN8" s="239"/>
      <c r="GYO8" s="59"/>
      <c r="GYQ8" s="235"/>
      <c r="GYR8" s="236"/>
      <c r="GYS8" s="63"/>
      <c r="GYT8" s="63"/>
      <c r="GYV8" s="237"/>
      <c r="GYW8" s="238"/>
      <c r="GYX8" s="239"/>
      <c r="GYY8" s="239"/>
      <c r="GYZ8" s="59"/>
      <c r="GZB8" s="235"/>
      <c r="GZC8" s="236"/>
      <c r="GZD8" s="63"/>
      <c r="GZE8" s="63"/>
      <c r="GZG8" s="237"/>
      <c r="GZH8" s="238"/>
      <c r="GZI8" s="239"/>
      <c r="GZJ8" s="239"/>
      <c r="GZK8" s="59"/>
      <c r="GZM8" s="235"/>
      <c r="GZN8" s="236"/>
      <c r="GZO8" s="63"/>
      <c r="GZP8" s="63"/>
      <c r="GZR8" s="237"/>
      <c r="GZS8" s="238"/>
      <c r="GZT8" s="239"/>
      <c r="GZU8" s="239"/>
      <c r="GZV8" s="59"/>
      <c r="GZX8" s="235"/>
      <c r="GZY8" s="236"/>
      <c r="GZZ8" s="63"/>
      <c r="HAA8" s="63"/>
      <c r="HAC8" s="237"/>
      <c r="HAD8" s="238"/>
      <c r="HAE8" s="239"/>
      <c r="HAF8" s="239"/>
      <c r="HAG8" s="59"/>
      <c r="HAI8" s="235"/>
      <c r="HAJ8" s="236"/>
      <c r="HAK8" s="63"/>
      <c r="HAL8" s="63"/>
      <c r="HAN8" s="237"/>
      <c r="HAO8" s="238"/>
      <c r="HAP8" s="239"/>
      <c r="HAQ8" s="239"/>
      <c r="HAR8" s="59"/>
      <c r="HAT8" s="235"/>
      <c r="HAU8" s="236"/>
      <c r="HAV8" s="63"/>
      <c r="HAW8" s="63"/>
      <c r="HAY8" s="237"/>
      <c r="HAZ8" s="238"/>
      <c r="HBA8" s="239"/>
      <c r="HBB8" s="239"/>
      <c r="HBC8" s="59"/>
      <c r="HBE8" s="235"/>
      <c r="HBF8" s="236"/>
      <c r="HBG8" s="63"/>
      <c r="HBH8" s="63"/>
      <c r="HBJ8" s="237"/>
      <c r="HBK8" s="238"/>
      <c r="HBL8" s="239"/>
      <c r="HBM8" s="239"/>
      <c r="HBN8" s="59"/>
      <c r="HBP8" s="235"/>
      <c r="HBQ8" s="236"/>
      <c r="HBR8" s="63"/>
      <c r="HBS8" s="63"/>
      <c r="HBU8" s="237"/>
      <c r="HBV8" s="238"/>
      <c r="HBW8" s="239"/>
      <c r="HBX8" s="239"/>
      <c r="HBY8" s="59"/>
      <c r="HCA8" s="235"/>
      <c r="HCB8" s="236"/>
      <c r="HCC8" s="63"/>
      <c r="HCD8" s="63"/>
      <c r="HCF8" s="237"/>
      <c r="HCG8" s="238"/>
      <c r="HCH8" s="239"/>
      <c r="HCI8" s="239"/>
      <c r="HCJ8" s="59"/>
      <c r="HCL8" s="235"/>
      <c r="HCM8" s="236"/>
      <c r="HCN8" s="63"/>
      <c r="HCO8" s="63"/>
      <c r="HCQ8" s="237"/>
      <c r="HCR8" s="238"/>
      <c r="HCS8" s="239"/>
      <c r="HCT8" s="239"/>
      <c r="HCU8" s="59"/>
      <c r="HCW8" s="235"/>
      <c r="HCX8" s="236"/>
      <c r="HCY8" s="63"/>
      <c r="HCZ8" s="63"/>
      <c r="HDB8" s="237"/>
      <c r="HDC8" s="238"/>
      <c r="HDD8" s="239"/>
      <c r="HDE8" s="239"/>
      <c r="HDF8" s="59"/>
      <c r="HDH8" s="235"/>
      <c r="HDI8" s="236"/>
      <c r="HDJ8" s="63"/>
      <c r="HDK8" s="63"/>
      <c r="HDM8" s="237"/>
      <c r="HDN8" s="238"/>
      <c r="HDO8" s="239"/>
      <c r="HDP8" s="239"/>
      <c r="HDQ8" s="59"/>
      <c r="HDS8" s="235"/>
      <c r="HDT8" s="236"/>
      <c r="HDU8" s="63"/>
      <c r="HDV8" s="63"/>
      <c r="HDX8" s="237"/>
      <c r="HDY8" s="238"/>
      <c r="HDZ8" s="239"/>
      <c r="HEA8" s="239"/>
      <c r="HEB8" s="59"/>
      <c r="HED8" s="235"/>
      <c r="HEE8" s="236"/>
      <c r="HEF8" s="63"/>
      <c r="HEG8" s="63"/>
      <c r="HEI8" s="237"/>
      <c r="HEJ8" s="238"/>
      <c r="HEK8" s="239"/>
      <c r="HEL8" s="239"/>
      <c r="HEM8" s="59"/>
      <c r="HEO8" s="235"/>
      <c r="HEP8" s="236"/>
      <c r="HEQ8" s="63"/>
      <c r="HER8" s="63"/>
      <c r="HET8" s="237"/>
      <c r="HEU8" s="238"/>
      <c r="HEV8" s="239"/>
      <c r="HEW8" s="239"/>
      <c r="HEX8" s="59"/>
      <c r="HEZ8" s="235"/>
      <c r="HFA8" s="236"/>
      <c r="HFB8" s="63"/>
      <c r="HFC8" s="63"/>
      <c r="HFE8" s="237"/>
      <c r="HFF8" s="238"/>
      <c r="HFG8" s="239"/>
      <c r="HFH8" s="239"/>
      <c r="HFI8" s="59"/>
      <c r="HFK8" s="235"/>
      <c r="HFL8" s="236"/>
      <c r="HFM8" s="63"/>
      <c r="HFN8" s="63"/>
      <c r="HFP8" s="237"/>
      <c r="HFQ8" s="238"/>
      <c r="HFR8" s="239"/>
      <c r="HFS8" s="239"/>
      <c r="HFT8" s="59"/>
      <c r="HFV8" s="235"/>
      <c r="HFW8" s="236"/>
      <c r="HFX8" s="63"/>
      <c r="HFY8" s="63"/>
      <c r="HGA8" s="237"/>
      <c r="HGB8" s="238"/>
      <c r="HGC8" s="239"/>
      <c r="HGD8" s="239"/>
      <c r="HGE8" s="59"/>
      <c r="HGG8" s="235"/>
      <c r="HGH8" s="236"/>
      <c r="HGI8" s="63"/>
      <c r="HGJ8" s="63"/>
      <c r="HGL8" s="237"/>
      <c r="HGM8" s="238"/>
      <c r="HGN8" s="239"/>
      <c r="HGO8" s="239"/>
      <c r="HGP8" s="59"/>
      <c r="HGR8" s="235"/>
      <c r="HGS8" s="236"/>
      <c r="HGT8" s="63"/>
      <c r="HGU8" s="63"/>
      <c r="HGW8" s="237"/>
      <c r="HGX8" s="238"/>
      <c r="HGY8" s="239"/>
      <c r="HGZ8" s="239"/>
      <c r="HHA8" s="59"/>
      <c r="HHC8" s="235"/>
      <c r="HHD8" s="236"/>
      <c r="HHE8" s="63"/>
      <c r="HHF8" s="63"/>
      <c r="HHH8" s="237"/>
      <c r="HHI8" s="238"/>
      <c r="HHJ8" s="239"/>
      <c r="HHK8" s="239"/>
      <c r="HHL8" s="59"/>
      <c r="HHN8" s="235"/>
      <c r="HHO8" s="236"/>
      <c r="HHP8" s="63"/>
      <c r="HHQ8" s="63"/>
      <c r="HHS8" s="237"/>
      <c r="HHT8" s="238"/>
      <c r="HHU8" s="239"/>
      <c r="HHV8" s="239"/>
      <c r="HHW8" s="59"/>
      <c r="HHY8" s="235"/>
      <c r="HHZ8" s="236"/>
      <c r="HIA8" s="63"/>
      <c r="HIB8" s="63"/>
      <c r="HID8" s="237"/>
      <c r="HIE8" s="238"/>
      <c r="HIF8" s="239"/>
      <c r="HIG8" s="239"/>
      <c r="HIH8" s="59"/>
      <c r="HIJ8" s="235"/>
      <c r="HIK8" s="236"/>
      <c r="HIL8" s="63"/>
      <c r="HIM8" s="63"/>
      <c r="HIO8" s="237"/>
      <c r="HIP8" s="238"/>
      <c r="HIQ8" s="239"/>
      <c r="HIR8" s="239"/>
      <c r="HIS8" s="59"/>
      <c r="HIU8" s="235"/>
      <c r="HIV8" s="236"/>
      <c r="HIW8" s="63"/>
      <c r="HIX8" s="63"/>
      <c r="HIZ8" s="237"/>
      <c r="HJA8" s="238"/>
      <c r="HJB8" s="239"/>
      <c r="HJC8" s="239"/>
      <c r="HJD8" s="59"/>
      <c r="HJF8" s="235"/>
      <c r="HJG8" s="236"/>
      <c r="HJH8" s="63"/>
      <c r="HJI8" s="63"/>
      <c r="HJK8" s="237"/>
      <c r="HJL8" s="238"/>
      <c r="HJM8" s="239"/>
      <c r="HJN8" s="239"/>
      <c r="HJO8" s="59"/>
      <c r="HJQ8" s="235"/>
      <c r="HJR8" s="236"/>
      <c r="HJS8" s="63"/>
      <c r="HJT8" s="63"/>
      <c r="HJV8" s="237"/>
      <c r="HJW8" s="238"/>
      <c r="HJX8" s="239"/>
      <c r="HJY8" s="239"/>
      <c r="HJZ8" s="59"/>
      <c r="HKB8" s="235"/>
      <c r="HKC8" s="236"/>
      <c r="HKD8" s="63"/>
      <c r="HKE8" s="63"/>
      <c r="HKG8" s="237"/>
      <c r="HKH8" s="238"/>
      <c r="HKI8" s="239"/>
      <c r="HKJ8" s="239"/>
      <c r="HKK8" s="59"/>
      <c r="HKM8" s="235"/>
      <c r="HKN8" s="236"/>
      <c r="HKO8" s="63"/>
      <c r="HKP8" s="63"/>
      <c r="HKR8" s="237"/>
      <c r="HKS8" s="238"/>
      <c r="HKT8" s="239"/>
      <c r="HKU8" s="239"/>
      <c r="HKV8" s="59"/>
      <c r="HKX8" s="235"/>
      <c r="HKY8" s="236"/>
      <c r="HKZ8" s="63"/>
      <c r="HLA8" s="63"/>
      <c r="HLC8" s="237"/>
      <c r="HLD8" s="238"/>
      <c r="HLE8" s="239"/>
      <c r="HLF8" s="239"/>
      <c r="HLG8" s="59"/>
      <c r="HLI8" s="235"/>
      <c r="HLJ8" s="236"/>
      <c r="HLK8" s="63"/>
      <c r="HLL8" s="63"/>
      <c r="HLN8" s="237"/>
      <c r="HLO8" s="238"/>
      <c r="HLP8" s="239"/>
      <c r="HLQ8" s="239"/>
      <c r="HLR8" s="59"/>
      <c r="HLT8" s="235"/>
      <c r="HLU8" s="236"/>
      <c r="HLV8" s="63"/>
      <c r="HLW8" s="63"/>
      <c r="HLY8" s="237"/>
      <c r="HLZ8" s="238"/>
      <c r="HMA8" s="239"/>
      <c r="HMB8" s="239"/>
      <c r="HMC8" s="59"/>
      <c r="HME8" s="235"/>
      <c r="HMF8" s="236"/>
      <c r="HMG8" s="63"/>
      <c r="HMH8" s="63"/>
      <c r="HMJ8" s="237"/>
      <c r="HMK8" s="238"/>
      <c r="HML8" s="239"/>
      <c r="HMM8" s="239"/>
      <c r="HMN8" s="59"/>
      <c r="HMP8" s="235"/>
      <c r="HMQ8" s="236"/>
      <c r="HMR8" s="63"/>
      <c r="HMS8" s="63"/>
      <c r="HMU8" s="237"/>
      <c r="HMV8" s="238"/>
      <c r="HMW8" s="239"/>
      <c r="HMX8" s="239"/>
      <c r="HMY8" s="59"/>
      <c r="HNA8" s="235"/>
      <c r="HNB8" s="236"/>
      <c r="HNC8" s="63"/>
      <c r="HND8" s="63"/>
      <c r="HNF8" s="237"/>
      <c r="HNG8" s="238"/>
      <c r="HNH8" s="239"/>
      <c r="HNI8" s="239"/>
      <c r="HNJ8" s="59"/>
      <c r="HNL8" s="235"/>
      <c r="HNM8" s="236"/>
      <c r="HNN8" s="63"/>
      <c r="HNO8" s="63"/>
      <c r="HNQ8" s="237"/>
      <c r="HNR8" s="238"/>
      <c r="HNS8" s="239"/>
      <c r="HNT8" s="239"/>
      <c r="HNU8" s="59"/>
      <c r="HNW8" s="235"/>
      <c r="HNX8" s="236"/>
      <c r="HNY8" s="63"/>
      <c r="HNZ8" s="63"/>
      <c r="HOB8" s="237"/>
      <c r="HOC8" s="238"/>
      <c r="HOD8" s="239"/>
      <c r="HOE8" s="239"/>
      <c r="HOF8" s="59"/>
      <c r="HOH8" s="235"/>
      <c r="HOI8" s="236"/>
      <c r="HOJ8" s="63"/>
      <c r="HOK8" s="63"/>
      <c r="HOM8" s="237"/>
      <c r="HON8" s="238"/>
      <c r="HOO8" s="239"/>
      <c r="HOP8" s="239"/>
      <c r="HOQ8" s="59"/>
      <c r="HOS8" s="235"/>
      <c r="HOT8" s="236"/>
      <c r="HOU8" s="63"/>
      <c r="HOV8" s="63"/>
      <c r="HOX8" s="237"/>
      <c r="HOY8" s="238"/>
      <c r="HOZ8" s="239"/>
      <c r="HPA8" s="239"/>
      <c r="HPB8" s="59"/>
      <c r="HPD8" s="235"/>
      <c r="HPE8" s="236"/>
      <c r="HPF8" s="63"/>
      <c r="HPG8" s="63"/>
      <c r="HPI8" s="237"/>
      <c r="HPJ8" s="238"/>
      <c r="HPK8" s="239"/>
      <c r="HPL8" s="239"/>
      <c r="HPM8" s="59"/>
      <c r="HPO8" s="235"/>
      <c r="HPP8" s="236"/>
      <c r="HPQ8" s="63"/>
      <c r="HPR8" s="63"/>
      <c r="HPT8" s="237"/>
      <c r="HPU8" s="238"/>
      <c r="HPV8" s="239"/>
      <c r="HPW8" s="239"/>
      <c r="HPX8" s="59"/>
      <c r="HPZ8" s="235"/>
      <c r="HQA8" s="236"/>
      <c r="HQB8" s="63"/>
      <c r="HQC8" s="63"/>
      <c r="HQE8" s="237"/>
      <c r="HQF8" s="238"/>
      <c r="HQG8" s="239"/>
      <c r="HQH8" s="239"/>
      <c r="HQI8" s="59"/>
      <c r="HQK8" s="235"/>
      <c r="HQL8" s="236"/>
      <c r="HQM8" s="63"/>
      <c r="HQN8" s="63"/>
      <c r="HQP8" s="237"/>
      <c r="HQQ8" s="238"/>
      <c r="HQR8" s="239"/>
      <c r="HQS8" s="239"/>
      <c r="HQT8" s="59"/>
      <c r="HQV8" s="235"/>
      <c r="HQW8" s="236"/>
      <c r="HQX8" s="63"/>
      <c r="HQY8" s="63"/>
      <c r="HRA8" s="237"/>
      <c r="HRB8" s="238"/>
      <c r="HRC8" s="239"/>
      <c r="HRD8" s="239"/>
      <c r="HRE8" s="59"/>
      <c r="HRG8" s="235"/>
      <c r="HRH8" s="236"/>
      <c r="HRI8" s="63"/>
      <c r="HRJ8" s="63"/>
      <c r="HRL8" s="237"/>
      <c r="HRM8" s="238"/>
      <c r="HRN8" s="239"/>
      <c r="HRO8" s="239"/>
      <c r="HRP8" s="59"/>
      <c r="HRR8" s="235"/>
      <c r="HRS8" s="236"/>
      <c r="HRT8" s="63"/>
      <c r="HRU8" s="63"/>
      <c r="HRW8" s="237"/>
      <c r="HRX8" s="238"/>
      <c r="HRY8" s="239"/>
      <c r="HRZ8" s="239"/>
      <c r="HSA8" s="59"/>
      <c r="HSC8" s="235"/>
      <c r="HSD8" s="236"/>
      <c r="HSE8" s="63"/>
      <c r="HSF8" s="63"/>
      <c r="HSH8" s="237"/>
      <c r="HSI8" s="238"/>
      <c r="HSJ8" s="239"/>
      <c r="HSK8" s="239"/>
      <c r="HSL8" s="59"/>
      <c r="HSN8" s="235"/>
      <c r="HSO8" s="236"/>
      <c r="HSP8" s="63"/>
      <c r="HSQ8" s="63"/>
      <c r="HSS8" s="237"/>
      <c r="HST8" s="238"/>
      <c r="HSU8" s="239"/>
      <c r="HSV8" s="239"/>
      <c r="HSW8" s="59"/>
      <c r="HSY8" s="235"/>
      <c r="HSZ8" s="236"/>
      <c r="HTA8" s="63"/>
      <c r="HTB8" s="63"/>
      <c r="HTD8" s="237"/>
      <c r="HTE8" s="238"/>
      <c r="HTF8" s="239"/>
      <c r="HTG8" s="239"/>
      <c r="HTH8" s="59"/>
      <c r="HTJ8" s="235"/>
      <c r="HTK8" s="236"/>
      <c r="HTL8" s="63"/>
      <c r="HTM8" s="63"/>
      <c r="HTO8" s="237"/>
      <c r="HTP8" s="238"/>
      <c r="HTQ8" s="239"/>
      <c r="HTR8" s="239"/>
      <c r="HTS8" s="59"/>
      <c r="HTU8" s="235"/>
      <c r="HTV8" s="236"/>
      <c r="HTW8" s="63"/>
      <c r="HTX8" s="63"/>
      <c r="HTZ8" s="237"/>
      <c r="HUA8" s="238"/>
      <c r="HUB8" s="239"/>
      <c r="HUC8" s="239"/>
      <c r="HUD8" s="59"/>
      <c r="HUF8" s="235"/>
      <c r="HUG8" s="236"/>
      <c r="HUH8" s="63"/>
      <c r="HUI8" s="63"/>
      <c r="HUK8" s="237"/>
      <c r="HUL8" s="238"/>
      <c r="HUM8" s="239"/>
      <c r="HUN8" s="239"/>
      <c r="HUO8" s="59"/>
      <c r="HUQ8" s="235"/>
      <c r="HUR8" s="236"/>
      <c r="HUS8" s="63"/>
      <c r="HUT8" s="63"/>
      <c r="HUV8" s="237"/>
      <c r="HUW8" s="238"/>
      <c r="HUX8" s="239"/>
      <c r="HUY8" s="239"/>
      <c r="HUZ8" s="59"/>
      <c r="HVB8" s="235"/>
      <c r="HVC8" s="236"/>
      <c r="HVD8" s="63"/>
      <c r="HVE8" s="63"/>
      <c r="HVG8" s="237"/>
      <c r="HVH8" s="238"/>
      <c r="HVI8" s="239"/>
      <c r="HVJ8" s="239"/>
      <c r="HVK8" s="59"/>
      <c r="HVM8" s="235"/>
      <c r="HVN8" s="236"/>
      <c r="HVO8" s="63"/>
      <c r="HVP8" s="63"/>
      <c r="HVR8" s="237"/>
      <c r="HVS8" s="238"/>
      <c r="HVT8" s="239"/>
      <c r="HVU8" s="239"/>
      <c r="HVV8" s="59"/>
      <c r="HVX8" s="235"/>
      <c r="HVY8" s="236"/>
      <c r="HVZ8" s="63"/>
      <c r="HWA8" s="63"/>
      <c r="HWC8" s="237"/>
      <c r="HWD8" s="238"/>
      <c r="HWE8" s="239"/>
      <c r="HWF8" s="239"/>
      <c r="HWG8" s="59"/>
      <c r="HWI8" s="235"/>
      <c r="HWJ8" s="236"/>
      <c r="HWK8" s="63"/>
      <c r="HWL8" s="63"/>
      <c r="HWN8" s="237"/>
      <c r="HWO8" s="238"/>
      <c r="HWP8" s="239"/>
      <c r="HWQ8" s="239"/>
      <c r="HWR8" s="59"/>
      <c r="HWT8" s="235"/>
      <c r="HWU8" s="236"/>
      <c r="HWV8" s="63"/>
      <c r="HWW8" s="63"/>
      <c r="HWY8" s="237"/>
      <c r="HWZ8" s="238"/>
      <c r="HXA8" s="239"/>
      <c r="HXB8" s="239"/>
      <c r="HXC8" s="59"/>
      <c r="HXE8" s="235"/>
      <c r="HXF8" s="236"/>
      <c r="HXG8" s="63"/>
      <c r="HXH8" s="63"/>
      <c r="HXJ8" s="237"/>
      <c r="HXK8" s="238"/>
      <c r="HXL8" s="239"/>
      <c r="HXM8" s="239"/>
      <c r="HXN8" s="59"/>
      <c r="HXP8" s="235"/>
      <c r="HXQ8" s="236"/>
      <c r="HXR8" s="63"/>
      <c r="HXS8" s="63"/>
      <c r="HXU8" s="237"/>
      <c r="HXV8" s="238"/>
      <c r="HXW8" s="239"/>
      <c r="HXX8" s="239"/>
      <c r="HXY8" s="59"/>
      <c r="HYA8" s="235"/>
      <c r="HYB8" s="236"/>
      <c r="HYC8" s="63"/>
      <c r="HYD8" s="63"/>
      <c r="HYF8" s="237"/>
      <c r="HYG8" s="238"/>
      <c r="HYH8" s="239"/>
      <c r="HYI8" s="239"/>
      <c r="HYJ8" s="59"/>
      <c r="HYL8" s="235"/>
      <c r="HYM8" s="236"/>
      <c r="HYN8" s="63"/>
      <c r="HYO8" s="63"/>
      <c r="HYQ8" s="237"/>
      <c r="HYR8" s="238"/>
      <c r="HYS8" s="239"/>
      <c r="HYT8" s="239"/>
      <c r="HYU8" s="59"/>
      <c r="HYW8" s="235"/>
      <c r="HYX8" s="236"/>
      <c r="HYY8" s="63"/>
      <c r="HYZ8" s="63"/>
      <c r="HZB8" s="237"/>
      <c r="HZC8" s="238"/>
      <c r="HZD8" s="239"/>
      <c r="HZE8" s="239"/>
      <c r="HZF8" s="59"/>
      <c r="HZH8" s="235"/>
      <c r="HZI8" s="236"/>
      <c r="HZJ8" s="63"/>
      <c r="HZK8" s="63"/>
      <c r="HZM8" s="237"/>
      <c r="HZN8" s="238"/>
      <c r="HZO8" s="239"/>
      <c r="HZP8" s="239"/>
      <c r="HZQ8" s="59"/>
      <c r="HZS8" s="235"/>
      <c r="HZT8" s="236"/>
      <c r="HZU8" s="63"/>
      <c r="HZV8" s="63"/>
      <c r="HZX8" s="237"/>
      <c r="HZY8" s="238"/>
      <c r="HZZ8" s="239"/>
      <c r="IAA8" s="239"/>
      <c r="IAB8" s="59"/>
      <c r="IAD8" s="235"/>
      <c r="IAE8" s="236"/>
      <c r="IAF8" s="63"/>
      <c r="IAG8" s="63"/>
      <c r="IAI8" s="237"/>
      <c r="IAJ8" s="238"/>
      <c r="IAK8" s="239"/>
      <c r="IAL8" s="239"/>
      <c r="IAM8" s="59"/>
      <c r="IAO8" s="235"/>
      <c r="IAP8" s="236"/>
      <c r="IAQ8" s="63"/>
      <c r="IAR8" s="63"/>
      <c r="IAT8" s="237"/>
      <c r="IAU8" s="238"/>
      <c r="IAV8" s="239"/>
      <c r="IAW8" s="239"/>
      <c r="IAX8" s="59"/>
      <c r="IAZ8" s="235"/>
      <c r="IBA8" s="236"/>
      <c r="IBB8" s="63"/>
      <c r="IBC8" s="63"/>
      <c r="IBE8" s="237"/>
      <c r="IBF8" s="238"/>
      <c r="IBG8" s="239"/>
      <c r="IBH8" s="239"/>
      <c r="IBI8" s="59"/>
      <c r="IBK8" s="235"/>
      <c r="IBL8" s="236"/>
      <c r="IBM8" s="63"/>
      <c r="IBN8" s="63"/>
      <c r="IBP8" s="237"/>
      <c r="IBQ8" s="238"/>
      <c r="IBR8" s="239"/>
      <c r="IBS8" s="239"/>
      <c r="IBT8" s="59"/>
      <c r="IBV8" s="235"/>
      <c r="IBW8" s="236"/>
      <c r="IBX8" s="63"/>
      <c r="IBY8" s="63"/>
      <c r="ICA8" s="237"/>
      <c r="ICB8" s="238"/>
      <c r="ICC8" s="239"/>
      <c r="ICD8" s="239"/>
      <c r="ICE8" s="59"/>
      <c r="ICG8" s="235"/>
      <c r="ICH8" s="236"/>
      <c r="ICI8" s="63"/>
      <c r="ICJ8" s="63"/>
      <c r="ICL8" s="237"/>
      <c r="ICM8" s="238"/>
      <c r="ICN8" s="239"/>
      <c r="ICO8" s="239"/>
      <c r="ICP8" s="59"/>
      <c r="ICR8" s="235"/>
      <c r="ICS8" s="236"/>
      <c r="ICT8" s="63"/>
      <c r="ICU8" s="63"/>
      <c r="ICW8" s="237"/>
      <c r="ICX8" s="238"/>
      <c r="ICY8" s="239"/>
      <c r="ICZ8" s="239"/>
      <c r="IDA8" s="59"/>
      <c r="IDC8" s="235"/>
      <c r="IDD8" s="236"/>
      <c r="IDE8" s="63"/>
      <c r="IDF8" s="63"/>
      <c r="IDH8" s="237"/>
      <c r="IDI8" s="238"/>
      <c r="IDJ8" s="239"/>
      <c r="IDK8" s="239"/>
      <c r="IDL8" s="59"/>
      <c r="IDN8" s="235"/>
      <c r="IDO8" s="236"/>
      <c r="IDP8" s="63"/>
      <c r="IDQ8" s="63"/>
      <c r="IDS8" s="237"/>
      <c r="IDT8" s="238"/>
      <c r="IDU8" s="239"/>
      <c r="IDV8" s="239"/>
      <c r="IDW8" s="59"/>
      <c r="IDY8" s="235"/>
      <c r="IDZ8" s="236"/>
      <c r="IEA8" s="63"/>
      <c r="IEB8" s="63"/>
      <c r="IED8" s="237"/>
      <c r="IEE8" s="238"/>
      <c r="IEF8" s="239"/>
      <c r="IEG8" s="239"/>
      <c r="IEH8" s="59"/>
      <c r="IEJ8" s="235"/>
      <c r="IEK8" s="236"/>
      <c r="IEL8" s="63"/>
      <c r="IEM8" s="63"/>
      <c r="IEO8" s="237"/>
      <c r="IEP8" s="238"/>
      <c r="IEQ8" s="239"/>
      <c r="IER8" s="239"/>
      <c r="IES8" s="59"/>
      <c r="IEU8" s="235"/>
      <c r="IEV8" s="236"/>
      <c r="IEW8" s="63"/>
      <c r="IEX8" s="63"/>
      <c r="IEZ8" s="237"/>
      <c r="IFA8" s="238"/>
      <c r="IFB8" s="239"/>
      <c r="IFC8" s="239"/>
      <c r="IFD8" s="59"/>
      <c r="IFF8" s="235"/>
      <c r="IFG8" s="236"/>
      <c r="IFH8" s="63"/>
      <c r="IFI8" s="63"/>
      <c r="IFK8" s="237"/>
      <c r="IFL8" s="238"/>
      <c r="IFM8" s="239"/>
      <c r="IFN8" s="239"/>
      <c r="IFO8" s="59"/>
      <c r="IFQ8" s="235"/>
      <c r="IFR8" s="236"/>
      <c r="IFS8" s="63"/>
      <c r="IFT8" s="63"/>
      <c r="IFV8" s="237"/>
      <c r="IFW8" s="238"/>
      <c r="IFX8" s="239"/>
      <c r="IFY8" s="239"/>
      <c r="IFZ8" s="59"/>
      <c r="IGB8" s="235"/>
      <c r="IGC8" s="236"/>
      <c r="IGD8" s="63"/>
      <c r="IGE8" s="63"/>
      <c r="IGG8" s="237"/>
      <c r="IGH8" s="238"/>
      <c r="IGI8" s="239"/>
      <c r="IGJ8" s="239"/>
      <c r="IGK8" s="59"/>
      <c r="IGM8" s="235"/>
      <c r="IGN8" s="236"/>
      <c r="IGO8" s="63"/>
      <c r="IGP8" s="63"/>
      <c r="IGR8" s="237"/>
      <c r="IGS8" s="238"/>
      <c r="IGT8" s="239"/>
      <c r="IGU8" s="239"/>
      <c r="IGV8" s="59"/>
      <c r="IGX8" s="235"/>
      <c r="IGY8" s="236"/>
      <c r="IGZ8" s="63"/>
      <c r="IHA8" s="63"/>
      <c r="IHC8" s="237"/>
      <c r="IHD8" s="238"/>
      <c r="IHE8" s="239"/>
      <c r="IHF8" s="239"/>
      <c r="IHG8" s="59"/>
      <c r="IHI8" s="235"/>
      <c r="IHJ8" s="236"/>
      <c r="IHK8" s="63"/>
      <c r="IHL8" s="63"/>
      <c r="IHN8" s="237"/>
      <c r="IHO8" s="238"/>
      <c r="IHP8" s="239"/>
      <c r="IHQ8" s="239"/>
      <c r="IHR8" s="59"/>
      <c r="IHT8" s="235"/>
      <c r="IHU8" s="236"/>
      <c r="IHV8" s="63"/>
      <c r="IHW8" s="63"/>
      <c r="IHY8" s="237"/>
      <c r="IHZ8" s="238"/>
      <c r="IIA8" s="239"/>
      <c r="IIB8" s="239"/>
      <c r="IIC8" s="59"/>
      <c r="IIE8" s="235"/>
      <c r="IIF8" s="236"/>
      <c r="IIG8" s="63"/>
      <c r="IIH8" s="63"/>
      <c r="IIJ8" s="237"/>
      <c r="IIK8" s="238"/>
      <c r="IIL8" s="239"/>
      <c r="IIM8" s="239"/>
      <c r="IIN8" s="59"/>
      <c r="IIP8" s="235"/>
      <c r="IIQ8" s="236"/>
      <c r="IIR8" s="63"/>
      <c r="IIS8" s="63"/>
      <c r="IIU8" s="237"/>
      <c r="IIV8" s="238"/>
      <c r="IIW8" s="239"/>
      <c r="IIX8" s="239"/>
      <c r="IIY8" s="59"/>
      <c r="IJA8" s="235"/>
      <c r="IJB8" s="236"/>
      <c r="IJC8" s="63"/>
      <c r="IJD8" s="63"/>
      <c r="IJF8" s="237"/>
      <c r="IJG8" s="238"/>
      <c r="IJH8" s="239"/>
      <c r="IJI8" s="239"/>
      <c r="IJJ8" s="59"/>
      <c r="IJL8" s="235"/>
      <c r="IJM8" s="236"/>
      <c r="IJN8" s="63"/>
      <c r="IJO8" s="63"/>
      <c r="IJQ8" s="237"/>
      <c r="IJR8" s="238"/>
      <c r="IJS8" s="239"/>
      <c r="IJT8" s="239"/>
      <c r="IJU8" s="59"/>
      <c r="IJW8" s="235"/>
      <c r="IJX8" s="236"/>
      <c r="IJY8" s="63"/>
      <c r="IJZ8" s="63"/>
      <c r="IKB8" s="237"/>
      <c r="IKC8" s="238"/>
      <c r="IKD8" s="239"/>
      <c r="IKE8" s="239"/>
      <c r="IKF8" s="59"/>
      <c r="IKH8" s="235"/>
      <c r="IKI8" s="236"/>
      <c r="IKJ8" s="63"/>
      <c r="IKK8" s="63"/>
      <c r="IKM8" s="237"/>
      <c r="IKN8" s="238"/>
      <c r="IKO8" s="239"/>
      <c r="IKP8" s="239"/>
      <c r="IKQ8" s="59"/>
      <c r="IKS8" s="235"/>
      <c r="IKT8" s="236"/>
      <c r="IKU8" s="63"/>
      <c r="IKV8" s="63"/>
      <c r="IKX8" s="237"/>
      <c r="IKY8" s="238"/>
      <c r="IKZ8" s="239"/>
      <c r="ILA8" s="239"/>
      <c r="ILB8" s="59"/>
      <c r="ILD8" s="235"/>
      <c r="ILE8" s="236"/>
      <c r="ILF8" s="63"/>
      <c r="ILG8" s="63"/>
      <c r="ILI8" s="237"/>
      <c r="ILJ8" s="238"/>
      <c r="ILK8" s="239"/>
      <c r="ILL8" s="239"/>
      <c r="ILM8" s="59"/>
      <c r="ILO8" s="235"/>
      <c r="ILP8" s="236"/>
      <c r="ILQ8" s="63"/>
      <c r="ILR8" s="63"/>
      <c r="ILT8" s="237"/>
      <c r="ILU8" s="238"/>
      <c r="ILV8" s="239"/>
      <c r="ILW8" s="239"/>
      <c r="ILX8" s="59"/>
      <c r="ILZ8" s="235"/>
      <c r="IMA8" s="236"/>
      <c r="IMB8" s="63"/>
      <c r="IMC8" s="63"/>
      <c r="IME8" s="237"/>
      <c r="IMF8" s="238"/>
      <c r="IMG8" s="239"/>
      <c r="IMH8" s="239"/>
      <c r="IMI8" s="59"/>
      <c r="IMK8" s="235"/>
      <c r="IML8" s="236"/>
      <c r="IMM8" s="63"/>
      <c r="IMN8" s="63"/>
      <c r="IMP8" s="237"/>
      <c r="IMQ8" s="238"/>
      <c r="IMR8" s="239"/>
      <c r="IMS8" s="239"/>
      <c r="IMT8" s="59"/>
      <c r="IMV8" s="235"/>
      <c r="IMW8" s="236"/>
      <c r="IMX8" s="63"/>
      <c r="IMY8" s="63"/>
      <c r="INA8" s="237"/>
      <c r="INB8" s="238"/>
      <c r="INC8" s="239"/>
      <c r="IND8" s="239"/>
      <c r="INE8" s="59"/>
      <c r="ING8" s="235"/>
      <c r="INH8" s="236"/>
      <c r="INI8" s="63"/>
      <c r="INJ8" s="63"/>
      <c r="INL8" s="237"/>
      <c r="INM8" s="238"/>
      <c r="INN8" s="239"/>
      <c r="INO8" s="239"/>
      <c r="INP8" s="59"/>
      <c r="INR8" s="235"/>
      <c r="INS8" s="236"/>
      <c r="INT8" s="63"/>
      <c r="INU8" s="63"/>
      <c r="INW8" s="237"/>
      <c r="INX8" s="238"/>
      <c r="INY8" s="239"/>
      <c r="INZ8" s="239"/>
      <c r="IOA8" s="59"/>
      <c r="IOC8" s="235"/>
      <c r="IOD8" s="236"/>
      <c r="IOE8" s="63"/>
      <c r="IOF8" s="63"/>
      <c r="IOH8" s="237"/>
      <c r="IOI8" s="238"/>
      <c r="IOJ8" s="239"/>
      <c r="IOK8" s="239"/>
      <c r="IOL8" s="59"/>
      <c r="ION8" s="235"/>
      <c r="IOO8" s="236"/>
      <c r="IOP8" s="63"/>
      <c r="IOQ8" s="63"/>
      <c r="IOS8" s="237"/>
      <c r="IOT8" s="238"/>
      <c r="IOU8" s="239"/>
      <c r="IOV8" s="239"/>
      <c r="IOW8" s="59"/>
      <c r="IOY8" s="235"/>
      <c r="IOZ8" s="236"/>
      <c r="IPA8" s="63"/>
      <c r="IPB8" s="63"/>
      <c r="IPD8" s="237"/>
      <c r="IPE8" s="238"/>
      <c r="IPF8" s="239"/>
      <c r="IPG8" s="239"/>
      <c r="IPH8" s="59"/>
      <c r="IPJ8" s="235"/>
      <c r="IPK8" s="236"/>
      <c r="IPL8" s="63"/>
      <c r="IPM8" s="63"/>
      <c r="IPO8" s="237"/>
      <c r="IPP8" s="238"/>
      <c r="IPQ8" s="239"/>
      <c r="IPR8" s="239"/>
      <c r="IPS8" s="59"/>
      <c r="IPU8" s="235"/>
      <c r="IPV8" s="236"/>
      <c r="IPW8" s="63"/>
      <c r="IPX8" s="63"/>
      <c r="IPZ8" s="237"/>
      <c r="IQA8" s="238"/>
      <c r="IQB8" s="239"/>
      <c r="IQC8" s="239"/>
      <c r="IQD8" s="59"/>
      <c r="IQF8" s="235"/>
      <c r="IQG8" s="236"/>
      <c r="IQH8" s="63"/>
      <c r="IQI8" s="63"/>
      <c r="IQK8" s="237"/>
      <c r="IQL8" s="238"/>
      <c r="IQM8" s="239"/>
      <c r="IQN8" s="239"/>
      <c r="IQO8" s="59"/>
      <c r="IQQ8" s="235"/>
      <c r="IQR8" s="236"/>
      <c r="IQS8" s="63"/>
      <c r="IQT8" s="63"/>
      <c r="IQV8" s="237"/>
      <c r="IQW8" s="238"/>
      <c r="IQX8" s="239"/>
      <c r="IQY8" s="239"/>
      <c r="IQZ8" s="59"/>
      <c r="IRB8" s="235"/>
      <c r="IRC8" s="236"/>
      <c r="IRD8" s="63"/>
      <c r="IRE8" s="63"/>
      <c r="IRG8" s="237"/>
      <c r="IRH8" s="238"/>
      <c r="IRI8" s="239"/>
      <c r="IRJ8" s="239"/>
      <c r="IRK8" s="59"/>
      <c r="IRM8" s="235"/>
      <c r="IRN8" s="236"/>
      <c r="IRO8" s="63"/>
      <c r="IRP8" s="63"/>
      <c r="IRR8" s="237"/>
      <c r="IRS8" s="238"/>
      <c r="IRT8" s="239"/>
      <c r="IRU8" s="239"/>
      <c r="IRV8" s="59"/>
      <c r="IRX8" s="235"/>
      <c r="IRY8" s="236"/>
      <c r="IRZ8" s="63"/>
      <c r="ISA8" s="63"/>
      <c r="ISC8" s="237"/>
      <c r="ISD8" s="238"/>
      <c r="ISE8" s="239"/>
      <c r="ISF8" s="239"/>
      <c r="ISG8" s="59"/>
      <c r="ISI8" s="235"/>
      <c r="ISJ8" s="236"/>
      <c r="ISK8" s="63"/>
      <c r="ISL8" s="63"/>
      <c r="ISN8" s="237"/>
      <c r="ISO8" s="238"/>
      <c r="ISP8" s="239"/>
      <c r="ISQ8" s="239"/>
      <c r="ISR8" s="59"/>
      <c r="IST8" s="235"/>
      <c r="ISU8" s="236"/>
      <c r="ISV8" s="63"/>
      <c r="ISW8" s="63"/>
      <c r="ISY8" s="237"/>
      <c r="ISZ8" s="238"/>
      <c r="ITA8" s="239"/>
      <c r="ITB8" s="239"/>
      <c r="ITC8" s="59"/>
      <c r="ITE8" s="235"/>
      <c r="ITF8" s="236"/>
      <c r="ITG8" s="63"/>
      <c r="ITH8" s="63"/>
      <c r="ITJ8" s="237"/>
      <c r="ITK8" s="238"/>
      <c r="ITL8" s="239"/>
      <c r="ITM8" s="239"/>
      <c r="ITN8" s="59"/>
      <c r="ITP8" s="235"/>
      <c r="ITQ8" s="236"/>
      <c r="ITR8" s="63"/>
      <c r="ITS8" s="63"/>
      <c r="ITU8" s="237"/>
      <c r="ITV8" s="238"/>
      <c r="ITW8" s="239"/>
      <c r="ITX8" s="239"/>
      <c r="ITY8" s="59"/>
      <c r="IUA8" s="235"/>
      <c r="IUB8" s="236"/>
      <c r="IUC8" s="63"/>
      <c r="IUD8" s="63"/>
      <c r="IUF8" s="237"/>
      <c r="IUG8" s="238"/>
      <c r="IUH8" s="239"/>
      <c r="IUI8" s="239"/>
      <c r="IUJ8" s="59"/>
      <c r="IUL8" s="235"/>
      <c r="IUM8" s="236"/>
      <c r="IUN8" s="63"/>
      <c r="IUO8" s="63"/>
      <c r="IUQ8" s="237"/>
      <c r="IUR8" s="238"/>
      <c r="IUS8" s="239"/>
      <c r="IUT8" s="239"/>
      <c r="IUU8" s="59"/>
      <c r="IUW8" s="235"/>
      <c r="IUX8" s="236"/>
      <c r="IUY8" s="63"/>
      <c r="IUZ8" s="63"/>
      <c r="IVB8" s="237"/>
      <c r="IVC8" s="238"/>
      <c r="IVD8" s="239"/>
      <c r="IVE8" s="239"/>
      <c r="IVF8" s="59"/>
      <c r="IVH8" s="235"/>
      <c r="IVI8" s="236"/>
      <c r="IVJ8" s="63"/>
      <c r="IVK8" s="63"/>
      <c r="IVM8" s="237"/>
      <c r="IVN8" s="238"/>
      <c r="IVO8" s="239"/>
      <c r="IVP8" s="239"/>
      <c r="IVQ8" s="59"/>
      <c r="IVS8" s="235"/>
      <c r="IVT8" s="236"/>
      <c r="IVU8" s="63"/>
      <c r="IVV8" s="63"/>
      <c r="IVX8" s="237"/>
      <c r="IVY8" s="238"/>
      <c r="IVZ8" s="239"/>
      <c r="IWA8" s="239"/>
      <c r="IWB8" s="59"/>
      <c r="IWD8" s="235"/>
      <c r="IWE8" s="236"/>
      <c r="IWF8" s="63"/>
      <c r="IWG8" s="63"/>
      <c r="IWI8" s="237"/>
      <c r="IWJ8" s="238"/>
      <c r="IWK8" s="239"/>
      <c r="IWL8" s="239"/>
      <c r="IWM8" s="59"/>
      <c r="IWO8" s="235"/>
      <c r="IWP8" s="236"/>
      <c r="IWQ8" s="63"/>
      <c r="IWR8" s="63"/>
      <c r="IWT8" s="237"/>
      <c r="IWU8" s="238"/>
      <c r="IWV8" s="239"/>
      <c r="IWW8" s="239"/>
      <c r="IWX8" s="59"/>
      <c r="IWZ8" s="235"/>
      <c r="IXA8" s="236"/>
      <c r="IXB8" s="63"/>
      <c r="IXC8" s="63"/>
      <c r="IXE8" s="237"/>
      <c r="IXF8" s="238"/>
      <c r="IXG8" s="239"/>
      <c r="IXH8" s="239"/>
      <c r="IXI8" s="59"/>
      <c r="IXK8" s="235"/>
      <c r="IXL8" s="236"/>
      <c r="IXM8" s="63"/>
      <c r="IXN8" s="63"/>
      <c r="IXP8" s="237"/>
      <c r="IXQ8" s="238"/>
      <c r="IXR8" s="239"/>
      <c r="IXS8" s="239"/>
      <c r="IXT8" s="59"/>
      <c r="IXV8" s="235"/>
      <c r="IXW8" s="236"/>
      <c r="IXX8" s="63"/>
      <c r="IXY8" s="63"/>
      <c r="IYA8" s="237"/>
      <c r="IYB8" s="238"/>
      <c r="IYC8" s="239"/>
      <c r="IYD8" s="239"/>
      <c r="IYE8" s="59"/>
      <c r="IYG8" s="235"/>
      <c r="IYH8" s="236"/>
      <c r="IYI8" s="63"/>
      <c r="IYJ8" s="63"/>
      <c r="IYL8" s="237"/>
      <c r="IYM8" s="238"/>
      <c r="IYN8" s="239"/>
      <c r="IYO8" s="239"/>
      <c r="IYP8" s="59"/>
      <c r="IYR8" s="235"/>
      <c r="IYS8" s="236"/>
      <c r="IYT8" s="63"/>
      <c r="IYU8" s="63"/>
      <c r="IYW8" s="237"/>
      <c r="IYX8" s="238"/>
      <c r="IYY8" s="239"/>
      <c r="IYZ8" s="239"/>
      <c r="IZA8" s="59"/>
      <c r="IZC8" s="235"/>
      <c r="IZD8" s="236"/>
      <c r="IZE8" s="63"/>
      <c r="IZF8" s="63"/>
      <c r="IZH8" s="237"/>
      <c r="IZI8" s="238"/>
      <c r="IZJ8" s="239"/>
      <c r="IZK8" s="239"/>
      <c r="IZL8" s="59"/>
      <c r="IZN8" s="235"/>
      <c r="IZO8" s="236"/>
      <c r="IZP8" s="63"/>
      <c r="IZQ8" s="63"/>
      <c r="IZS8" s="237"/>
      <c r="IZT8" s="238"/>
      <c r="IZU8" s="239"/>
      <c r="IZV8" s="239"/>
      <c r="IZW8" s="59"/>
      <c r="IZY8" s="235"/>
      <c r="IZZ8" s="236"/>
      <c r="JAA8" s="63"/>
      <c r="JAB8" s="63"/>
      <c r="JAD8" s="237"/>
      <c r="JAE8" s="238"/>
      <c r="JAF8" s="239"/>
      <c r="JAG8" s="239"/>
      <c r="JAH8" s="59"/>
      <c r="JAJ8" s="235"/>
      <c r="JAK8" s="236"/>
      <c r="JAL8" s="63"/>
      <c r="JAM8" s="63"/>
      <c r="JAO8" s="237"/>
      <c r="JAP8" s="238"/>
      <c r="JAQ8" s="239"/>
      <c r="JAR8" s="239"/>
      <c r="JAS8" s="59"/>
      <c r="JAU8" s="235"/>
      <c r="JAV8" s="236"/>
      <c r="JAW8" s="63"/>
      <c r="JAX8" s="63"/>
      <c r="JAZ8" s="237"/>
      <c r="JBA8" s="238"/>
      <c r="JBB8" s="239"/>
      <c r="JBC8" s="239"/>
      <c r="JBD8" s="59"/>
      <c r="JBF8" s="235"/>
      <c r="JBG8" s="236"/>
      <c r="JBH8" s="63"/>
      <c r="JBI8" s="63"/>
      <c r="JBK8" s="237"/>
      <c r="JBL8" s="238"/>
      <c r="JBM8" s="239"/>
      <c r="JBN8" s="239"/>
      <c r="JBO8" s="59"/>
      <c r="JBQ8" s="235"/>
      <c r="JBR8" s="236"/>
      <c r="JBS8" s="63"/>
      <c r="JBT8" s="63"/>
      <c r="JBV8" s="237"/>
      <c r="JBW8" s="238"/>
      <c r="JBX8" s="239"/>
      <c r="JBY8" s="239"/>
      <c r="JBZ8" s="59"/>
      <c r="JCB8" s="235"/>
      <c r="JCC8" s="236"/>
      <c r="JCD8" s="63"/>
      <c r="JCE8" s="63"/>
      <c r="JCG8" s="237"/>
      <c r="JCH8" s="238"/>
      <c r="JCI8" s="239"/>
      <c r="JCJ8" s="239"/>
      <c r="JCK8" s="59"/>
      <c r="JCM8" s="235"/>
      <c r="JCN8" s="236"/>
      <c r="JCO8" s="63"/>
      <c r="JCP8" s="63"/>
      <c r="JCR8" s="237"/>
      <c r="JCS8" s="238"/>
      <c r="JCT8" s="239"/>
      <c r="JCU8" s="239"/>
      <c r="JCV8" s="59"/>
      <c r="JCX8" s="235"/>
      <c r="JCY8" s="236"/>
      <c r="JCZ8" s="63"/>
      <c r="JDA8" s="63"/>
      <c r="JDC8" s="237"/>
      <c r="JDD8" s="238"/>
      <c r="JDE8" s="239"/>
      <c r="JDF8" s="239"/>
      <c r="JDG8" s="59"/>
      <c r="JDI8" s="235"/>
      <c r="JDJ8" s="236"/>
      <c r="JDK8" s="63"/>
      <c r="JDL8" s="63"/>
      <c r="JDN8" s="237"/>
      <c r="JDO8" s="238"/>
      <c r="JDP8" s="239"/>
      <c r="JDQ8" s="239"/>
      <c r="JDR8" s="59"/>
      <c r="JDT8" s="235"/>
      <c r="JDU8" s="236"/>
      <c r="JDV8" s="63"/>
      <c r="JDW8" s="63"/>
      <c r="JDY8" s="237"/>
      <c r="JDZ8" s="238"/>
      <c r="JEA8" s="239"/>
      <c r="JEB8" s="239"/>
      <c r="JEC8" s="59"/>
      <c r="JEE8" s="235"/>
      <c r="JEF8" s="236"/>
      <c r="JEG8" s="63"/>
      <c r="JEH8" s="63"/>
      <c r="JEJ8" s="237"/>
      <c r="JEK8" s="238"/>
      <c r="JEL8" s="239"/>
      <c r="JEM8" s="239"/>
      <c r="JEN8" s="59"/>
      <c r="JEP8" s="235"/>
      <c r="JEQ8" s="236"/>
      <c r="JER8" s="63"/>
      <c r="JES8" s="63"/>
      <c r="JEU8" s="237"/>
      <c r="JEV8" s="238"/>
      <c r="JEW8" s="239"/>
      <c r="JEX8" s="239"/>
      <c r="JEY8" s="59"/>
      <c r="JFA8" s="235"/>
      <c r="JFB8" s="236"/>
      <c r="JFC8" s="63"/>
      <c r="JFD8" s="63"/>
      <c r="JFF8" s="237"/>
      <c r="JFG8" s="238"/>
      <c r="JFH8" s="239"/>
      <c r="JFI8" s="239"/>
      <c r="JFJ8" s="59"/>
      <c r="JFL8" s="235"/>
      <c r="JFM8" s="236"/>
      <c r="JFN8" s="63"/>
      <c r="JFO8" s="63"/>
      <c r="JFQ8" s="237"/>
      <c r="JFR8" s="238"/>
      <c r="JFS8" s="239"/>
      <c r="JFT8" s="239"/>
      <c r="JFU8" s="59"/>
      <c r="JFW8" s="235"/>
      <c r="JFX8" s="236"/>
      <c r="JFY8" s="63"/>
      <c r="JFZ8" s="63"/>
      <c r="JGB8" s="237"/>
      <c r="JGC8" s="238"/>
      <c r="JGD8" s="239"/>
      <c r="JGE8" s="239"/>
      <c r="JGF8" s="59"/>
      <c r="JGH8" s="235"/>
      <c r="JGI8" s="236"/>
      <c r="JGJ8" s="63"/>
      <c r="JGK8" s="63"/>
      <c r="JGM8" s="237"/>
      <c r="JGN8" s="238"/>
      <c r="JGO8" s="239"/>
      <c r="JGP8" s="239"/>
      <c r="JGQ8" s="59"/>
      <c r="JGS8" s="235"/>
      <c r="JGT8" s="236"/>
      <c r="JGU8" s="63"/>
      <c r="JGV8" s="63"/>
      <c r="JGX8" s="237"/>
      <c r="JGY8" s="238"/>
      <c r="JGZ8" s="239"/>
      <c r="JHA8" s="239"/>
      <c r="JHB8" s="59"/>
      <c r="JHD8" s="235"/>
      <c r="JHE8" s="236"/>
      <c r="JHF8" s="63"/>
      <c r="JHG8" s="63"/>
      <c r="JHI8" s="237"/>
      <c r="JHJ8" s="238"/>
      <c r="JHK8" s="239"/>
      <c r="JHL8" s="239"/>
      <c r="JHM8" s="59"/>
      <c r="JHO8" s="235"/>
      <c r="JHP8" s="236"/>
      <c r="JHQ8" s="63"/>
      <c r="JHR8" s="63"/>
      <c r="JHT8" s="237"/>
      <c r="JHU8" s="238"/>
      <c r="JHV8" s="239"/>
      <c r="JHW8" s="239"/>
      <c r="JHX8" s="59"/>
      <c r="JHZ8" s="235"/>
      <c r="JIA8" s="236"/>
      <c r="JIB8" s="63"/>
      <c r="JIC8" s="63"/>
      <c r="JIE8" s="237"/>
      <c r="JIF8" s="238"/>
      <c r="JIG8" s="239"/>
      <c r="JIH8" s="239"/>
      <c r="JII8" s="59"/>
      <c r="JIK8" s="235"/>
      <c r="JIL8" s="236"/>
      <c r="JIM8" s="63"/>
      <c r="JIN8" s="63"/>
      <c r="JIP8" s="237"/>
      <c r="JIQ8" s="238"/>
      <c r="JIR8" s="239"/>
      <c r="JIS8" s="239"/>
      <c r="JIT8" s="59"/>
      <c r="JIV8" s="235"/>
      <c r="JIW8" s="236"/>
      <c r="JIX8" s="63"/>
      <c r="JIY8" s="63"/>
      <c r="JJA8" s="237"/>
      <c r="JJB8" s="238"/>
      <c r="JJC8" s="239"/>
      <c r="JJD8" s="239"/>
      <c r="JJE8" s="59"/>
      <c r="JJG8" s="235"/>
      <c r="JJH8" s="236"/>
      <c r="JJI8" s="63"/>
      <c r="JJJ8" s="63"/>
      <c r="JJL8" s="237"/>
      <c r="JJM8" s="238"/>
      <c r="JJN8" s="239"/>
      <c r="JJO8" s="239"/>
      <c r="JJP8" s="59"/>
      <c r="JJR8" s="235"/>
      <c r="JJS8" s="236"/>
      <c r="JJT8" s="63"/>
      <c r="JJU8" s="63"/>
      <c r="JJW8" s="237"/>
      <c r="JJX8" s="238"/>
      <c r="JJY8" s="239"/>
      <c r="JJZ8" s="239"/>
      <c r="JKA8" s="59"/>
      <c r="JKC8" s="235"/>
      <c r="JKD8" s="236"/>
      <c r="JKE8" s="63"/>
      <c r="JKF8" s="63"/>
      <c r="JKH8" s="237"/>
      <c r="JKI8" s="238"/>
      <c r="JKJ8" s="239"/>
      <c r="JKK8" s="239"/>
      <c r="JKL8" s="59"/>
      <c r="JKN8" s="235"/>
      <c r="JKO8" s="236"/>
      <c r="JKP8" s="63"/>
      <c r="JKQ8" s="63"/>
      <c r="JKS8" s="237"/>
      <c r="JKT8" s="238"/>
      <c r="JKU8" s="239"/>
      <c r="JKV8" s="239"/>
      <c r="JKW8" s="59"/>
      <c r="JKY8" s="235"/>
      <c r="JKZ8" s="236"/>
      <c r="JLA8" s="63"/>
      <c r="JLB8" s="63"/>
      <c r="JLD8" s="237"/>
      <c r="JLE8" s="238"/>
      <c r="JLF8" s="239"/>
      <c r="JLG8" s="239"/>
      <c r="JLH8" s="59"/>
      <c r="JLJ8" s="235"/>
      <c r="JLK8" s="236"/>
      <c r="JLL8" s="63"/>
      <c r="JLM8" s="63"/>
      <c r="JLO8" s="237"/>
      <c r="JLP8" s="238"/>
      <c r="JLQ8" s="239"/>
      <c r="JLR8" s="239"/>
      <c r="JLS8" s="59"/>
      <c r="JLU8" s="235"/>
      <c r="JLV8" s="236"/>
      <c r="JLW8" s="63"/>
      <c r="JLX8" s="63"/>
      <c r="JLZ8" s="237"/>
      <c r="JMA8" s="238"/>
      <c r="JMB8" s="239"/>
      <c r="JMC8" s="239"/>
      <c r="JMD8" s="59"/>
      <c r="JMF8" s="235"/>
      <c r="JMG8" s="236"/>
      <c r="JMH8" s="63"/>
      <c r="JMI8" s="63"/>
      <c r="JMK8" s="237"/>
      <c r="JML8" s="238"/>
      <c r="JMM8" s="239"/>
      <c r="JMN8" s="239"/>
      <c r="JMO8" s="59"/>
      <c r="JMQ8" s="235"/>
      <c r="JMR8" s="236"/>
      <c r="JMS8" s="63"/>
      <c r="JMT8" s="63"/>
      <c r="JMV8" s="237"/>
      <c r="JMW8" s="238"/>
      <c r="JMX8" s="239"/>
      <c r="JMY8" s="239"/>
      <c r="JMZ8" s="59"/>
      <c r="JNB8" s="235"/>
      <c r="JNC8" s="236"/>
      <c r="JND8" s="63"/>
      <c r="JNE8" s="63"/>
      <c r="JNG8" s="237"/>
      <c r="JNH8" s="238"/>
      <c r="JNI8" s="239"/>
      <c r="JNJ8" s="239"/>
      <c r="JNK8" s="59"/>
      <c r="JNM8" s="235"/>
      <c r="JNN8" s="236"/>
      <c r="JNO8" s="63"/>
      <c r="JNP8" s="63"/>
      <c r="JNR8" s="237"/>
      <c r="JNS8" s="238"/>
      <c r="JNT8" s="239"/>
      <c r="JNU8" s="239"/>
      <c r="JNV8" s="59"/>
      <c r="JNX8" s="235"/>
      <c r="JNY8" s="236"/>
      <c r="JNZ8" s="63"/>
      <c r="JOA8" s="63"/>
      <c r="JOC8" s="237"/>
      <c r="JOD8" s="238"/>
      <c r="JOE8" s="239"/>
      <c r="JOF8" s="239"/>
      <c r="JOG8" s="59"/>
      <c r="JOI8" s="235"/>
      <c r="JOJ8" s="236"/>
      <c r="JOK8" s="63"/>
      <c r="JOL8" s="63"/>
      <c r="JON8" s="237"/>
      <c r="JOO8" s="238"/>
      <c r="JOP8" s="239"/>
      <c r="JOQ8" s="239"/>
      <c r="JOR8" s="59"/>
      <c r="JOT8" s="235"/>
      <c r="JOU8" s="236"/>
      <c r="JOV8" s="63"/>
      <c r="JOW8" s="63"/>
      <c r="JOY8" s="237"/>
      <c r="JOZ8" s="238"/>
      <c r="JPA8" s="239"/>
      <c r="JPB8" s="239"/>
      <c r="JPC8" s="59"/>
      <c r="JPE8" s="235"/>
      <c r="JPF8" s="236"/>
      <c r="JPG8" s="63"/>
      <c r="JPH8" s="63"/>
      <c r="JPJ8" s="237"/>
      <c r="JPK8" s="238"/>
      <c r="JPL8" s="239"/>
      <c r="JPM8" s="239"/>
      <c r="JPN8" s="59"/>
      <c r="JPP8" s="235"/>
      <c r="JPQ8" s="236"/>
      <c r="JPR8" s="63"/>
      <c r="JPS8" s="63"/>
      <c r="JPU8" s="237"/>
      <c r="JPV8" s="238"/>
      <c r="JPW8" s="239"/>
      <c r="JPX8" s="239"/>
      <c r="JPY8" s="59"/>
      <c r="JQA8" s="235"/>
      <c r="JQB8" s="236"/>
      <c r="JQC8" s="63"/>
      <c r="JQD8" s="63"/>
      <c r="JQF8" s="237"/>
      <c r="JQG8" s="238"/>
      <c r="JQH8" s="239"/>
      <c r="JQI8" s="239"/>
      <c r="JQJ8" s="59"/>
      <c r="JQL8" s="235"/>
      <c r="JQM8" s="236"/>
      <c r="JQN8" s="63"/>
      <c r="JQO8" s="63"/>
      <c r="JQQ8" s="237"/>
      <c r="JQR8" s="238"/>
      <c r="JQS8" s="239"/>
      <c r="JQT8" s="239"/>
      <c r="JQU8" s="59"/>
      <c r="JQW8" s="235"/>
      <c r="JQX8" s="236"/>
      <c r="JQY8" s="63"/>
      <c r="JQZ8" s="63"/>
      <c r="JRB8" s="237"/>
      <c r="JRC8" s="238"/>
      <c r="JRD8" s="239"/>
      <c r="JRE8" s="239"/>
      <c r="JRF8" s="59"/>
      <c r="JRH8" s="235"/>
      <c r="JRI8" s="236"/>
      <c r="JRJ8" s="63"/>
      <c r="JRK8" s="63"/>
      <c r="JRM8" s="237"/>
      <c r="JRN8" s="238"/>
      <c r="JRO8" s="239"/>
      <c r="JRP8" s="239"/>
      <c r="JRQ8" s="59"/>
      <c r="JRS8" s="235"/>
      <c r="JRT8" s="236"/>
      <c r="JRU8" s="63"/>
      <c r="JRV8" s="63"/>
      <c r="JRX8" s="237"/>
      <c r="JRY8" s="238"/>
      <c r="JRZ8" s="239"/>
      <c r="JSA8" s="239"/>
      <c r="JSB8" s="59"/>
      <c r="JSD8" s="235"/>
      <c r="JSE8" s="236"/>
      <c r="JSF8" s="63"/>
      <c r="JSG8" s="63"/>
      <c r="JSI8" s="237"/>
      <c r="JSJ8" s="238"/>
      <c r="JSK8" s="239"/>
      <c r="JSL8" s="239"/>
      <c r="JSM8" s="59"/>
      <c r="JSO8" s="235"/>
      <c r="JSP8" s="236"/>
      <c r="JSQ8" s="63"/>
      <c r="JSR8" s="63"/>
      <c r="JST8" s="237"/>
      <c r="JSU8" s="238"/>
      <c r="JSV8" s="239"/>
      <c r="JSW8" s="239"/>
      <c r="JSX8" s="59"/>
      <c r="JSZ8" s="235"/>
      <c r="JTA8" s="236"/>
      <c r="JTB8" s="63"/>
      <c r="JTC8" s="63"/>
      <c r="JTE8" s="237"/>
      <c r="JTF8" s="238"/>
      <c r="JTG8" s="239"/>
      <c r="JTH8" s="239"/>
      <c r="JTI8" s="59"/>
      <c r="JTK8" s="235"/>
      <c r="JTL8" s="236"/>
      <c r="JTM8" s="63"/>
      <c r="JTN8" s="63"/>
      <c r="JTP8" s="237"/>
      <c r="JTQ8" s="238"/>
      <c r="JTR8" s="239"/>
      <c r="JTS8" s="239"/>
      <c r="JTT8" s="59"/>
      <c r="JTV8" s="235"/>
      <c r="JTW8" s="236"/>
      <c r="JTX8" s="63"/>
      <c r="JTY8" s="63"/>
      <c r="JUA8" s="237"/>
      <c r="JUB8" s="238"/>
      <c r="JUC8" s="239"/>
      <c r="JUD8" s="239"/>
      <c r="JUE8" s="59"/>
      <c r="JUG8" s="235"/>
      <c r="JUH8" s="236"/>
      <c r="JUI8" s="63"/>
      <c r="JUJ8" s="63"/>
      <c r="JUL8" s="237"/>
      <c r="JUM8" s="238"/>
      <c r="JUN8" s="239"/>
      <c r="JUO8" s="239"/>
      <c r="JUP8" s="59"/>
      <c r="JUR8" s="235"/>
      <c r="JUS8" s="236"/>
      <c r="JUT8" s="63"/>
      <c r="JUU8" s="63"/>
      <c r="JUW8" s="237"/>
      <c r="JUX8" s="238"/>
      <c r="JUY8" s="239"/>
      <c r="JUZ8" s="239"/>
      <c r="JVA8" s="59"/>
      <c r="JVC8" s="235"/>
      <c r="JVD8" s="236"/>
      <c r="JVE8" s="63"/>
      <c r="JVF8" s="63"/>
      <c r="JVH8" s="237"/>
      <c r="JVI8" s="238"/>
      <c r="JVJ8" s="239"/>
      <c r="JVK8" s="239"/>
      <c r="JVL8" s="59"/>
      <c r="JVN8" s="235"/>
      <c r="JVO8" s="236"/>
      <c r="JVP8" s="63"/>
      <c r="JVQ8" s="63"/>
      <c r="JVS8" s="237"/>
      <c r="JVT8" s="238"/>
      <c r="JVU8" s="239"/>
      <c r="JVV8" s="239"/>
      <c r="JVW8" s="59"/>
      <c r="JVY8" s="235"/>
      <c r="JVZ8" s="236"/>
      <c r="JWA8" s="63"/>
      <c r="JWB8" s="63"/>
      <c r="JWD8" s="237"/>
      <c r="JWE8" s="238"/>
      <c r="JWF8" s="239"/>
      <c r="JWG8" s="239"/>
      <c r="JWH8" s="59"/>
      <c r="JWJ8" s="235"/>
      <c r="JWK8" s="236"/>
      <c r="JWL8" s="63"/>
      <c r="JWM8" s="63"/>
      <c r="JWO8" s="237"/>
      <c r="JWP8" s="238"/>
      <c r="JWQ8" s="239"/>
      <c r="JWR8" s="239"/>
      <c r="JWS8" s="59"/>
      <c r="JWU8" s="235"/>
      <c r="JWV8" s="236"/>
      <c r="JWW8" s="63"/>
      <c r="JWX8" s="63"/>
      <c r="JWZ8" s="237"/>
      <c r="JXA8" s="238"/>
      <c r="JXB8" s="239"/>
      <c r="JXC8" s="239"/>
      <c r="JXD8" s="59"/>
      <c r="JXF8" s="235"/>
      <c r="JXG8" s="236"/>
      <c r="JXH8" s="63"/>
      <c r="JXI8" s="63"/>
      <c r="JXK8" s="237"/>
      <c r="JXL8" s="238"/>
      <c r="JXM8" s="239"/>
      <c r="JXN8" s="239"/>
      <c r="JXO8" s="59"/>
      <c r="JXQ8" s="235"/>
      <c r="JXR8" s="236"/>
      <c r="JXS8" s="63"/>
      <c r="JXT8" s="63"/>
      <c r="JXV8" s="237"/>
      <c r="JXW8" s="238"/>
      <c r="JXX8" s="239"/>
      <c r="JXY8" s="239"/>
      <c r="JXZ8" s="59"/>
      <c r="JYB8" s="235"/>
      <c r="JYC8" s="236"/>
      <c r="JYD8" s="63"/>
      <c r="JYE8" s="63"/>
      <c r="JYG8" s="237"/>
      <c r="JYH8" s="238"/>
      <c r="JYI8" s="239"/>
      <c r="JYJ8" s="239"/>
      <c r="JYK8" s="59"/>
      <c r="JYM8" s="235"/>
      <c r="JYN8" s="236"/>
      <c r="JYO8" s="63"/>
      <c r="JYP8" s="63"/>
      <c r="JYR8" s="237"/>
      <c r="JYS8" s="238"/>
      <c r="JYT8" s="239"/>
      <c r="JYU8" s="239"/>
      <c r="JYV8" s="59"/>
      <c r="JYX8" s="235"/>
      <c r="JYY8" s="236"/>
      <c r="JYZ8" s="63"/>
      <c r="JZA8" s="63"/>
      <c r="JZC8" s="237"/>
      <c r="JZD8" s="238"/>
      <c r="JZE8" s="239"/>
      <c r="JZF8" s="239"/>
      <c r="JZG8" s="59"/>
      <c r="JZI8" s="235"/>
      <c r="JZJ8" s="236"/>
      <c r="JZK8" s="63"/>
      <c r="JZL8" s="63"/>
      <c r="JZN8" s="237"/>
      <c r="JZO8" s="238"/>
      <c r="JZP8" s="239"/>
      <c r="JZQ8" s="239"/>
      <c r="JZR8" s="59"/>
      <c r="JZT8" s="235"/>
      <c r="JZU8" s="236"/>
      <c r="JZV8" s="63"/>
      <c r="JZW8" s="63"/>
      <c r="JZY8" s="237"/>
      <c r="JZZ8" s="238"/>
      <c r="KAA8" s="239"/>
      <c r="KAB8" s="239"/>
      <c r="KAC8" s="59"/>
      <c r="KAE8" s="235"/>
      <c r="KAF8" s="236"/>
      <c r="KAG8" s="63"/>
      <c r="KAH8" s="63"/>
      <c r="KAJ8" s="237"/>
      <c r="KAK8" s="238"/>
      <c r="KAL8" s="239"/>
      <c r="KAM8" s="239"/>
      <c r="KAN8" s="59"/>
      <c r="KAP8" s="235"/>
      <c r="KAQ8" s="236"/>
      <c r="KAR8" s="63"/>
      <c r="KAS8" s="63"/>
      <c r="KAU8" s="237"/>
      <c r="KAV8" s="238"/>
      <c r="KAW8" s="239"/>
      <c r="KAX8" s="239"/>
      <c r="KAY8" s="59"/>
      <c r="KBA8" s="235"/>
      <c r="KBB8" s="236"/>
      <c r="KBC8" s="63"/>
      <c r="KBD8" s="63"/>
      <c r="KBF8" s="237"/>
      <c r="KBG8" s="238"/>
      <c r="KBH8" s="239"/>
      <c r="KBI8" s="239"/>
      <c r="KBJ8" s="59"/>
      <c r="KBL8" s="235"/>
      <c r="KBM8" s="236"/>
      <c r="KBN8" s="63"/>
      <c r="KBO8" s="63"/>
      <c r="KBQ8" s="237"/>
      <c r="KBR8" s="238"/>
      <c r="KBS8" s="239"/>
      <c r="KBT8" s="239"/>
      <c r="KBU8" s="59"/>
      <c r="KBW8" s="235"/>
      <c r="KBX8" s="236"/>
      <c r="KBY8" s="63"/>
      <c r="KBZ8" s="63"/>
      <c r="KCB8" s="237"/>
      <c r="KCC8" s="238"/>
      <c r="KCD8" s="239"/>
      <c r="KCE8" s="239"/>
      <c r="KCF8" s="59"/>
      <c r="KCH8" s="235"/>
      <c r="KCI8" s="236"/>
      <c r="KCJ8" s="63"/>
      <c r="KCK8" s="63"/>
      <c r="KCM8" s="237"/>
      <c r="KCN8" s="238"/>
      <c r="KCO8" s="239"/>
      <c r="KCP8" s="239"/>
      <c r="KCQ8" s="59"/>
      <c r="KCS8" s="235"/>
      <c r="KCT8" s="236"/>
      <c r="KCU8" s="63"/>
      <c r="KCV8" s="63"/>
      <c r="KCX8" s="237"/>
      <c r="KCY8" s="238"/>
      <c r="KCZ8" s="239"/>
      <c r="KDA8" s="239"/>
      <c r="KDB8" s="59"/>
      <c r="KDD8" s="235"/>
      <c r="KDE8" s="236"/>
      <c r="KDF8" s="63"/>
      <c r="KDG8" s="63"/>
      <c r="KDI8" s="237"/>
      <c r="KDJ8" s="238"/>
      <c r="KDK8" s="239"/>
      <c r="KDL8" s="239"/>
      <c r="KDM8" s="59"/>
      <c r="KDO8" s="235"/>
      <c r="KDP8" s="236"/>
      <c r="KDQ8" s="63"/>
      <c r="KDR8" s="63"/>
      <c r="KDT8" s="237"/>
      <c r="KDU8" s="238"/>
      <c r="KDV8" s="239"/>
      <c r="KDW8" s="239"/>
      <c r="KDX8" s="59"/>
      <c r="KDZ8" s="235"/>
      <c r="KEA8" s="236"/>
      <c r="KEB8" s="63"/>
      <c r="KEC8" s="63"/>
      <c r="KEE8" s="237"/>
      <c r="KEF8" s="238"/>
      <c r="KEG8" s="239"/>
      <c r="KEH8" s="239"/>
      <c r="KEI8" s="59"/>
      <c r="KEK8" s="235"/>
      <c r="KEL8" s="236"/>
      <c r="KEM8" s="63"/>
      <c r="KEN8" s="63"/>
      <c r="KEP8" s="237"/>
      <c r="KEQ8" s="238"/>
      <c r="KER8" s="239"/>
      <c r="KES8" s="239"/>
      <c r="KET8" s="59"/>
      <c r="KEV8" s="235"/>
      <c r="KEW8" s="236"/>
      <c r="KEX8" s="63"/>
      <c r="KEY8" s="63"/>
      <c r="KFA8" s="237"/>
      <c r="KFB8" s="238"/>
      <c r="KFC8" s="239"/>
      <c r="KFD8" s="239"/>
      <c r="KFE8" s="59"/>
      <c r="KFG8" s="235"/>
      <c r="KFH8" s="236"/>
      <c r="KFI8" s="63"/>
      <c r="KFJ8" s="63"/>
      <c r="KFL8" s="237"/>
      <c r="KFM8" s="238"/>
      <c r="KFN8" s="239"/>
      <c r="KFO8" s="239"/>
      <c r="KFP8" s="59"/>
      <c r="KFR8" s="235"/>
      <c r="KFS8" s="236"/>
      <c r="KFT8" s="63"/>
      <c r="KFU8" s="63"/>
      <c r="KFW8" s="237"/>
      <c r="KFX8" s="238"/>
      <c r="KFY8" s="239"/>
      <c r="KFZ8" s="239"/>
      <c r="KGA8" s="59"/>
      <c r="KGC8" s="235"/>
      <c r="KGD8" s="236"/>
      <c r="KGE8" s="63"/>
      <c r="KGF8" s="63"/>
      <c r="KGH8" s="237"/>
      <c r="KGI8" s="238"/>
      <c r="KGJ8" s="239"/>
      <c r="KGK8" s="239"/>
      <c r="KGL8" s="59"/>
      <c r="KGN8" s="235"/>
      <c r="KGO8" s="236"/>
      <c r="KGP8" s="63"/>
      <c r="KGQ8" s="63"/>
      <c r="KGS8" s="237"/>
      <c r="KGT8" s="238"/>
      <c r="KGU8" s="239"/>
      <c r="KGV8" s="239"/>
      <c r="KGW8" s="59"/>
      <c r="KGY8" s="235"/>
      <c r="KGZ8" s="236"/>
      <c r="KHA8" s="63"/>
      <c r="KHB8" s="63"/>
      <c r="KHD8" s="237"/>
      <c r="KHE8" s="238"/>
      <c r="KHF8" s="239"/>
      <c r="KHG8" s="239"/>
      <c r="KHH8" s="59"/>
      <c r="KHJ8" s="235"/>
      <c r="KHK8" s="236"/>
      <c r="KHL8" s="63"/>
      <c r="KHM8" s="63"/>
      <c r="KHO8" s="237"/>
      <c r="KHP8" s="238"/>
      <c r="KHQ8" s="239"/>
      <c r="KHR8" s="239"/>
      <c r="KHS8" s="59"/>
      <c r="KHU8" s="235"/>
      <c r="KHV8" s="236"/>
      <c r="KHW8" s="63"/>
      <c r="KHX8" s="63"/>
      <c r="KHZ8" s="237"/>
      <c r="KIA8" s="238"/>
      <c r="KIB8" s="239"/>
      <c r="KIC8" s="239"/>
      <c r="KID8" s="59"/>
      <c r="KIF8" s="235"/>
      <c r="KIG8" s="236"/>
      <c r="KIH8" s="63"/>
      <c r="KII8" s="63"/>
      <c r="KIK8" s="237"/>
      <c r="KIL8" s="238"/>
      <c r="KIM8" s="239"/>
      <c r="KIN8" s="239"/>
      <c r="KIO8" s="59"/>
      <c r="KIQ8" s="235"/>
      <c r="KIR8" s="236"/>
      <c r="KIS8" s="63"/>
      <c r="KIT8" s="63"/>
      <c r="KIV8" s="237"/>
      <c r="KIW8" s="238"/>
      <c r="KIX8" s="239"/>
      <c r="KIY8" s="239"/>
      <c r="KIZ8" s="59"/>
      <c r="KJB8" s="235"/>
      <c r="KJC8" s="236"/>
      <c r="KJD8" s="63"/>
      <c r="KJE8" s="63"/>
      <c r="KJG8" s="237"/>
      <c r="KJH8" s="238"/>
      <c r="KJI8" s="239"/>
      <c r="KJJ8" s="239"/>
      <c r="KJK8" s="59"/>
      <c r="KJM8" s="235"/>
      <c r="KJN8" s="236"/>
      <c r="KJO8" s="63"/>
      <c r="KJP8" s="63"/>
      <c r="KJR8" s="237"/>
      <c r="KJS8" s="238"/>
      <c r="KJT8" s="239"/>
      <c r="KJU8" s="239"/>
      <c r="KJV8" s="59"/>
      <c r="KJX8" s="235"/>
      <c r="KJY8" s="236"/>
      <c r="KJZ8" s="63"/>
      <c r="KKA8" s="63"/>
      <c r="KKC8" s="237"/>
      <c r="KKD8" s="238"/>
      <c r="KKE8" s="239"/>
      <c r="KKF8" s="239"/>
      <c r="KKG8" s="59"/>
      <c r="KKI8" s="235"/>
      <c r="KKJ8" s="236"/>
      <c r="KKK8" s="63"/>
      <c r="KKL8" s="63"/>
      <c r="KKN8" s="237"/>
      <c r="KKO8" s="238"/>
      <c r="KKP8" s="239"/>
      <c r="KKQ8" s="239"/>
      <c r="KKR8" s="59"/>
      <c r="KKT8" s="235"/>
      <c r="KKU8" s="236"/>
      <c r="KKV8" s="63"/>
      <c r="KKW8" s="63"/>
      <c r="KKY8" s="237"/>
      <c r="KKZ8" s="238"/>
      <c r="KLA8" s="239"/>
      <c r="KLB8" s="239"/>
      <c r="KLC8" s="59"/>
      <c r="KLE8" s="235"/>
      <c r="KLF8" s="236"/>
      <c r="KLG8" s="63"/>
      <c r="KLH8" s="63"/>
      <c r="KLJ8" s="237"/>
      <c r="KLK8" s="238"/>
      <c r="KLL8" s="239"/>
      <c r="KLM8" s="239"/>
      <c r="KLN8" s="59"/>
      <c r="KLP8" s="235"/>
      <c r="KLQ8" s="236"/>
      <c r="KLR8" s="63"/>
      <c r="KLS8" s="63"/>
      <c r="KLU8" s="237"/>
      <c r="KLV8" s="238"/>
      <c r="KLW8" s="239"/>
      <c r="KLX8" s="239"/>
      <c r="KLY8" s="59"/>
      <c r="KMA8" s="235"/>
      <c r="KMB8" s="236"/>
      <c r="KMC8" s="63"/>
      <c r="KMD8" s="63"/>
      <c r="KMF8" s="237"/>
      <c r="KMG8" s="238"/>
      <c r="KMH8" s="239"/>
      <c r="KMI8" s="239"/>
      <c r="KMJ8" s="59"/>
      <c r="KML8" s="235"/>
      <c r="KMM8" s="236"/>
      <c r="KMN8" s="63"/>
      <c r="KMO8" s="63"/>
      <c r="KMQ8" s="237"/>
      <c r="KMR8" s="238"/>
      <c r="KMS8" s="239"/>
      <c r="KMT8" s="239"/>
      <c r="KMU8" s="59"/>
      <c r="KMW8" s="235"/>
      <c r="KMX8" s="236"/>
      <c r="KMY8" s="63"/>
      <c r="KMZ8" s="63"/>
      <c r="KNB8" s="237"/>
      <c r="KNC8" s="238"/>
      <c r="KND8" s="239"/>
      <c r="KNE8" s="239"/>
      <c r="KNF8" s="59"/>
      <c r="KNH8" s="235"/>
      <c r="KNI8" s="236"/>
      <c r="KNJ8" s="63"/>
      <c r="KNK8" s="63"/>
      <c r="KNM8" s="237"/>
      <c r="KNN8" s="238"/>
      <c r="KNO8" s="239"/>
      <c r="KNP8" s="239"/>
      <c r="KNQ8" s="59"/>
      <c r="KNS8" s="235"/>
      <c r="KNT8" s="236"/>
      <c r="KNU8" s="63"/>
      <c r="KNV8" s="63"/>
      <c r="KNX8" s="237"/>
      <c r="KNY8" s="238"/>
      <c r="KNZ8" s="239"/>
      <c r="KOA8" s="239"/>
      <c r="KOB8" s="59"/>
      <c r="KOD8" s="235"/>
      <c r="KOE8" s="236"/>
      <c r="KOF8" s="63"/>
      <c r="KOG8" s="63"/>
      <c r="KOI8" s="237"/>
      <c r="KOJ8" s="238"/>
      <c r="KOK8" s="239"/>
      <c r="KOL8" s="239"/>
      <c r="KOM8" s="59"/>
      <c r="KOO8" s="235"/>
      <c r="KOP8" s="236"/>
      <c r="KOQ8" s="63"/>
      <c r="KOR8" s="63"/>
      <c r="KOT8" s="237"/>
      <c r="KOU8" s="238"/>
      <c r="KOV8" s="239"/>
      <c r="KOW8" s="239"/>
      <c r="KOX8" s="59"/>
      <c r="KOZ8" s="235"/>
      <c r="KPA8" s="236"/>
      <c r="KPB8" s="63"/>
      <c r="KPC8" s="63"/>
      <c r="KPE8" s="237"/>
      <c r="KPF8" s="238"/>
      <c r="KPG8" s="239"/>
      <c r="KPH8" s="239"/>
      <c r="KPI8" s="59"/>
      <c r="KPK8" s="235"/>
      <c r="KPL8" s="236"/>
      <c r="KPM8" s="63"/>
      <c r="KPN8" s="63"/>
      <c r="KPP8" s="237"/>
      <c r="KPQ8" s="238"/>
      <c r="KPR8" s="239"/>
      <c r="KPS8" s="239"/>
      <c r="KPT8" s="59"/>
      <c r="KPV8" s="235"/>
      <c r="KPW8" s="236"/>
      <c r="KPX8" s="63"/>
      <c r="KPY8" s="63"/>
      <c r="KQA8" s="237"/>
      <c r="KQB8" s="238"/>
      <c r="KQC8" s="239"/>
      <c r="KQD8" s="239"/>
      <c r="KQE8" s="59"/>
      <c r="KQG8" s="235"/>
      <c r="KQH8" s="236"/>
      <c r="KQI8" s="63"/>
      <c r="KQJ8" s="63"/>
      <c r="KQL8" s="237"/>
      <c r="KQM8" s="238"/>
      <c r="KQN8" s="239"/>
      <c r="KQO8" s="239"/>
      <c r="KQP8" s="59"/>
      <c r="KQR8" s="235"/>
      <c r="KQS8" s="236"/>
      <c r="KQT8" s="63"/>
      <c r="KQU8" s="63"/>
      <c r="KQW8" s="237"/>
      <c r="KQX8" s="238"/>
      <c r="KQY8" s="239"/>
      <c r="KQZ8" s="239"/>
      <c r="KRA8" s="59"/>
      <c r="KRC8" s="235"/>
      <c r="KRD8" s="236"/>
      <c r="KRE8" s="63"/>
      <c r="KRF8" s="63"/>
      <c r="KRH8" s="237"/>
      <c r="KRI8" s="238"/>
      <c r="KRJ8" s="239"/>
      <c r="KRK8" s="239"/>
      <c r="KRL8" s="59"/>
      <c r="KRN8" s="235"/>
      <c r="KRO8" s="236"/>
      <c r="KRP8" s="63"/>
      <c r="KRQ8" s="63"/>
      <c r="KRS8" s="237"/>
      <c r="KRT8" s="238"/>
      <c r="KRU8" s="239"/>
      <c r="KRV8" s="239"/>
      <c r="KRW8" s="59"/>
      <c r="KRY8" s="235"/>
      <c r="KRZ8" s="236"/>
      <c r="KSA8" s="63"/>
      <c r="KSB8" s="63"/>
      <c r="KSD8" s="237"/>
      <c r="KSE8" s="238"/>
      <c r="KSF8" s="239"/>
      <c r="KSG8" s="239"/>
      <c r="KSH8" s="59"/>
      <c r="KSJ8" s="235"/>
      <c r="KSK8" s="236"/>
      <c r="KSL8" s="63"/>
      <c r="KSM8" s="63"/>
      <c r="KSO8" s="237"/>
      <c r="KSP8" s="238"/>
      <c r="KSQ8" s="239"/>
      <c r="KSR8" s="239"/>
      <c r="KSS8" s="59"/>
      <c r="KSU8" s="235"/>
      <c r="KSV8" s="236"/>
      <c r="KSW8" s="63"/>
      <c r="KSX8" s="63"/>
      <c r="KSZ8" s="237"/>
      <c r="KTA8" s="238"/>
      <c r="KTB8" s="239"/>
      <c r="KTC8" s="239"/>
      <c r="KTD8" s="59"/>
      <c r="KTF8" s="235"/>
      <c r="KTG8" s="236"/>
      <c r="KTH8" s="63"/>
      <c r="KTI8" s="63"/>
      <c r="KTK8" s="237"/>
      <c r="KTL8" s="238"/>
      <c r="KTM8" s="239"/>
      <c r="KTN8" s="239"/>
      <c r="KTO8" s="59"/>
      <c r="KTQ8" s="235"/>
      <c r="KTR8" s="236"/>
      <c r="KTS8" s="63"/>
      <c r="KTT8" s="63"/>
      <c r="KTV8" s="237"/>
      <c r="KTW8" s="238"/>
      <c r="KTX8" s="239"/>
      <c r="KTY8" s="239"/>
      <c r="KTZ8" s="59"/>
      <c r="KUB8" s="235"/>
      <c r="KUC8" s="236"/>
      <c r="KUD8" s="63"/>
      <c r="KUE8" s="63"/>
      <c r="KUG8" s="237"/>
      <c r="KUH8" s="238"/>
      <c r="KUI8" s="239"/>
      <c r="KUJ8" s="239"/>
      <c r="KUK8" s="59"/>
      <c r="KUM8" s="235"/>
      <c r="KUN8" s="236"/>
      <c r="KUO8" s="63"/>
      <c r="KUP8" s="63"/>
      <c r="KUR8" s="237"/>
      <c r="KUS8" s="238"/>
      <c r="KUT8" s="239"/>
      <c r="KUU8" s="239"/>
      <c r="KUV8" s="59"/>
      <c r="KUX8" s="235"/>
      <c r="KUY8" s="236"/>
      <c r="KUZ8" s="63"/>
      <c r="KVA8" s="63"/>
      <c r="KVC8" s="237"/>
      <c r="KVD8" s="238"/>
      <c r="KVE8" s="239"/>
      <c r="KVF8" s="239"/>
      <c r="KVG8" s="59"/>
      <c r="KVI8" s="235"/>
      <c r="KVJ8" s="236"/>
      <c r="KVK8" s="63"/>
      <c r="KVL8" s="63"/>
      <c r="KVN8" s="237"/>
      <c r="KVO8" s="238"/>
      <c r="KVP8" s="239"/>
      <c r="KVQ8" s="239"/>
      <c r="KVR8" s="59"/>
      <c r="KVT8" s="235"/>
      <c r="KVU8" s="236"/>
      <c r="KVV8" s="63"/>
      <c r="KVW8" s="63"/>
      <c r="KVY8" s="237"/>
      <c r="KVZ8" s="238"/>
      <c r="KWA8" s="239"/>
      <c r="KWB8" s="239"/>
      <c r="KWC8" s="59"/>
      <c r="KWE8" s="235"/>
      <c r="KWF8" s="236"/>
      <c r="KWG8" s="63"/>
      <c r="KWH8" s="63"/>
      <c r="KWJ8" s="237"/>
      <c r="KWK8" s="238"/>
      <c r="KWL8" s="239"/>
      <c r="KWM8" s="239"/>
      <c r="KWN8" s="59"/>
      <c r="KWP8" s="235"/>
      <c r="KWQ8" s="236"/>
      <c r="KWR8" s="63"/>
      <c r="KWS8" s="63"/>
      <c r="KWU8" s="237"/>
      <c r="KWV8" s="238"/>
      <c r="KWW8" s="239"/>
      <c r="KWX8" s="239"/>
      <c r="KWY8" s="59"/>
      <c r="KXA8" s="235"/>
      <c r="KXB8" s="236"/>
      <c r="KXC8" s="63"/>
      <c r="KXD8" s="63"/>
      <c r="KXF8" s="237"/>
      <c r="KXG8" s="238"/>
      <c r="KXH8" s="239"/>
      <c r="KXI8" s="239"/>
      <c r="KXJ8" s="59"/>
      <c r="KXL8" s="235"/>
      <c r="KXM8" s="236"/>
      <c r="KXN8" s="63"/>
      <c r="KXO8" s="63"/>
      <c r="KXQ8" s="237"/>
      <c r="KXR8" s="238"/>
      <c r="KXS8" s="239"/>
      <c r="KXT8" s="239"/>
      <c r="KXU8" s="59"/>
      <c r="KXW8" s="235"/>
      <c r="KXX8" s="236"/>
      <c r="KXY8" s="63"/>
      <c r="KXZ8" s="63"/>
      <c r="KYB8" s="237"/>
      <c r="KYC8" s="238"/>
      <c r="KYD8" s="239"/>
      <c r="KYE8" s="239"/>
      <c r="KYF8" s="59"/>
      <c r="KYH8" s="235"/>
      <c r="KYI8" s="236"/>
      <c r="KYJ8" s="63"/>
      <c r="KYK8" s="63"/>
      <c r="KYM8" s="237"/>
      <c r="KYN8" s="238"/>
      <c r="KYO8" s="239"/>
      <c r="KYP8" s="239"/>
      <c r="KYQ8" s="59"/>
      <c r="KYS8" s="235"/>
      <c r="KYT8" s="236"/>
      <c r="KYU8" s="63"/>
      <c r="KYV8" s="63"/>
      <c r="KYX8" s="237"/>
      <c r="KYY8" s="238"/>
      <c r="KYZ8" s="239"/>
      <c r="KZA8" s="239"/>
      <c r="KZB8" s="59"/>
      <c r="KZD8" s="235"/>
      <c r="KZE8" s="236"/>
      <c r="KZF8" s="63"/>
      <c r="KZG8" s="63"/>
      <c r="KZI8" s="237"/>
      <c r="KZJ8" s="238"/>
      <c r="KZK8" s="239"/>
      <c r="KZL8" s="239"/>
      <c r="KZM8" s="59"/>
      <c r="KZO8" s="235"/>
      <c r="KZP8" s="236"/>
      <c r="KZQ8" s="63"/>
      <c r="KZR8" s="63"/>
      <c r="KZT8" s="237"/>
      <c r="KZU8" s="238"/>
      <c r="KZV8" s="239"/>
      <c r="KZW8" s="239"/>
      <c r="KZX8" s="59"/>
      <c r="KZZ8" s="235"/>
      <c r="LAA8" s="236"/>
      <c r="LAB8" s="63"/>
      <c r="LAC8" s="63"/>
      <c r="LAE8" s="237"/>
      <c r="LAF8" s="238"/>
      <c r="LAG8" s="239"/>
      <c r="LAH8" s="239"/>
      <c r="LAI8" s="59"/>
      <c r="LAK8" s="235"/>
      <c r="LAL8" s="236"/>
      <c r="LAM8" s="63"/>
      <c r="LAN8" s="63"/>
      <c r="LAP8" s="237"/>
      <c r="LAQ8" s="238"/>
      <c r="LAR8" s="239"/>
      <c r="LAS8" s="239"/>
      <c r="LAT8" s="59"/>
      <c r="LAV8" s="235"/>
      <c r="LAW8" s="236"/>
      <c r="LAX8" s="63"/>
      <c r="LAY8" s="63"/>
      <c r="LBA8" s="237"/>
      <c r="LBB8" s="238"/>
      <c r="LBC8" s="239"/>
      <c r="LBD8" s="239"/>
      <c r="LBE8" s="59"/>
      <c r="LBG8" s="235"/>
      <c r="LBH8" s="236"/>
      <c r="LBI8" s="63"/>
      <c r="LBJ8" s="63"/>
      <c r="LBL8" s="237"/>
      <c r="LBM8" s="238"/>
      <c r="LBN8" s="239"/>
      <c r="LBO8" s="239"/>
      <c r="LBP8" s="59"/>
      <c r="LBR8" s="235"/>
      <c r="LBS8" s="236"/>
      <c r="LBT8" s="63"/>
      <c r="LBU8" s="63"/>
      <c r="LBW8" s="237"/>
      <c r="LBX8" s="238"/>
      <c r="LBY8" s="239"/>
      <c r="LBZ8" s="239"/>
      <c r="LCA8" s="59"/>
      <c r="LCC8" s="235"/>
      <c r="LCD8" s="236"/>
      <c r="LCE8" s="63"/>
      <c r="LCF8" s="63"/>
      <c r="LCH8" s="237"/>
      <c r="LCI8" s="238"/>
      <c r="LCJ8" s="239"/>
      <c r="LCK8" s="239"/>
      <c r="LCL8" s="59"/>
      <c r="LCN8" s="235"/>
      <c r="LCO8" s="236"/>
      <c r="LCP8" s="63"/>
      <c r="LCQ8" s="63"/>
      <c r="LCS8" s="237"/>
      <c r="LCT8" s="238"/>
      <c r="LCU8" s="239"/>
      <c r="LCV8" s="239"/>
      <c r="LCW8" s="59"/>
      <c r="LCY8" s="235"/>
      <c r="LCZ8" s="236"/>
      <c r="LDA8" s="63"/>
      <c r="LDB8" s="63"/>
      <c r="LDD8" s="237"/>
      <c r="LDE8" s="238"/>
      <c r="LDF8" s="239"/>
      <c r="LDG8" s="239"/>
      <c r="LDH8" s="59"/>
      <c r="LDJ8" s="235"/>
      <c r="LDK8" s="236"/>
      <c r="LDL8" s="63"/>
      <c r="LDM8" s="63"/>
      <c r="LDO8" s="237"/>
      <c r="LDP8" s="238"/>
      <c r="LDQ8" s="239"/>
      <c r="LDR8" s="239"/>
      <c r="LDS8" s="59"/>
      <c r="LDU8" s="235"/>
      <c r="LDV8" s="236"/>
      <c r="LDW8" s="63"/>
      <c r="LDX8" s="63"/>
      <c r="LDZ8" s="237"/>
      <c r="LEA8" s="238"/>
      <c r="LEB8" s="239"/>
      <c r="LEC8" s="239"/>
      <c r="LED8" s="59"/>
      <c r="LEF8" s="235"/>
      <c r="LEG8" s="236"/>
      <c r="LEH8" s="63"/>
      <c r="LEI8" s="63"/>
      <c r="LEK8" s="237"/>
      <c r="LEL8" s="238"/>
      <c r="LEM8" s="239"/>
      <c r="LEN8" s="239"/>
      <c r="LEO8" s="59"/>
      <c r="LEQ8" s="235"/>
      <c r="LER8" s="236"/>
      <c r="LES8" s="63"/>
      <c r="LET8" s="63"/>
      <c r="LEV8" s="237"/>
      <c r="LEW8" s="238"/>
      <c r="LEX8" s="239"/>
      <c r="LEY8" s="239"/>
      <c r="LEZ8" s="59"/>
      <c r="LFB8" s="235"/>
      <c r="LFC8" s="236"/>
      <c r="LFD8" s="63"/>
      <c r="LFE8" s="63"/>
      <c r="LFG8" s="237"/>
      <c r="LFH8" s="238"/>
      <c r="LFI8" s="239"/>
      <c r="LFJ8" s="239"/>
      <c r="LFK8" s="59"/>
      <c r="LFM8" s="235"/>
      <c r="LFN8" s="236"/>
      <c r="LFO8" s="63"/>
      <c r="LFP8" s="63"/>
      <c r="LFR8" s="237"/>
      <c r="LFS8" s="238"/>
      <c r="LFT8" s="239"/>
      <c r="LFU8" s="239"/>
      <c r="LFV8" s="59"/>
      <c r="LFX8" s="235"/>
      <c r="LFY8" s="236"/>
      <c r="LFZ8" s="63"/>
      <c r="LGA8" s="63"/>
      <c r="LGC8" s="237"/>
      <c r="LGD8" s="238"/>
      <c r="LGE8" s="239"/>
      <c r="LGF8" s="239"/>
      <c r="LGG8" s="59"/>
      <c r="LGI8" s="235"/>
      <c r="LGJ8" s="236"/>
      <c r="LGK8" s="63"/>
      <c r="LGL8" s="63"/>
      <c r="LGN8" s="237"/>
      <c r="LGO8" s="238"/>
      <c r="LGP8" s="239"/>
      <c r="LGQ8" s="239"/>
      <c r="LGR8" s="59"/>
      <c r="LGT8" s="235"/>
      <c r="LGU8" s="236"/>
      <c r="LGV8" s="63"/>
      <c r="LGW8" s="63"/>
      <c r="LGY8" s="237"/>
      <c r="LGZ8" s="238"/>
      <c r="LHA8" s="239"/>
      <c r="LHB8" s="239"/>
      <c r="LHC8" s="59"/>
      <c r="LHE8" s="235"/>
      <c r="LHF8" s="236"/>
      <c r="LHG8" s="63"/>
      <c r="LHH8" s="63"/>
      <c r="LHJ8" s="237"/>
      <c r="LHK8" s="238"/>
      <c r="LHL8" s="239"/>
      <c r="LHM8" s="239"/>
      <c r="LHN8" s="59"/>
      <c r="LHP8" s="235"/>
      <c r="LHQ8" s="236"/>
      <c r="LHR8" s="63"/>
      <c r="LHS8" s="63"/>
      <c r="LHU8" s="237"/>
      <c r="LHV8" s="238"/>
      <c r="LHW8" s="239"/>
      <c r="LHX8" s="239"/>
      <c r="LHY8" s="59"/>
      <c r="LIA8" s="235"/>
      <c r="LIB8" s="236"/>
      <c r="LIC8" s="63"/>
      <c r="LID8" s="63"/>
      <c r="LIF8" s="237"/>
      <c r="LIG8" s="238"/>
      <c r="LIH8" s="239"/>
      <c r="LII8" s="239"/>
      <c r="LIJ8" s="59"/>
      <c r="LIL8" s="235"/>
      <c r="LIM8" s="236"/>
      <c r="LIN8" s="63"/>
      <c r="LIO8" s="63"/>
      <c r="LIQ8" s="237"/>
      <c r="LIR8" s="238"/>
      <c r="LIS8" s="239"/>
      <c r="LIT8" s="239"/>
      <c r="LIU8" s="59"/>
      <c r="LIW8" s="235"/>
      <c r="LIX8" s="236"/>
      <c r="LIY8" s="63"/>
      <c r="LIZ8" s="63"/>
      <c r="LJB8" s="237"/>
      <c r="LJC8" s="238"/>
      <c r="LJD8" s="239"/>
      <c r="LJE8" s="239"/>
      <c r="LJF8" s="59"/>
      <c r="LJH8" s="235"/>
      <c r="LJI8" s="236"/>
      <c r="LJJ8" s="63"/>
      <c r="LJK8" s="63"/>
      <c r="LJM8" s="237"/>
      <c r="LJN8" s="238"/>
      <c r="LJO8" s="239"/>
      <c r="LJP8" s="239"/>
      <c r="LJQ8" s="59"/>
      <c r="LJS8" s="235"/>
      <c r="LJT8" s="236"/>
      <c r="LJU8" s="63"/>
      <c r="LJV8" s="63"/>
      <c r="LJX8" s="237"/>
      <c r="LJY8" s="238"/>
      <c r="LJZ8" s="239"/>
      <c r="LKA8" s="239"/>
      <c r="LKB8" s="59"/>
      <c r="LKD8" s="235"/>
      <c r="LKE8" s="236"/>
      <c r="LKF8" s="63"/>
      <c r="LKG8" s="63"/>
      <c r="LKI8" s="237"/>
      <c r="LKJ8" s="238"/>
      <c r="LKK8" s="239"/>
      <c r="LKL8" s="239"/>
      <c r="LKM8" s="59"/>
      <c r="LKO8" s="235"/>
      <c r="LKP8" s="236"/>
      <c r="LKQ8" s="63"/>
      <c r="LKR8" s="63"/>
      <c r="LKT8" s="237"/>
      <c r="LKU8" s="238"/>
      <c r="LKV8" s="239"/>
      <c r="LKW8" s="239"/>
      <c r="LKX8" s="59"/>
      <c r="LKZ8" s="235"/>
      <c r="LLA8" s="236"/>
      <c r="LLB8" s="63"/>
      <c r="LLC8" s="63"/>
      <c r="LLE8" s="237"/>
      <c r="LLF8" s="238"/>
      <c r="LLG8" s="239"/>
      <c r="LLH8" s="239"/>
      <c r="LLI8" s="59"/>
      <c r="LLK8" s="235"/>
      <c r="LLL8" s="236"/>
      <c r="LLM8" s="63"/>
      <c r="LLN8" s="63"/>
      <c r="LLP8" s="237"/>
      <c r="LLQ8" s="238"/>
      <c r="LLR8" s="239"/>
      <c r="LLS8" s="239"/>
      <c r="LLT8" s="59"/>
      <c r="LLV8" s="235"/>
      <c r="LLW8" s="236"/>
      <c r="LLX8" s="63"/>
      <c r="LLY8" s="63"/>
      <c r="LMA8" s="237"/>
      <c r="LMB8" s="238"/>
      <c r="LMC8" s="239"/>
      <c r="LMD8" s="239"/>
      <c r="LME8" s="59"/>
      <c r="LMG8" s="235"/>
      <c r="LMH8" s="236"/>
      <c r="LMI8" s="63"/>
      <c r="LMJ8" s="63"/>
      <c r="LML8" s="237"/>
      <c r="LMM8" s="238"/>
      <c r="LMN8" s="239"/>
      <c r="LMO8" s="239"/>
      <c r="LMP8" s="59"/>
      <c r="LMR8" s="235"/>
      <c r="LMS8" s="236"/>
      <c r="LMT8" s="63"/>
      <c r="LMU8" s="63"/>
      <c r="LMW8" s="237"/>
      <c r="LMX8" s="238"/>
      <c r="LMY8" s="239"/>
      <c r="LMZ8" s="239"/>
      <c r="LNA8" s="59"/>
      <c r="LNC8" s="235"/>
      <c r="LND8" s="236"/>
      <c r="LNE8" s="63"/>
      <c r="LNF8" s="63"/>
      <c r="LNH8" s="237"/>
      <c r="LNI8" s="238"/>
      <c r="LNJ8" s="239"/>
      <c r="LNK8" s="239"/>
      <c r="LNL8" s="59"/>
      <c r="LNN8" s="235"/>
      <c r="LNO8" s="236"/>
      <c r="LNP8" s="63"/>
      <c r="LNQ8" s="63"/>
      <c r="LNS8" s="237"/>
      <c r="LNT8" s="238"/>
      <c r="LNU8" s="239"/>
      <c r="LNV8" s="239"/>
      <c r="LNW8" s="59"/>
      <c r="LNY8" s="235"/>
      <c r="LNZ8" s="236"/>
      <c r="LOA8" s="63"/>
      <c r="LOB8" s="63"/>
      <c r="LOD8" s="237"/>
      <c r="LOE8" s="238"/>
      <c r="LOF8" s="239"/>
      <c r="LOG8" s="239"/>
      <c r="LOH8" s="59"/>
      <c r="LOJ8" s="235"/>
      <c r="LOK8" s="236"/>
      <c r="LOL8" s="63"/>
      <c r="LOM8" s="63"/>
      <c r="LOO8" s="237"/>
      <c r="LOP8" s="238"/>
      <c r="LOQ8" s="239"/>
      <c r="LOR8" s="239"/>
      <c r="LOS8" s="59"/>
      <c r="LOU8" s="235"/>
      <c r="LOV8" s="236"/>
      <c r="LOW8" s="63"/>
      <c r="LOX8" s="63"/>
      <c r="LOZ8" s="237"/>
      <c r="LPA8" s="238"/>
      <c r="LPB8" s="239"/>
      <c r="LPC8" s="239"/>
      <c r="LPD8" s="59"/>
      <c r="LPF8" s="235"/>
      <c r="LPG8" s="236"/>
      <c r="LPH8" s="63"/>
      <c r="LPI8" s="63"/>
      <c r="LPK8" s="237"/>
      <c r="LPL8" s="238"/>
      <c r="LPM8" s="239"/>
      <c r="LPN8" s="239"/>
      <c r="LPO8" s="59"/>
      <c r="LPQ8" s="235"/>
      <c r="LPR8" s="236"/>
      <c r="LPS8" s="63"/>
      <c r="LPT8" s="63"/>
      <c r="LPV8" s="237"/>
      <c r="LPW8" s="238"/>
      <c r="LPX8" s="239"/>
      <c r="LPY8" s="239"/>
      <c r="LPZ8" s="59"/>
      <c r="LQB8" s="235"/>
      <c r="LQC8" s="236"/>
      <c r="LQD8" s="63"/>
      <c r="LQE8" s="63"/>
      <c r="LQG8" s="237"/>
      <c r="LQH8" s="238"/>
      <c r="LQI8" s="239"/>
      <c r="LQJ8" s="239"/>
      <c r="LQK8" s="59"/>
      <c r="LQM8" s="235"/>
      <c r="LQN8" s="236"/>
      <c r="LQO8" s="63"/>
      <c r="LQP8" s="63"/>
      <c r="LQR8" s="237"/>
      <c r="LQS8" s="238"/>
      <c r="LQT8" s="239"/>
      <c r="LQU8" s="239"/>
      <c r="LQV8" s="59"/>
      <c r="LQX8" s="235"/>
      <c r="LQY8" s="236"/>
      <c r="LQZ8" s="63"/>
      <c r="LRA8" s="63"/>
      <c r="LRC8" s="237"/>
      <c r="LRD8" s="238"/>
      <c r="LRE8" s="239"/>
      <c r="LRF8" s="239"/>
      <c r="LRG8" s="59"/>
      <c r="LRI8" s="235"/>
      <c r="LRJ8" s="236"/>
      <c r="LRK8" s="63"/>
      <c r="LRL8" s="63"/>
      <c r="LRN8" s="237"/>
      <c r="LRO8" s="238"/>
      <c r="LRP8" s="239"/>
      <c r="LRQ8" s="239"/>
      <c r="LRR8" s="59"/>
      <c r="LRT8" s="235"/>
      <c r="LRU8" s="236"/>
      <c r="LRV8" s="63"/>
      <c r="LRW8" s="63"/>
      <c r="LRY8" s="237"/>
      <c r="LRZ8" s="238"/>
      <c r="LSA8" s="239"/>
      <c r="LSB8" s="239"/>
      <c r="LSC8" s="59"/>
      <c r="LSE8" s="235"/>
      <c r="LSF8" s="236"/>
      <c r="LSG8" s="63"/>
      <c r="LSH8" s="63"/>
      <c r="LSJ8" s="237"/>
      <c r="LSK8" s="238"/>
      <c r="LSL8" s="239"/>
      <c r="LSM8" s="239"/>
      <c r="LSN8" s="59"/>
      <c r="LSP8" s="235"/>
      <c r="LSQ8" s="236"/>
      <c r="LSR8" s="63"/>
      <c r="LSS8" s="63"/>
      <c r="LSU8" s="237"/>
      <c r="LSV8" s="238"/>
      <c r="LSW8" s="239"/>
      <c r="LSX8" s="239"/>
      <c r="LSY8" s="59"/>
      <c r="LTA8" s="235"/>
      <c r="LTB8" s="236"/>
      <c r="LTC8" s="63"/>
      <c r="LTD8" s="63"/>
      <c r="LTF8" s="237"/>
      <c r="LTG8" s="238"/>
      <c r="LTH8" s="239"/>
      <c r="LTI8" s="239"/>
      <c r="LTJ8" s="59"/>
      <c r="LTL8" s="235"/>
      <c r="LTM8" s="236"/>
      <c r="LTN8" s="63"/>
      <c r="LTO8" s="63"/>
      <c r="LTQ8" s="237"/>
      <c r="LTR8" s="238"/>
      <c r="LTS8" s="239"/>
      <c r="LTT8" s="239"/>
      <c r="LTU8" s="59"/>
      <c r="LTW8" s="235"/>
      <c r="LTX8" s="236"/>
      <c r="LTY8" s="63"/>
      <c r="LTZ8" s="63"/>
      <c r="LUB8" s="237"/>
      <c r="LUC8" s="238"/>
      <c r="LUD8" s="239"/>
      <c r="LUE8" s="239"/>
      <c r="LUF8" s="59"/>
      <c r="LUH8" s="235"/>
      <c r="LUI8" s="236"/>
      <c r="LUJ8" s="63"/>
      <c r="LUK8" s="63"/>
      <c r="LUM8" s="237"/>
      <c r="LUN8" s="238"/>
      <c r="LUO8" s="239"/>
      <c r="LUP8" s="239"/>
      <c r="LUQ8" s="59"/>
      <c r="LUS8" s="235"/>
      <c r="LUT8" s="236"/>
      <c r="LUU8" s="63"/>
      <c r="LUV8" s="63"/>
      <c r="LUX8" s="237"/>
      <c r="LUY8" s="238"/>
      <c r="LUZ8" s="239"/>
      <c r="LVA8" s="239"/>
      <c r="LVB8" s="59"/>
      <c r="LVD8" s="235"/>
      <c r="LVE8" s="236"/>
      <c r="LVF8" s="63"/>
      <c r="LVG8" s="63"/>
      <c r="LVI8" s="237"/>
      <c r="LVJ8" s="238"/>
      <c r="LVK8" s="239"/>
      <c r="LVL8" s="239"/>
      <c r="LVM8" s="59"/>
      <c r="LVO8" s="235"/>
      <c r="LVP8" s="236"/>
      <c r="LVQ8" s="63"/>
      <c r="LVR8" s="63"/>
      <c r="LVT8" s="237"/>
      <c r="LVU8" s="238"/>
      <c r="LVV8" s="239"/>
      <c r="LVW8" s="239"/>
      <c r="LVX8" s="59"/>
      <c r="LVZ8" s="235"/>
      <c r="LWA8" s="236"/>
      <c r="LWB8" s="63"/>
      <c r="LWC8" s="63"/>
      <c r="LWE8" s="237"/>
      <c r="LWF8" s="238"/>
      <c r="LWG8" s="239"/>
      <c r="LWH8" s="239"/>
      <c r="LWI8" s="59"/>
      <c r="LWK8" s="235"/>
      <c r="LWL8" s="236"/>
      <c r="LWM8" s="63"/>
      <c r="LWN8" s="63"/>
      <c r="LWP8" s="237"/>
      <c r="LWQ8" s="238"/>
      <c r="LWR8" s="239"/>
      <c r="LWS8" s="239"/>
      <c r="LWT8" s="59"/>
      <c r="LWV8" s="235"/>
      <c r="LWW8" s="236"/>
      <c r="LWX8" s="63"/>
      <c r="LWY8" s="63"/>
      <c r="LXA8" s="237"/>
      <c r="LXB8" s="238"/>
      <c r="LXC8" s="239"/>
      <c r="LXD8" s="239"/>
      <c r="LXE8" s="59"/>
      <c r="LXG8" s="235"/>
      <c r="LXH8" s="236"/>
      <c r="LXI8" s="63"/>
      <c r="LXJ8" s="63"/>
      <c r="LXL8" s="237"/>
      <c r="LXM8" s="238"/>
      <c r="LXN8" s="239"/>
      <c r="LXO8" s="239"/>
      <c r="LXP8" s="59"/>
      <c r="LXR8" s="235"/>
      <c r="LXS8" s="236"/>
      <c r="LXT8" s="63"/>
      <c r="LXU8" s="63"/>
      <c r="LXW8" s="237"/>
      <c r="LXX8" s="238"/>
      <c r="LXY8" s="239"/>
      <c r="LXZ8" s="239"/>
      <c r="LYA8" s="59"/>
      <c r="LYC8" s="235"/>
      <c r="LYD8" s="236"/>
      <c r="LYE8" s="63"/>
      <c r="LYF8" s="63"/>
      <c r="LYH8" s="237"/>
      <c r="LYI8" s="238"/>
      <c r="LYJ8" s="239"/>
      <c r="LYK8" s="239"/>
      <c r="LYL8" s="59"/>
      <c r="LYN8" s="235"/>
      <c r="LYO8" s="236"/>
      <c r="LYP8" s="63"/>
      <c r="LYQ8" s="63"/>
      <c r="LYS8" s="237"/>
      <c r="LYT8" s="238"/>
      <c r="LYU8" s="239"/>
      <c r="LYV8" s="239"/>
      <c r="LYW8" s="59"/>
      <c r="LYY8" s="235"/>
      <c r="LYZ8" s="236"/>
      <c r="LZA8" s="63"/>
      <c r="LZB8" s="63"/>
      <c r="LZD8" s="237"/>
      <c r="LZE8" s="238"/>
      <c r="LZF8" s="239"/>
      <c r="LZG8" s="239"/>
      <c r="LZH8" s="59"/>
      <c r="LZJ8" s="235"/>
      <c r="LZK8" s="236"/>
      <c r="LZL8" s="63"/>
      <c r="LZM8" s="63"/>
      <c r="LZO8" s="237"/>
      <c r="LZP8" s="238"/>
      <c r="LZQ8" s="239"/>
      <c r="LZR8" s="239"/>
      <c r="LZS8" s="59"/>
      <c r="LZU8" s="235"/>
      <c r="LZV8" s="236"/>
      <c r="LZW8" s="63"/>
      <c r="LZX8" s="63"/>
      <c r="LZZ8" s="237"/>
      <c r="MAA8" s="238"/>
      <c r="MAB8" s="239"/>
      <c r="MAC8" s="239"/>
      <c r="MAD8" s="59"/>
      <c r="MAF8" s="235"/>
      <c r="MAG8" s="236"/>
      <c r="MAH8" s="63"/>
      <c r="MAI8" s="63"/>
      <c r="MAK8" s="237"/>
      <c r="MAL8" s="238"/>
      <c r="MAM8" s="239"/>
      <c r="MAN8" s="239"/>
      <c r="MAO8" s="59"/>
      <c r="MAQ8" s="235"/>
      <c r="MAR8" s="236"/>
      <c r="MAS8" s="63"/>
      <c r="MAT8" s="63"/>
      <c r="MAV8" s="237"/>
      <c r="MAW8" s="238"/>
      <c r="MAX8" s="239"/>
      <c r="MAY8" s="239"/>
      <c r="MAZ8" s="59"/>
      <c r="MBB8" s="235"/>
      <c r="MBC8" s="236"/>
      <c r="MBD8" s="63"/>
      <c r="MBE8" s="63"/>
      <c r="MBG8" s="237"/>
      <c r="MBH8" s="238"/>
      <c r="MBI8" s="239"/>
      <c r="MBJ8" s="239"/>
      <c r="MBK8" s="59"/>
      <c r="MBM8" s="235"/>
      <c r="MBN8" s="236"/>
      <c r="MBO8" s="63"/>
      <c r="MBP8" s="63"/>
      <c r="MBR8" s="237"/>
      <c r="MBS8" s="238"/>
      <c r="MBT8" s="239"/>
      <c r="MBU8" s="239"/>
      <c r="MBV8" s="59"/>
      <c r="MBX8" s="235"/>
      <c r="MBY8" s="236"/>
      <c r="MBZ8" s="63"/>
      <c r="MCA8" s="63"/>
      <c r="MCC8" s="237"/>
      <c r="MCD8" s="238"/>
      <c r="MCE8" s="239"/>
      <c r="MCF8" s="239"/>
      <c r="MCG8" s="59"/>
      <c r="MCI8" s="235"/>
      <c r="MCJ8" s="236"/>
      <c r="MCK8" s="63"/>
      <c r="MCL8" s="63"/>
      <c r="MCN8" s="237"/>
      <c r="MCO8" s="238"/>
      <c r="MCP8" s="239"/>
      <c r="MCQ8" s="239"/>
      <c r="MCR8" s="59"/>
      <c r="MCT8" s="235"/>
      <c r="MCU8" s="236"/>
      <c r="MCV8" s="63"/>
      <c r="MCW8" s="63"/>
      <c r="MCY8" s="237"/>
      <c r="MCZ8" s="238"/>
      <c r="MDA8" s="239"/>
      <c r="MDB8" s="239"/>
      <c r="MDC8" s="59"/>
      <c r="MDE8" s="235"/>
      <c r="MDF8" s="236"/>
      <c r="MDG8" s="63"/>
      <c r="MDH8" s="63"/>
      <c r="MDJ8" s="237"/>
      <c r="MDK8" s="238"/>
      <c r="MDL8" s="239"/>
      <c r="MDM8" s="239"/>
      <c r="MDN8" s="59"/>
      <c r="MDP8" s="235"/>
      <c r="MDQ8" s="236"/>
      <c r="MDR8" s="63"/>
      <c r="MDS8" s="63"/>
      <c r="MDU8" s="237"/>
      <c r="MDV8" s="238"/>
      <c r="MDW8" s="239"/>
      <c r="MDX8" s="239"/>
      <c r="MDY8" s="59"/>
      <c r="MEA8" s="235"/>
      <c r="MEB8" s="236"/>
      <c r="MEC8" s="63"/>
      <c r="MED8" s="63"/>
      <c r="MEF8" s="237"/>
      <c r="MEG8" s="238"/>
      <c r="MEH8" s="239"/>
      <c r="MEI8" s="239"/>
      <c r="MEJ8" s="59"/>
      <c r="MEL8" s="235"/>
      <c r="MEM8" s="236"/>
      <c r="MEN8" s="63"/>
      <c r="MEO8" s="63"/>
      <c r="MEQ8" s="237"/>
      <c r="MER8" s="238"/>
      <c r="MES8" s="239"/>
      <c r="MET8" s="239"/>
      <c r="MEU8" s="59"/>
      <c r="MEW8" s="235"/>
      <c r="MEX8" s="236"/>
      <c r="MEY8" s="63"/>
      <c r="MEZ8" s="63"/>
      <c r="MFB8" s="237"/>
      <c r="MFC8" s="238"/>
      <c r="MFD8" s="239"/>
      <c r="MFE8" s="239"/>
      <c r="MFF8" s="59"/>
      <c r="MFH8" s="235"/>
      <c r="MFI8" s="236"/>
      <c r="MFJ8" s="63"/>
      <c r="MFK8" s="63"/>
      <c r="MFM8" s="237"/>
      <c r="MFN8" s="238"/>
      <c r="MFO8" s="239"/>
      <c r="MFP8" s="239"/>
      <c r="MFQ8" s="59"/>
      <c r="MFS8" s="235"/>
      <c r="MFT8" s="236"/>
      <c r="MFU8" s="63"/>
      <c r="MFV8" s="63"/>
      <c r="MFX8" s="237"/>
      <c r="MFY8" s="238"/>
      <c r="MFZ8" s="239"/>
      <c r="MGA8" s="239"/>
      <c r="MGB8" s="59"/>
      <c r="MGD8" s="235"/>
      <c r="MGE8" s="236"/>
      <c r="MGF8" s="63"/>
      <c r="MGG8" s="63"/>
      <c r="MGI8" s="237"/>
      <c r="MGJ8" s="238"/>
      <c r="MGK8" s="239"/>
      <c r="MGL8" s="239"/>
      <c r="MGM8" s="59"/>
      <c r="MGO8" s="235"/>
      <c r="MGP8" s="236"/>
      <c r="MGQ8" s="63"/>
      <c r="MGR8" s="63"/>
      <c r="MGT8" s="237"/>
      <c r="MGU8" s="238"/>
      <c r="MGV8" s="239"/>
      <c r="MGW8" s="239"/>
      <c r="MGX8" s="59"/>
      <c r="MGZ8" s="235"/>
      <c r="MHA8" s="236"/>
      <c r="MHB8" s="63"/>
      <c r="MHC8" s="63"/>
      <c r="MHE8" s="237"/>
      <c r="MHF8" s="238"/>
      <c r="MHG8" s="239"/>
      <c r="MHH8" s="239"/>
      <c r="MHI8" s="59"/>
      <c r="MHK8" s="235"/>
      <c r="MHL8" s="236"/>
      <c r="MHM8" s="63"/>
      <c r="MHN8" s="63"/>
      <c r="MHP8" s="237"/>
      <c r="MHQ8" s="238"/>
      <c r="MHR8" s="239"/>
      <c r="MHS8" s="239"/>
      <c r="MHT8" s="59"/>
      <c r="MHV8" s="235"/>
      <c r="MHW8" s="236"/>
      <c r="MHX8" s="63"/>
      <c r="MHY8" s="63"/>
      <c r="MIA8" s="237"/>
      <c r="MIB8" s="238"/>
      <c r="MIC8" s="239"/>
      <c r="MID8" s="239"/>
      <c r="MIE8" s="59"/>
      <c r="MIG8" s="235"/>
      <c r="MIH8" s="236"/>
      <c r="MII8" s="63"/>
      <c r="MIJ8" s="63"/>
      <c r="MIL8" s="237"/>
      <c r="MIM8" s="238"/>
      <c r="MIN8" s="239"/>
      <c r="MIO8" s="239"/>
      <c r="MIP8" s="59"/>
      <c r="MIR8" s="235"/>
      <c r="MIS8" s="236"/>
      <c r="MIT8" s="63"/>
      <c r="MIU8" s="63"/>
      <c r="MIW8" s="237"/>
      <c r="MIX8" s="238"/>
      <c r="MIY8" s="239"/>
      <c r="MIZ8" s="239"/>
      <c r="MJA8" s="59"/>
      <c r="MJC8" s="235"/>
      <c r="MJD8" s="236"/>
      <c r="MJE8" s="63"/>
      <c r="MJF8" s="63"/>
      <c r="MJH8" s="237"/>
      <c r="MJI8" s="238"/>
      <c r="MJJ8" s="239"/>
      <c r="MJK8" s="239"/>
      <c r="MJL8" s="59"/>
      <c r="MJN8" s="235"/>
      <c r="MJO8" s="236"/>
      <c r="MJP8" s="63"/>
      <c r="MJQ8" s="63"/>
      <c r="MJS8" s="237"/>
      <c r="MJT8" s="238"/>
      <c r="MJU8" s="239"/>
      <c r="MJV8" s="239"/>
      <c r="MJW8" s="59"/>
      <c r="MJY8" s="235"/>
      <c r="MJZ8" s="236"/>
      <c r="MKA8" s="63"/>
      <c r="MKB8" s="63"/>
      <c r="MKD8" s="237"/>
      <c r="MKE8" s="238"/>
      <c r="MKF8" s="239"/>
      <c r="MKG8" s="239"/>
      <c r="MKH8" s="59"/>
      <c r="MKJ8" s="235"/>
      <c r="MKK8" s="236"/>
      <c r="MKL8" s="63"/>
      <c r="MKM8" s="63"/>
      <c r="MKO8" s="237"/>
      <c r="MKP8" s="238"/>
      <c r="MKQ8" s="239"/>
      <c r="MKR8" s="239"/>
      <c r="MKS8" s="59"/>
      <c r="MKU8" s="235"/>
      <c r="MKV8" s="236"/>
      <c r="MKW8" s="63"/>
      <c r="MKX8" s="63"/>
      <c r="MKZ8" s="237"/>
      <c r="MLA8" s="238"/>
      <c r="MLB8" s="239"/>
      <c r="MLC8" s="239"/>
      <c r="MLD8" s="59"/>
      <c r="MLF8" s="235"/>
      <c r="MLG8" s="236"/>
      <c r="MLH8" s="63"/>
      <c r="MLI8" s="63"/>
      <c r="MLK8" s="237"/>
      <c r="MLL8" s="238"/>
      <c r="MLM8" s="239"/>
      <c r="MLN8" s="239"/>
      <c r="MLO8" s="59"/>
      <c r="MLQ8" s="235"/>
      <c r="MLR8" s="236"/>
      <c r="MLS8" s="63"/>
      <c r="MLT8" s="63"/>
      <c r="MLV8" s="237"/>
      <c r="MLW8" s="238"/>
      <c r="MLX8" s="239"/>
      <c r="MLY8" s="239"/>
      <c r="MLZ8" s="59"/>
      <c r="MMB8" s="235"/>
      <c r="MMC8" s="236"/>
      <c r="MMD8" s="63"/>
      <c r="MME8" s="63"/>
      <c r="MMG8" s="237"/>
      <c r="MMH8" s="238"/>
      <c r="MMI8" s="239"/>
      <c r="MMJ8" s="239"/>
      <c r="MMK8" s="59"/>
      <c r="MMM8" s="235"/>
      <c r="MMN8" s="236"/>
      <c r="MMO8" s="63"/>
      <c r="MMP8" s="63"/>
      <c r="MMR8" s="237"/>
      <c r="MMS8" s="238"/>
      <c r="MMT8" s="239"/>
      <c r="MMU8" s="239"/>
      <c r="MMV8" s="59"/>
      <c r="MMX8" s="235"/>
      <c r="MMY8" s="236"/>
      <c r="MMZ8" s="63"/>
      <c r="MNA8" s="63"/>
      <c r="MNC8" s="237"/>
      <c r="MND8" s="238"/>
      <c r="MNE8" s="239"/>
      <c r="MNF8" s="239"/>
      <c r="MNG8" s="59"/>
      <c r="MNI8" s="235"/>
      <c r="MNJ8" s="236"/>
      <c r="MNK8" s="63"/>
      <c r="MNL8" s="63"/>
      <c r="MNN8" s="237"/>
      <c r="MNO8" s="238"/>
      <c r="MNP8" s="239"/>
      <c r="MNQ8" s="239"/>
      <c r="MNR8" s="59"/>
      <c r="MNT8" s="235"/>
      <c r="MNU8" s="236"/>
      <c r="MNV8" s="63"/>
      <c r="MNW8" s="63"/>
      <c r="MNY8" s="237"/>
      <c r="MNZ8" s="238"/>
      <c r="MOA8" s="239"/>
      <c r="MOB8" s="239"/>
      <c r="MOC8" s="59"/>
      <c r="MOE8" s="235"/>
      <c r="MOF8" s="236"/>
      <c r="MOG8" s="63"/>
      <c r="MOH8" s="63"/>
      <c r="MOJ8" s="237"/>
      <c r="MOK8" s="238"/>
      <c r="MOL8" s="239"/>
      <c r="MOM8" s="239"/>
      <c r="MON8" s="59"/>
      <c r="MOP8" s="235"/>
      <c r="MOQ8" s="236"/>
      <c r="MOR8" s="63"/>
      <c r="MOS8" s="63"/>
      <c r="MOU8" s="237"/>
      <c r="MOV8" s="238"/>
      <c r="MOW8" s="239"/>
      <c r="MOX8" s="239"/>
      <c r="MOY8" s="59"/>
      <c r="MPA8" s="235"/>
      <c r="MPB8" s="236"/>
      <c r="MPC8" s="63"/>
      <c r="MPD8" s="63"/>
      <c r="MPF8" s="237"/>
      <c r="MPG8" s="238"/>
      <c r="MPH8" s="239"/>
      <c r="MPI8" s="239"/>
      <c r="MPJ8" s="59"/>
      <c r="MPL8" s="235"/>
      <c r="MPM8" s="236"/>
      <c r="MPN8" s="63"/>
      <c r="MPO8" s="63"/>
      <c r="MPQ8" s="237"/>
      <c r="MPR8" s="238"/>
      <c r="MPS8" s="239"/>
      <c r="MPT8" s="239"/>
      <c r="MPU8" s="59"/>
      <c r="MPW8" s="235"/>
      <c r="MPX8" s="236"/>
      <c r="MPY8" s="63"/>
      <c r="MPZ8" s="63"/>
      <c r="MQB8" s="237"/>
      <c r="MQC8" s="238"/>
      <c r="MQD8" s="239"/>
      <c r="MQE8" s="239"/>
      <c r="MQF8" s="59"/>
      <c r="MQH8" s="235"/>
      <c r="MQI8" s="236"/>
      <c r="MQJ8" s="63"/>
      <c r="MQK8" s="63"/>
      <c r="MQM8" s="237"/>
      <c r="MQN8" s="238"/>
      <c r="MQO8" s="239"/>
      <c r="MQP8" s="239"/>
      <c r="MQQ8" s="59"/>
      <c r="MQS8" s="235"/>
      <c r="MQT8" s="236"/>
      <c r="MQU8" s="63"/>
      <c r="MQV8" s="63"/>
      <c r="MQX8" s="237"/>
      <c r="MQY8" s="238"/>
      <c r="MQZ8" s="239"/>
      <c r="MRA8" s="239"/>
      <c r="MRB8" s="59"/>
      <c r="MRD8" s="235"/>
      <c r="MRE8" s="236"/>
      <c r="MRF8" s="63"/>
      <c r="MRG8" s="63"/>
      <c r="MRI8" s="237"/>
      <c r="MRJ8" s="238"/>
      <c r="MRK8" s="239"/>
      <c r="MRL8" s="239"/>
      <c r="MRM8" s="59"/>
      <c r="MRO8" s="235"/>
      <c r="MRP8" s="236"/>
      <c r="MRQ8" s="63"/>
      <c r="MRR8" s="63"/>
      <c r="MRT8" s="237"/>
      <c r="MRU8" s="238"/>
      <c r="MRV8" s="239"/>
      <c r="MRW8" s="239"/>
      <c r="MRX8" s="59"/>
      <c r="MRZ8" s="235"/>
      <c r="MSA8" s="236"/>
      <c r="MSB8" s="63"/>
      <c r="MSC8" s="63"/>
      <c r="MSE8" s="237"/>
      <c r="MSF8" s="238"/>
      <c r="MSG8" s="239"/>
      <c r="MSH8" s="239"/>
      <c r="MSI8" s="59"/>
      <c r="MSK8" s="235"/>
      <c r="MSL8" s="236"/>
      <c r="MSM8" s="63"/>
      <c r="MSN8" s="63"/>
      <c r="MSP8" s="237"/>
      <c r="MSQ8" s="238"/>
      <c r="MSR8" s="239"/>
      <c r="MSS8" s="239"/>
      <c r="MST8" s="59"/>
      <c r="MSV8" s="235"/>
      <c r="MSW8" s="236"/>
      <c r="MSX8" s="63"/>
      <c r="MSY8" s="63"/>
      <c r="MTA8" s="237"/>
      <c r="MTB8" s="238"/>
      <c r="MTC8" s="239"/>
      <c r="MTD8" s="239"/>
      <c r="MTE8" s="59"/>
      <c r="MTG8" s="235"/>
      <c r="MTH8" s="236"/>
      <c r="MTI8" s="63"/>
      <c r="MTJ8" s="63"/>
      <c r="MTL8" s="237"/>
      <c r="MTM8" s="238"/>
      <c r="MTN8" s="239"/>
      <c r="MTO8" s="239"/>
      <c r="MTP8" s="59"/>
      <c r="MTR8" s="235"/>
      <c r="MTS8" s="236"/>
      <c r="MTT8" s="63"/>
      <c r="MTU8" s="63"/>
      <c r="MTW8" s="237"/>
      <c r="MTX8" s="238"/>
      <c r="MTY8" s="239"/>
      <c r="MTZ8" s="239"/>
      <c r="MUA8" s="59"/>
      <c r="MUC8" s="235"/>
      <c r="MUD8" s="236"/>
      <c r="MUE8" s="63"/>
      <c r="MUF8" s="63"/>
      <c r="MUH8" s="237"/>
      <c r="MUI8" s="238"/>
      <c r="MUJ8" s="239"/>
      <c r="MUK8" s="239"/>
      <c r="MUL8" s="59"/>
      <c r="MUN8" s="235"/>
      <c r="MUO8" s="236"/>
      <c r="MUP8" s="63"/>
      <c r="MUQ8" s="63"/>
      <c r="MUS8" s="237"/>
      <c r="MUT8" s="238"/>
      <c r="MUU8" s="239"/>
      <c r="MUV8" s="239"/>
      <c r="MUW8" s="59"/>
      <c r="MUY8" s="235"/>
      <c r="MUZ8" s="236"/>
      <c r="MVA8" s="63"/>
      <c r="MVB8" s="63"/>
      <c r="MVD8" s="237"/>
      <c r="MVE8" s="238"/>
      <c r="MVF8" s="239"/>
      <c r="MVG8" s="239"/>
      <c r="MVH8" s="59"/>
      <c r="MVJ8" s="235"/>
      <c r="MVK8" s="236"/>
      <c r="MVL8" s="63"/>
      <c r="MVM8" s="63"/>
      <c r="MVO8" s="237"/>
      <c r="MVP8" s="238"/>
      <c r="MVQ8" s="239"/>
      <c r="MVR8" s="239"/>
      <c r="MVS8" s="59"/>
      <c r="MVU8" s="235"/>
      <c r="MVV8" s="236"/>
      <c r="MVW8" s="63"/>
      <c r="MVX8" s="63"/>
      <c r="MVZ8" s="237"/>
      <c r="MWA8" s="238"/>
      <c r="MWB8" s="239"/>
      <c r="MWC8" s="239"/>
      <c r="MWD8" s="59"/>
      <c r="MWF8" s="235"/>
      <c r="MWG8" s="236"/>
      <c r="MWH8" s="63"/>
      <c r="MWI8" s="63"/>
      <c r="MWK8" s="237"/>
      <c r="MWL8" s="238"/>
      <c r="MWM8" s="239"/>
      <c r="MWN8" s="239"/>
      <c r="MWO8" s="59"/>
      <c r="MWQ8" s="235"/>
      <c r="MWR8" s="236"/>
      <c r="MWS8" s="63"/>
      <c r="MWT8" s="63"/>
      <c r="MWV8" s="237"/>
      <c r="MWW8" s="238"/>
      <c r="MWX8" s="239"/>
      <c r="MWY8" s="239"/>
      <c r="MWZ8" s="59"/>
      <c r="MXB8" s="235"/>
      <c r="MXC8" s="236"/>
      <c r="MXD8" s="63"/>
      <c r="MXE8" s="63"/>
      <c r="MXG8" s="237"/>
      <c r="MXH8" s="238"/>
      <c r="MXI8" s="239"/>
      <c r="MXJ8" s="239"/>
      <c r="MXK8" s="59"/>
      <c r="MXM8" s="235"/>
      <c r="MXN8" s="236"/>
      <c r="MXO8" s="63"/>
      <c r="MXP8" s="63"/>
      <c r="MXR8" s="237"/>
      <c r="MXS8" s="238"/>
      <c r="MXT8" s="239"/>
      <c r="MXU8" s="239"/>
      <c r="MXV8" s="59"/>
      <c r="MXX8" s="235"/>
      <c r="MXY8" s="236"/>
      <c r="MXZ8" s="63"/>
      <c r="MYA8" s="63"/>
      <c r="MYC8" s="237"/>
      <c r="MYD8" s="238"/>
      <c r="MYE8" s="239"/>
      <c r="MYF8" s="239"/>
      <c r="MYG8" s="59"/>
      <c r="MYI8" s="235"/>
      <c r="MYJ8" s="236"/>
      <c r="MYK8" s="63"/>
      <c r="MYL8" s="63"/>
      <c r="MYN8" s="237"/>
      <c r="MYO8" s="238"/>
      <c r="MYP8" s="239"/>
      <c r="MYQ8" s="239"/>
      <c r="MYR8" s="59"/>
      <c r="MYT8" s="235"/>
      <c r="MYU8" s="236"/>
      <c r="MYV8" s="63"/>
      <c r="MYW8" s="63"/>
      <c r="MYY8" s="237"/>
      <c r="MYZ8" s="238"/>
      <c r="MZA8" s="239"/>
      <c r="MZB8" s="239"/>
      <c r="MZC8" s="59"/>
      <c r="MZE8" s="235"/>
      <c r="MZF8" s="236"/>
      <c r="MZG8" s="63"/>
      <c r="MZH8" s="63"/>
      <c r="MZJ8" s="237"/>
      <c r="MZK8" s="238"/>
      <c r="MZL8" s="239"/>
      <c r="MZM8" s="239"/>
      <c r="MZN8" s="59"/>
      <c r="MZP8" s="235"/>
      <c r="MZQ8" s="236"/>
      <c r="MZR8" s="63"/>
      <c r="MZS8" s="63"/>
      <c r="MZU8" s="237"/>
      <c r="MZV8" s="238"/>
      <c r="MZW8" s="239"/>
      <c r="MZX8" s="239"/>
      <c r="MZY8" s="59"/>
      <c r="NAA8" s="235"/>
      <c r="NAB8" s="236"/>
      <c r="NAC8" s="63"/>
      <c r="NAD8" s="63"/>
      <c r="NAF8" s="237"/>
      <c r="NAG8" s="238"/>
      <c r="NAH8" s="239"/>
      <c r="NAI8" s="239"/>
      <c r="NAJ8" s="59"/>
      <c r="NAL8" s="235"/>
      <c r="NAM8" s="236"/>
      <c r="NAN8" s="63"/>
      <c r="NAO8" s="63"/>
      <c r="NAQ8" s="237"/>
      <c r="NAR8" s="238"/>
      <c r="NAS8" s="239"/>
      <c r="NAT8" s="239"/>
      <c r="NAU8" s="59"/>
      <c r="NAW8" s="235"/>
      <c r="NAX8" s="236"/>
      <c r="NAY8" s="63"/>
      <c r="NAZ8" s="63"/>
      <c r="NBB8" s="237"/>
      <c r="NBC8" s="238"/>
      <c r="NBD8" s="239"/>
      <c r="NBE8" s="239"/>
      <c r="NBF8" s="59"/>
      <c r="NBH8" s="235"/>
      <c r="NBI8" s="236"/>
      <c r="NBJ8" s="63"/>
      <c r="NBK8" s="63"/>
      <c r="NBM8" s="237"/>
      <c r="NBN8" s="238"/>
      <c r="NBO8" s="239"/>
      <c r="NBP8" s="239"/>
      <c r="NBQ8" s="59"/>
      <c r="NBS8" s="235"/>
      <c r="NBT8" s="236"/>
      <c r="NBU8" s="63"/>
      <c r="NBV8" s="63"/>
      <c r="NBX8" s="237"/>
      <c r="NBY8" s="238"/>
      <c r="NBZ8" s="239"/>
      <c r="NCA8" s="239"/>
      <c r="NCB8" s="59"/>
      <c r="NCD8" s="235"/>
      <c r="NCE8" s="236"/>
      <c r="NCF8" s="63"/>
      <c r="NCG8" s="63"/>
      <c r="NCI8" s="237"/>
      <c r="NCJ8" s="238"/>
      <c r="NCK8" s="239"/>
      <c r="NCL8" s="239"/>
      <c r="NCM8" s="59"/>
      <c r="NCO8" s="235"/>
      <c r="NCP8" s="236"/>
      <c r="NCQ8" s="63"/>
      <c r="NCR8" s="63"/>
      <c r="NCT8" s="237"/>
      <c r="NCU8" s="238"/>
      <c r="NCV8" s="239"/>
      <c r="NCW8" s="239"/>
      <c r="NCX8" s="59"/>
      <c r="NCZ8" s="235"/>
      <c r="NDA8" s="236"/>
      <c r="NDB8" s="63"/>
      <c r="NDC8" s="63"/>
      <c r="NDE8" s="237"/>
      <c r="NDF8" s="238"/>
      <c r="NDG8" s="239"/>
      <c r="NDH8" s="239"/>
      <c r="NDI8" s="59"/>
      <c r="NDK8" s="235"/>
      <c r="NDL8" s="236"/>
      <c r="NDM8" s="63"/>
      <c r="NDN8" s="63"/>
      <c r="NDP8" s="237"/>
      <c r="NDQ8" s="238"/>
      <c r="NDR8" s="239"/>
      <c r="NDS8" s="239"/>
      <c r="NDT8" s="59"/>
      <c r="NDV8" s="235"/>
      <c r="NDW8" s="236"/>
      <c r="NDX8" s="63"/>
      <c r="NDY8" s="63"/>
      <c r="NEA8" s="237"/>
      <c r="NEB8" s="238"/>
      <c r="NEC8" s="239"/>
      <c r="NED8" s="239"/>
      <c r="NEE8" s="59"/>
      <c r="NEG8" s="235"/>
      <c r="NEH8" s="236"/>
      <c r="NEI8" s="63"/>
      <c r="NEJ8" s="63"/>
      <c r="NEL8" s="237"/>
      <c r="NEM8" s="238"/>
      <c r="NEN8" s="239"/>
      <c r="NEO8" s="239"/>
      <c r="NEP8" s="59"/>
      <c r="NER8" s="235"/>
      <c r="NES8" s="236"/>
      <c r="NET8" s="63"/>
      <c r="NEU8" s="63"/>
      <c r="NEW8" s="237"/>
      <c r="NEX8" s="238"/>
      <c r="NEY8" s="239"/>
      <c r="NEZ8" s="239"/>
      <c r="NFA8" s="59"/>
      <c r="NFC8" s="235"/>
      <c r="NFD8" s="236"/>
      <c r="NFE8" s="63"/>
      <c r="NFF8" s="63"/>
      <c r="NFH8" s="237"/>
      <c r="NFI8" s="238"/>
      <c r="NFJ8" s="239"/>
      <c r="NFK8" s="239"/>
      <c r="NFL8" s="59"/>
      <c r="NFN8" s="235"/>
      <c r="NFO8" s="236"/>
      <c r="NFP8" s="63"/>
      <c r="NFQ8" s="63"/>
      <c r="NFS8" s="237"/>
      <c r="NFT8" s="238"/>
      <c r="NFU8" s="239"/>
      <c r="NFV8" s="239"/>
      <c r="NFW8" s="59"/>
      <c r="NFY8" s="235"/>
      <c r="NFZ8" s="236"/>
      <c r="NGA8" s="63"/>
      <c r="NGB8" s="63"/>
      <c r="NGD8" s="237"/>
      <c r="NGE8" s="238"/>
      <c r="NGF8" s="239"/>
      <c r="NGG8" s="239"/>
      <c r="NGH8" s="59"/>
      <c r="NGJ8" s="235"/>
      <c r="NGK8" s="236"/>
      <c r="NGL8" s="63"/>
      <c r="NGM8" s="63"/>
      <c r="NGO8" s="237"/>
      <c r="NGP8" s="238"/>
      <c r="NGQ8" s="239"/>
      <c r="NGR8" s="239"/>
      <c r="NGS8" s="59"/>
      <c r="NGU8" s="235"/>
      <c r="NGV8" s="236"/>
      <c r="NGW8" s="63"/>
      <c r="NGX8" s="63"/>
      <c r="NGZ8" s="237"/>
      <c r="NHA8" s="238"/>
      <c r="NHB8" s="239"/>
      <c r="NHC8" s="239"/>
      <c r="NHD8" s="59"/>
      <c r="NHF8" s="235"/>
      <c r="NHG8" s="236"/>
      <c r="NHH8" s="63"/>
      <c r="NHI8" s="63"/>
      <c r="NHK8" s="237"/>
      <c r="NHL8" s="238"/>
      <c r="NHM8" s="239"/>
      <c r="NHN8" s="239"/>
      <c r="NHO8" s="59"/>
      <c r="NHQ8" s="235"/>
      <c r="NHR8" s="236"/>
      <c r="NHS8" s="63"/>
      <c r="NHT8" s="63"/>
      <c r="NHV8" s="237"/>
      <c r="NHW8" s="238"/>
      <c r="NHX8" s="239"/>
      <c r="NHY8" s="239"/>
      <c r="NHZ8" s="59"/>
      <c r="NIB8" s="235"/>
      <c r="NIC8" s="236"/>
      <c r="NID8" s="63"/>
      <c r="NIE8" s="63"/>
      <c r="NIG8" s="237"/>
      <c r="NIH8" s="238"/>
      <c r="NII8" s="239"/>
      <c r="NIJ8" s="239"/>
      <c r="NIK8" s="59"/>
      <c r="NIM8" s="235"/>
      <c r="NIN8" s="236"/>
      <c r="NIO8" s="63"/>
      <c r="NIP8" s="63"/>
      <c r="NIR8" s="237"/>
      <c r="NIS8" s="238"/>
      <c r="NIT8" s="239"/>
      <c r="NIU8" s="239"/>
      <c r="NIV8" s="59"/>
      <c r="NIX8" s="235"/>
      <c r="NIY8" s="236"/>
      <c r="NIZ8" s="63"/>
      <c r="NJA8" s="63"/>
      <c r="NJC8" s="237"/>
      <c r="NJD8" s="238"/>
      <c r="NJE8" s="239"/>
      <c r="NJF8" s="239"/>
      <c r="NJG8" s="59"/>
      <c r="NJI8" s="235"/>
      <c r="NJJ8" s="236"/>
      <c r="NJK8" s="63"/>
      <c r="NJL8" s="63"/>
      <c r="NJN8" s="237"/>
      <c r="NJO8" s="238"/>
      <c r="NJP8" s="239"/>
      <c r="NJQ8" s="239"/>
      <c r="NJR8" s="59"/>
      <c r="NJT8" s="235"/>
      <c r="NJU8" s="236"/>
      <c r="NJV8" s="63"/>
      <c r="NJW8" s="63"/>
      <c r="NJY8" s="237"/>
      <c r="NJZ8" s="238"/>
      <c r="NKA8" s="239"/>
      <c r="NKB8" s="239"/>
      <c r="NKC8" s="59"/>
      <c r="NKE8" s="235"/>
      <c r="NKF8" s="236"/>
      <c r="NKG8" s="63"/>
      <c r="NKH8" s="63"/>
      <c r="NKJ8" s="237"/>
      <c r="NKK8" s="238"/>
      <c r="NKL8" s="239"/>
      <c r="NKM8" s="239"/>
      <c r="NKN8" s="59"/>
      <c r="NKP8" s="235"/>
      <c r="NKQ8" s="236"/>
      <c r="NKR8" s="63"/>
      <c r="NKS8" s="63"/>
      <c r="NKU8" s="237"/>
      <c r="NKV8" s="238"/>
      <c r="NKW8" s="239"/>
      <c r="NKX8" s="239"/>
      <c r="NKY8" s="59"/>
      <c r="NLA8" s="235"/>
      <c r="NLB8" s="236"/>
      <c r="NLC8" s="63"/>
      <c r="NLD8" s="63"/>
      <c r="NLF8" s="237"/>
      <c r="NLG8" s="238"/>
      <c r="NLH8" s="239"/>
      <c r="NLI8" s="239"/>
      <c r="NLJ8" s="59"/>
      <c r="NLL8" s="235"/>
      <c r="NLM8" s="236"/>
      <c r="NLN8" s="63"/>
      <c r="NLO8" s="63"/>
      <c r="NLQ8" s="237"/>
      <c r="NLR8" s="238"/>
      <c r="NLS8" s="239"/>
      <c r="NLT8" s="239"/>
      <c r="NLU8" s="59"/>
      <c r="NLW8" s="235"/>
      <c r="NLX8" s="236"/>
      <c r="NLY8" s="63"/>
      <c r="NLZ8" s="63"/>
      <c r="NMB8" s="237"/>
      <c r="NMC8" s="238"/>
      <c r="NMD8" s="239"/>
      <c r="NME8" s="239"/>
      <c r="NMF8" s="59"/>
      <c r="NMH8" s="235"/>
      <c r="NMI8" s="236"/>
      <c r="NMJ8" s="63"/>
      <c r="NMK8" s="63"/>
      <c r="NMM8" s="237"/>
      <c r="NMN8" s="238"/>
      <c r="NMO8" s="239"/>
      <c r="NMP8" s="239"/>
      <c r="NMQ8" s="59"/>
      <c r="NMS8" s="235"/>
      <c r="NMT8" s="236"/>
      <c r="NMU8" s="63"/>
      <c r="NMV8" s="63"/>
      <c r="NMX8" s="237"/>
      <c r="NMY8" s="238"/>
      <c r="NMZ8" s="239"/>
      <c r="NNA8" s="239"/>
      <c r="NNB8" s="59"/>
      <c r="NND8" s="235"/>
      <c r="NNE8" s="236"/>
      <c r="NNF8" s="63"/>
      <c r="NNG8" s="63"/>
      <c r="NNI8" s="237"/>
      <c r="NNJ8" s="238"/>
      <c r="NNK8" s="239"/>
      <c r="NNL8" s="239"/>
      <c r="NNM8" s="59"/>
      <c r="NNO8" s="235"/>
      <c r="NNP8" s="236"/>
      <c r="NNQ8" s="63"/>
      <c r="NNR8" s="63"/>
      <c r="NNT8" s="237"/>
      <c r="NNU8" s="238"/>
      <c r="NNV8" s="239"/>
      <c r="NNW8" s="239"/>
      <c r="NNX8" s="59"/>
      <c r="NNZ8" s="235"/>
      <c r="NOA8" s="236"/>
      <c r="NOB8" s="63"/>
      <c r="NOC8" s="63"/>
      <c r="NOE8" s="237"/>
      <c r="NOF8" s="238"/>
      <c r="NOG8" s="239"/>
      <c r="NOH8" s="239"/>
      <c r="NOI8" s="59"/>
      <c r="NOK8" s="235"/>
      <c r="NOL8" s="236"/>
      <c r="NOM8" s="63"/>
      <c r="NON8" s="63"/>
      <c r="NOP8" s="237"/>
      <c r="NOQ8" s="238"/>
      <c r="NOR8" s="239"/>
      <c r="NOS8" s="239"/>
      <c r="NOT8" s="59"/>
      <c r="NOV8" s="235"/>
      <c r="NOW8" s="236"/>
      <c r="NOX8" s="63"/>
      <c r="NOY8" s="63"/>
      <c r="NPA8" s="237"/>
      <c r="NPB8" s="238"/>
      <c r="NPC8" s="239"/>
      <c r="NPD8" s="239"/>
      <c r="NPE8" s="59"/>
      <c r="NPG8" s="235"/>
      <c r="NPH8" s="236"/>
      <c r="NPI8" s="63"/>
      <c r="NPJ8" s="63"/>
      <c r="NPL8" s="237"/>
      <c r="NPM8" s="238"/>
      <c r="NPN8" s="239"/>
      <c r="NPO8" s="239"/>
      <c r="NPP8" s="59"/>
      <c r="NPR8" s="235"/>
      <c r="NPS8" s="236"/>
      <c r="NPT8" s="63"/>
      <c r="NPU8" s="63"/>
      <c r="NPW8" s="237"/>
      <c r="NPX8" s="238"/>
      <c r="NPY8" s="239"/>
      <c r="NPZ8" s="239"/>
      <c r="NQA8" s="59"/>
      <c r="NQC8" s="235"/>
      <c r="NQD8" s="236"/>
      <c r="NQE8" s="63"/>
      <c r="NQF8" s="63"/>
      <c r="NQH8" s="237"/>
      <c r="NQI8" s="238"/>
      <c r="NQJ8" s="239"/>
      <c r="NQK8" s="239"/>
      <c r="NQL8" s="59"/>
      <c r="NQN8" s="235"/>
      <c r="NQO8" s="236"/>
      <c r="NQP8" s="63"/>
      <c r="NQQ8" s="63"/>
      <c r="NQS8" s="237"/>
      <c r="NQT8" s="238"/>
      <c r="NQU8" s="239"/>
      <c r="NQV8" s="239"/>
      <c r="NQW8" s="59"/>
      <c r="NQY8" s="235"/>
      <c r="NQZ8" s="236"/>
      <c r="NRA8" s="63"/>
      <c r="NRB8" s="63"/>
      <c r="NRD8" s="237"/>
      <c r="NRE8" s="238"/>
      <c r="NRF8" s="239"/>
      <c r="NRG8" s="239"/>
      <c r="NRH8" s="59"/>
      <c r="NRJ8" s="235"/>
      <c r="NRK8" s="236"/>
      <c r="NRL8" s="63"/>
      <c r="NRM8" s="63"/>
      <c r="NRO8" s="237"/>
      <c r="NRP8" s="238"/>
      <c r="NRQ8" s="239"/>
      <c r="NRR8" s="239"/>
      <c r="NRS8" s="59"/>
      <c r="NRU8" s="235"/>
      <c r="NRV8" s="236"/>
      <c r="NRW8" s="63"/>
      <c r="NRX8" s="63"/>
      <c r="NRZ8" s="237"/>
      <c r="NSA8" s="238"/>
      <c r="NSB8" s="239"/>
      <c r="NSC8" s="239"/>
      <c r="NSD8" s="59"/>
      <c r="NSF8" s="235"/>
      <c r="NSG8" s="236"/>
      <c r="NSH8" s="63"/>
      <c r="NSI8" s="63"/>
      <c r="NSK8" s="237"/>
      <c r="NSL8" s="238"/>
      <c r="NSM8" s="239"/>
      <c r="NSN8" s="239"/>
      <c r="NSO8" s="59"/>
      <c r="NSQ8" s="235"/>
      <c r="NSR8" s="236"/>
      <c r="NSS8" s="63"/>
      <c r="NST8" s="63"/>
      <c r="NSV8" s="237"/>
      <c r="NSW8" s="238"/>
      <c r="NSX8" s="239"/>
      <c r="NSY8" s="239"/>
      <c r="NSZ8" s="59"/>
      <c r="NTB8" s="235"/>
      <c r="NTC8" s="236"/>
      <c r="NTD8" s="63"/>
      <c r="NTE8" s="63"/>
      <c r="NTG8" s="237"/>
      <c r="NTH8" s="238"/>
      <c r="NTI8" s="239"/>
      <c r="NTJ8" s="239"/>
      <c r="NTK8" s="59"/>
      <c r="NTM8" s="235"/>
      <c r="NTN8" s="236"/>
      <c r="NTO8" s="63"/>
      <c r="NTP8" s="63"/>
      <c r="NTR8" s="237"/>
      <c r="NTS8" s="238"/>
      <c r="NTT8" s="239"/>
      <c r="NTU8" s="239"/>
      <c r="NTV8" s="59"/>
      <c r="NTX8" s="235"/>
      <c r="NTY8" s="236"/>
      <c r="NTZ8" s="63"/>
      <c r="NUA8" s="63"/>
      <c r="NUC8" s="237"/>
      <c r="NUD8" s="238"/>
      <c r="NUE8" s="239"/>
      <c r="NUF8" s="239"/>
      <c r="NUG8" s="59"/>
      <c r="NUI8" s="235"/>
      <c r="NUJ8" s="236"/>
      <c r="NUK8" s="63"/>
      <c r="NUL8" s="63"/>
      <c r="NUN8" s="237"/>
      <c r="NUO8" s="238"/>
      <c r="NUP8" s="239"/>
      <c r="NUQ8" s="239"/>
      <c r="NUR8" s="59"/>
      <c r="NUT8" s="235"/>
      <c r="NUU8" s="236"/>
      <c r="NUV8" s="63"/>
      <c r="NUW8" s="63"/>
      <c r="NUY8" s="237"/>
      <c r="NUZ8" s="238"/>
      <c r="NVA8" s="239"/>
      <c r="NVB8" s="239"/>
      <c r="NVC8" s="59"/>
      <c r="NVE8" s="235"/>
      <c r="NVF8" s="236"/>
      <c r="NVG8" s="63"/>
      <c r="NVH8" s="63"/>
      <c r="NVJ8" s="237"/>
      <c r="NVK8" s="238"/>
      <c r="NVL8" s="239"/>
      <c r="NVM8" s="239"/>
      <c r="NVN8" s="59"/>
      <c r="NVP8" s="235"/>
      <c r="NVQ8" s="236"/>
      <c r="NVR8" s="63"/>
      <c r="NVS8" s="63"/>
      <c r="NVU8" s="237"/>
      <c r="NVV8" s="238"/>
      <c r="NVW8" s="239"/>
      <c r="NVX8" s="239"/>
      <c r="NVY8" s="59"/>
      <c r="NWA8" s="235"/>
      <c r="NWB8" s="236"/>
      <c r="NWC8" s="63"/>
      <c r="NWD8" s="63"/>
      <c r="NWF8" s="237"/>
      <c r="NWG8" s="238"/>
      <c r="NWH8" s="239"/>
      <c r="NWI8" s="239"/>
      <c r="NWJ8" s="59"/>
      <c r="NWL8" s="235"/>
      <c r="NWM8" s="236"/>
      <c r="NWN8" s="63"/>
      <c r="NWO8" s="63"/>
      <c r="NWQ8" s="237"/>
      <c r="NWR8" s="238"/>
      <c r="NWS8" s="239"/>
      <c r="NWT8" s="239"/>
      <c r="NWU8" s="59"/>
      <c r="NWW8" s="235"/>
      <c r="NWX8" s="236"/>
      <c r="NWY8" s="63"/>
      <c r="NWZ8" s="63"/>
      <c r="NXB8" s="237"/>
      <c r="NXC8" s="238"/>
      <c r="NXD8" s="239"/>
      <c r="NXE8" s="239"/>
      <c r="NXF8" s="59"/>
      <c r="NXH8" s="235"/>
      <c r="NXI8" s="236"/>
      <c r="NXJ8" s="63"/>
      <c r="NXK8" s="63"/>
      <c r="NXM8" s="237"/>
      <c r="NXN8" s="238"/>
      <c r="NXO8" s="239"/>
      <c r="NXP8" s="239"/>
      <c r="NXQ8" s="59"/>
      <c r="NXS8" s="235"/>
      <c r="NXT8" s="236"/>
      <c r="NXU8" s="63"/>
      <c r="NXV8" s="63"/>
      <c r="NXX8" s="237"/>
      <c r="NXY8" s="238"/>
      <c r="NXZ8" s="239"/>
      <c r="NYA8" s="239"/>
      <c r="NYB8" s="59"/>
      <c r="NYD8" s="235"/>
      <c r="NYE8" s="236"/>
      <c r="NYF8" s="63"/>
      <c r="NYG8" s="63"/>
      <c r="NYI8" s="237"/>
      <c r="NYJ8" s="238"/>
      <c r="NYK8" s="239"/>
      <c r="NYL8" s="239"/>
      <c r="NYM8" s="59"/>
      <c r="NYO8" s="235"/>
      <c r="NYP8" s="236"/>
      <c r="NYQ8" s="63"/>
      <c r="NYR8" s="63"/>
      <c r="NYT8" s="237"/>
      <c r="NYU8" s="238"/>
      <c r="NYV8" s="239"/>
      <c r="NYW8" s="239"/>
      <c r="NYX8" s="59"/>
      <c r="NYZ8" s="235"/>
      <c r="NZA8" s="236"/>
      <c r="NZB8" s="63"/>
      <c r="NZC8" s="63"/>
      <c r="NZE8" s="237"/>
      <c r="NZF8" s="238"/>
      <c r="NZG8" s="239"/>
      <c r="NZH8" s="239"/>
      <c r="NZI8" s="59"/>
      <c r="NZK8" s="235"/>
      <c r="NZL8" s="236"/>
      <c r="NZM8" s="63"/>
      <c r="NZN8" s="63"/>
      <c r="NZP8" s="237"/>
      <c r="NZQ8" s="238"/>
      <c r="NZR8" s="239"/>
      <c r="NZS8" s="239"/>
      <c r="NZT8" s="59"/>
      <c r="NZV8" s="235"/>
      <c r="NZW8" s="236"/>
      <c r="NZX8" s="63"/>
      <c r="NZY8" s="63"/>
      <c r="OAA8" s="237"/>
      <c r="OAB8" s="238"/>
      <c r="OAC8" s="239"/>
      <c r="OAD8" s="239"/>
      <c r="OAE8" s="59"/>
      <c r="OAG8" s="235"/>
      <c r="OAH8" s="236"/>
      <c r="OAI8" s="63"/>
      <c r="OAJ8" s="63"/>
      <c r="OAL8" s="237"/>
      <c r="OAM8" s="238"/>
      <c r="OAN8" s="239"/>
      <c r="OAO8" s="239"/>
      <c r="OAP8" s="59"/>
      <c r="OAR8" s="235"/>
      <c r="OAS8" s="236"/>
      <c r="OAT8" s="63"/>
      <c r="OAU8" s="63"/>
      <c r="OAW8" s="237"/>
      <c r="OAX8" s="238"/>
      <c r="OAY8" s="239"/>
      <c r="OAZ8" s="239"/>
      <c r="OBA8" s="59"/>
      <c r="OBC8" s="235"/>
      <c r="OBD8" s="236"/>
      <c r="OBE8" s="63"/>
      <c r="OBF8" s="63"/>
      <c r="OBH8" s="237"/>
      <c r="OBI8" s="238"/>
      <c r="OBJ8" s="239"/>
      <c r="OBK8" s="239"/>
      <c r="OBL8" s="59"/>
      <c r="OBN8" s="235"/>
      <c r="OBO8" s="236"/>
      <c r="OBP8" s="63"/>
      <c r="OBQ8" s="63"/>
      <c r="OBS8" s="237"/>
      <c r="OBT8" s="238"/>
      <c r="OBU8" s="239"/>
      <c r="OBV8" s="239"/>
      <c r="OBW8" s="59"/>
      <c r="OBY8" s="235"/>
      <c r="OBZ8" s="236"/>
      <c r="OCA8" s="63"/>
      <c r="OCB8" s="63"/>
      <c r="OCD8" s="237"/>
      <c r="OCE8" s="238"/>
      <c r="OCF8" s="239"/>
      <c r="OCG8" s="239"/>
      <c r="OCH8" s="59"/>
      <c r="OCJ8" s="235"/>
      <c r="OCK8" s="236"/>
      <c r="OCL8" s="63"/>
      <c r="OCM8" s="63"/>
      <c r="OCO8" s="237"/>
      <c r="OCP8" s="238"/>
      <c r="OCQ8" s="239"/>
      <c r="OCR8" s="239"/>
      <c r="OCS8" s="59"/>
      <c r="OCU8" s="235"/>
      <c r="OCV8" s="236"/>
      <c r="OCW8" s="63"/>
      <c r="OCX8" s="63"/>
      <c r="OCZ8" s="237"/>
      <c r="ODA8" s="238"/>
      <c r="ODB8" s="239"/>
      <c r="ODC8" s="239"/>
      <c r="ODD8" s="59"/>
      <c r="ODF8" s="235"/>
      <c r="ODG8" s="236"/>
      <c r="ODH8" s="63"/>
      <c r="ODI8" s="63"/>
      <c r="ODK8" s="237"/>
      <c r="ODL8" s="238"/>
      <c r="ODM8" s="239"/>
      <c r="ODN8" s="239"/>
      <c r="ODO8" s="59"/>
      <c r="ODQ8" s="235"/>
      <c r="ODR8" s="236"/>
      <c r="ODS8" s="63"/>
      <c r="ODT8" s="63"/>
      <c r="ODV8" s="237"/>
      <c r="ODW8" s="238"/>
      <c r="ODX8" s="239"/>
      <c r="ODY8" s="239"/>
      <c r="ODZ8" s="59"/>
      <c r="OEB8" s="235"/>
      <c r="OEC8" s="236"/>
      <c r="OED8" s="63"/>
      <c r="OEE8" s="63"/>
      <c r="OEG8" s="237"/>
      <c r="OEH8" s="238"/>
      <c r="OEI8" s="239"/>
      <c r="OEJ8" s="239"/>
      <c r="OEK8" s="59"/>
      <c r="OEM8" s="235"/>
      <c r="OEN8" s="236"/>
      <c r="OEO8" s="63"/>
      <c r="OEP8" s="63"/>
      <c r="OER8" s="237"/>
      <c r="OES8" s="238"/>
      <c r="OET8" s="239"/>
      <c r="OEU8" s="239"/>
      <c r="OEV8" s="59"/>
      <c r="OEX8" s="235"/>
      <c r="OEY8" s="236"/>
      <c r="OEZ8" s="63"/>
      <c r="OFA8" s="63"/>
      <c r="OFC8" s="237"/>
      <c r="OFD8" s="238"/>
      <c r="OFE8" s="239"/>
      <c r="OFF8" s="239"/>
      <c r="OFG8" s="59"/>
      <c r="OFI8" s="235"/>
      <c r="OFJ8" s="236"/>
      <c r="OFK8" s="63"/>
      <c r="OFL8" s="63"/>
      <c r="OFN8" s="237"/>
      <c r="OFO8" s="238"/>
      <c r="OFP8" s="239"/>
      <c r="OFQ8" s="239"/>
      <c r="OFR8" s="59"/>
      <c r="OFT8" s="235"/>
      <c r="OFU8" s="236"/>
      <c r="OFV8" s="63"/>
      <c r="OFW8" s="63"/>
      <c r="OFY8" s="237"/>
      <c r="OFZ8" s="238"/>
      <c r="OGA8" s="239"/>
      <c r="OGB8" s="239"/>
      <c r="OGC8" s="59"/>
      <c r="OGE8" s="235"/>
      <c r="OGF8" s="236"/>
      <c r="OGG8" s="63"/>
      <c r="OGH8" s="63"/>
      <c r="OGJ8" s="237"/>
      <c r="OGK8" s="238"/>
      <c r="OGL8" s="239"/>
      <c r="OGM8" s="239"/>
      <c r="OGN8" s="59"/>
      <c r="OGP8" s="235"/>
      <c r="OGQ8" s="236"/>
      <c r="OGR8" s="63"/>
      <c r="OGS8" s="63"/>
      <c r="OGU8" s="237"/>
      <c r="OGV8" s="238"/>
      <c r="OGW8" s="239"/>
      <c r="OGX8" s="239"/>
      <c r="OGY8" s="59"/>
      <c r="OHA8" s="235"/>
      <c r="OHB8" s="236"/>
      <c r="OHC8" s="63"/>
      <c r="OHD8" s="63"/>
      <c r="OHF8" s="237"/>
      <c r="OHG8" s="238"/>
      <c r="OHH8" s="239"/>
      <c r="OHI8" s="239"/>
      <c r="OHJ8" s="59"/>
      <c r="OHL8" s="235"/>
      <c r="OHM8" s="236"/>
      <c r="OHN8" s="63"/>
      <c r="OHO8" s="63"/>
      <c r="OHQ8" s="237"/>
      <c r="OHR8" s="238"/>
      <c r="OHS8" s="239"/>
      <c r="OHT8" s="239"/>
      <c r="OHU8" s="59"/>
      <c r="OHW8" s="235"/>
      <c r="OHX8" s="236"/>
      <c r="OHY8" s="63"/>
      <c r="OHZ8" s="63"/>
      <c r="OIB8" s="237"/>
      <c r="OIC8" s="238"/>
      <c r="OID8" s="239"/>
      <c r="OIE8" s="239"/>
      <c r="OIF8" s="59"/>
      <c r="OIH8" s="235"/>
      <c r="OII8" s="236"/>
      <c r="OIJ8" s="63"/>
      <c r="OIK8" s="63"/>
      <c r="OIM8" s="237"/>
      <c r="OIN8" s="238"/>
      <c r="OIO8" s="239"/>
      <c r="OIP8" s="239"/>
      <c r="OIQ8" s="59"/>
      <c r="OIS8" s="235"/>
      <c r="OIT8" s="236"/>
      <c r="OIU8" s="63"/>
      <c r="OIV8" s="63"/>
      <c r="OIX8" s="237"/>
      <c r="OIY8" s="238"/>
      <c r="OIZ8" s="239"/>
      <c r="OJA8" s="239"/>
      <c r="OJB8" s="59"/>
      <c r="OJD8" s="235"/>
      <c r="OJE8" s="236"/>
      <c r="OJF8" s="63"/>
      <c r="OJG8" s="63"/>
      <c r="OJI8" s="237"/>
      <c r="OJJ8" s="238"/>
      <c r="OJK8" s="239"/>
      <c r="OJL8" s="239"/>
      <c r="OJM8" s="59"/>
      <c r="OJO8" s="235"/>
      <c r="OJP8" s="236"/>
      <c r="OJQ8" s="63"/>
      <c r="OJR8" s="63"/>
      <c r="OJT8" s="237"/>
      <c r="OJU8" s="238"/>
      <c r="OJV8" s="239"/>
      <c r="OJW8" s="239"/>
      <c r="OJX8" s="59"/>
      <c r="OJZ8" s="235"/>
      <c r="OKA8" s="236"/>
      <c r="OKB8" s="63"/>
      <c r="OKC8" s="63"/>
      <c r="OKE8" s="237"/>
      <c r="OKF8" s="238"/>
      <c r="OKG8" s="239"/>
      <c r="OKH8" s="239"/>
      <c r="OKI8" s="59"/>
      <c r="OKK8" s="235"/>
      <c r="OKL8" s="236"/>
      <c r="OKM8" s="63"/>
      <c r="OKN8" s="63"/>
      <c r="OKP8" s="237"/>
      <c r="OKQ8" s="238"/>
      <c r="OKR8" s="239"/>
      <c r="OKS8" s="239"/>
      <c r="OKT8" s="59"/>
      <c r="OKV8" s="235"/>
      <c r="OKW8" s="236"/>
      <c r="OKX8" s="63"/>
      <c r="OKY8" s="63"/>
      <c r="OLA8" s="237"/>
      <c r="OLB8" s="238"/>
      <c r="OLC8" s="239"/>
      <c r="OLD8" s="239"/>
      <c r="OLE8" s="59"/>
      <c r="OLG8" s="235"/>
      <c r="OLH8" s="236"/>
      <c r="OLI8" s="63"/>
      <c r="OLJ8" s="63"/>
      <c r="OLL8" s="237"/>
      <c r="OLM8" s="238"/>
      <c r="OLN8" s="239"/>
      <c r="OLO8" s="239"/>
      <c r="OLP8" s="59"/>
      <c r="OLR8" s="235"/>
      <c r="OLS8" s="236"/>
      <c r="OLT8" s="63"/>
      <c r="OLU8" s="63"/>
      <c r="OLW8" s="237"/>
      <c r="OLX8" s="238"/>
      <c r="OLY8" s="239"/>
      <c r="OLZ8" s="239"/>
      <c r="OMA8" s="59"/>
      <c r="OMC8" s="235"/>
      <c r="OMD8" s="236"/>
      <c r="OME8" s="63"/>
      <c r="OMF8" s="63"/>
      <c r="OMH8" s="237"/>
      <c r="OMI8" s="238"/>
      <c r="OMJ8" s="239"/>
      <c r="OMK8" s="239"/>
      <c r="OML8" s="59"/>
      <c r="OMN8" s="235"/>
      <c r="OMO8" s="236"/>
      <c r="OMP8" s="63"/>
      <c r="OMQ8" s="63"/>
      <c r="OMS8" s="237"/>
      <c r="OMT8" s="238"/>
      <c r="OMU8" s="239"/>
      <c r="OMV8" s="239"/>
      <c r="OMW8" s="59"/>
      <c r="OMY8" s="235"/>
      <c r="OMZ8" s="236"/>
      <c r="ONA8" s="63"/>
      <c r="ONB8" s="63"/>
      <c r="OND8" s="237"/>
      <c r="ONE8" s="238"/>
      <c r="ONF8" s="239"/>
      <c r="ONG8" s="239"/>
      <c r="ONH8" s="59"/>
      <c r="ONJ8" s="235"/>
      <c r="ONK8" s="236"/>
      <c r="ONL8" s="63"/>
      <c r="ONM8" s="63"/>
      <c r="ONO8" s="237"/>
      <c r="ONP8" s="238"/>
      <c r="ONQ8" s="239"/>
      <c r="ONR8" s="239"/>
      <c r="ONS8" s="59"/>
      <c r="ONU8" s="235"/>
      <c r="ONV8" s="236"/>
      <c r="ONW8" s="63"/>
      <c r="ONX8" s="63"/>
      <c r="ONZ8" s="237"/>
      <c r="OOA8" s="238"/>
      <c r="OOB8" s="239"/>
      <c r="OOC8" s="239"/>
      <c r="OOD8" s="59"/>
      <c r="OOF8" s="235"/>
      <c r="OOG8" s="236"/>
      <c r="OOH8" s="63"/>
      <c r="OOI8" s="63"/>
      <c r="OOK8" s="237"/>
      <c r="OOL8" s="238"/>
      <c r="OOM8" s="239"/>
      <c r="OON8" s="239"/>
      <c r="OOO8" s="59"/>
      <c r="OOQ8" s="235"/>
      <c r="OOR8" s="236"/>
      <c r="OOS8" s="63"/>
      <c r="OOT8" s="63"/>
      <c r="OOV8" s="237"/>
      <c r="OOW8" s="238"/>
      <c r="OOX8" s="239"/>
      <c r="OOY8" s="239"/>
      <c r="OOZ8" s="59"/>
      <c r="OPB8" s="235"/>
      <c r="OPC8" s="236"/>
      <c r="OPD8" s="63"/>
      <c r="OPE8" s="63"/>
      <c r="OPG8" s="237"/>
      <c r="OPH8" s="238"/>
      <c r="OPI8" s="239"/>
      <c r="OPJ8" s="239"/>
      <c r="OPK8" s="59"/>
      <c r="OPM8" s="235"/>
      <c r="OPN8" s="236"/>
      <c r="OPO8" s="63"/>
      <c r="OPP8" s="63"/>
      <c r="OPR8" s="237"/>
      <c r="OPS8" s="238"/>
      <c r="OPT8" s="239"/>
      <c r="OPU8" s="239"/>
      <c r="OPV8" s="59"/>
      <c r="OPX8" s="235"/>
      <c r="OPY8" s="236"/>
      <c r="OPZ8" s="63"/>
      <c r="OQA8" s="63"/>
      <c r="OQC8" s="237"/>
      <c r="OQD8" s="238"/>
      <c r="OQE8" s="239"/>
      <c r="OQF8" s="239"/>
      <c r="OQG8" s="59"/>
      <c r="OQI8" s="235"/>
      <c r="OQJ8" s="236"/>
      <c r="OQK8" s="63"/>
      <c r="OQL8" s="63"/>
      <c r="OQN8" s="237"/>
      <c r="OQO8" s="238"/>
      <c r="OQP8" s="239"/>
      <c r="OQQ8" s="239"/>
      <c r="OQR8" s="59"/>
      <c r="OQT8" s="235"/>
      <c r="OQU8" s="236"/>
      <c r="OQV8" s="63"/>
      <c r="OQW8" s="63"/>
      <c r="OQY8" s="237"/>
      <c r="OQZ8" s="238"/>
      <c r="ORA8" s="239"/>
      <c r="ORB8" s="239"/>
      <c r="ORC8" s="59"/>
      <c r="ORE8" s="235"/>
      <c r="ORF8" s="236"/>
      <c r="ORG8" s="63"/>
      <c r="ORH8" s="63"/>
      <c r="ORJ8" s="237"/>
      <c r="ORK8" s="238"/>
      <c r="ORL8" s="239"/>
      <c r="ORM8" s="239"/>
      <c r="ORN8" s="59"/>
      <c r="ORP8" s="235"/>
      <c r="ORQ8" s="236"/>
      <c r="ORR8" s="63"/>
      <c r="ORS8" s="63"/>
      <c r="ORU8" s="237"/>
      <c r="ORV8" s="238"/>
      <c r="ORW8" s="239"/>
      <c r="ORX8" s="239"/>
      <c r="ORY8" s="59"/>
      <c r="OSA8" s="235"/>
      <c r="OSB8" s="236"/>
      <c r="OSC8" s="63"/>
      <c r="OSD8" s="63"/>
      <c r="OSF8" s="237"/>
      <c r="OSG8" s="238"/>
      <c r="OSH8" s="239"/>
      <c r="OSI8" s="239"/>
      <c r="OSJ8" s="59"/>
      <c r="OSL8" s="235"/>
      <c r="OSM8" s="236"/>
      <c r="OSN8" s="63"/>
      <c r="OSO8" s="63"/>
      <c r="OSQ8" s="237"/>
      <c r="OSR8" s="238"/>
      <c r="OSS8" s="239"/>
      <c r="OST8" s="239"/>
      <c r="OSU8" s="59"/>
      <c r="OSW8" s="235"/>
      <c r="OSX8" s="236"/>
      <c r="OSY8" s="63"/>
      <c r="OSZ8" s="63"/>
      <c r="OTB8" s="237"/>
      <c r="OTC8" s="238"/>
      <c r="OTD8" s="239"/>
      <c r="OTE8" s="239"/>
      <c r="OTF8" s="59"/>
      <c r="OTH8" s="235"/>
      <c r="OTI8" s="236"/>
      <c r="OTJ8" s="63"/>
      <c r="OTK8" s="63"/>
      <c r="OTM8" s="237"/>
      <c r="OTN8" s="238"/>
      <c r="OTO8" s="239"/>
      <c r="OTP8" s="239"/>
      <c r="OTQ8" s="59"/>
      <c r="OTS8" s="235"/>
      <c r="OTT8" s="236"/>
      <c r="OTU8" s="63"/>
      <c r="OTV8" s="63"/>
      <c r="OTX8" s="237"/>
      <c r="OTY8" s="238"/>
      <c r="OTZ8" s="239"/>
      <c r="OUA8" s="239"/>
      <c r="OUB8" s="59"/>
      <c r="OUD8" s="235"/>
      <c r="OUE8" s="236"/>
      <c r="OUF8" s="63"/>
      <c r="OUG8" s="63"/>
      <c r="OUI8" s="237"/>
      <c r="OUJ8" s="238"/>
      <c r="OUK8" s="239"/>
      <c r="OUL8" s="239"/>
      <c r="OUM8" s="59"/>
      <c r="OUO8" s="235"/>
      <c r="OUP8" s="236"/>
      <c r="OUQ8" s="63"/>
      <c r="OUR8" s="63"/>
      <c r="OUT8" s="237"/>
      <c r="OUU8" s="238"/>
      <c r="OUV8" s="239"/>
      <c r="OUW8" s="239"/>
      <c r="OUX8" s="59"/>
      <c r="OUZ8" s="235"/>
      <c r="OVA8" s="236"/>
      <c r="OVB8" s="63"/>
      <c r="OVC8" s="63"/>
      <c r="OVE8" s="237"/>
      <c r="OVF8" s="238"/>
      <c r="OVG8" s="239"/>
      <c r="OVH8" s="239"/>
      <c r="OVI8" s="59"/>
      <c r="OVK8" s="235"/>
      <c r="OVL8" s="236"/>
      <c r="OVM8" s="63"/>
      <c r="OVN8" s="63"/>
      <c r="OVP8" s="237"/>
      <c r="OVQ8" s="238"/>
      <c r="OVR8" s="239"/>
      <c r="OVS8" s="239"/>
      <c r="OVT8" s="59"/>
      <c r="OVV8" s="235"/>
      <c r="OVW8" s="236"/>
      <c r="OVX8" s="63"/>
      <c r="OVY8" s="63"/>
      <c r="OWA8" s="237"/>
      <c r="OWB8" s="238"/>
      <c r="OWC8" s="239"/>
      <c r="OWD8" s="239"/>
      <c r="OWE8" s="59"/>
      <c r="OWG8" s="235"/>
      <c r="OWH8" s="236"/>
      <c r="OWI8" s="63"/>
      <c r="OWJ8" s="63"/>
      <c r="OWL8" s="237"/>
      <c r="OWM8" s="238"/>
      <c r="OWN8" s="239"/>
      <c r="OWO8" s="239"/>
      <c r="OWP8" s="59"/>
      <c r="OWR8" s="235"/>
      <c r="OWS8" s="236"/>
      <c r="OWT8" s="63"/>
      <c r="OWU8" s="63"/>
      <c r="OWW8" s="237"/>
      <c r="OWX8" s="238"/>
      <c r="OWY8" s="239"/>
      <c r="OWZ8" s="239"/>
      <c r="OXA8" s="59"/>
      <c r="OXC8" s="235"/>
      <c r="OXD8" s="236"/>
      <c r="OXE8" s="63"/>
      <c r="OXF8" s="63"/>
      <c r="OXH8" s="237"/>
      <c r="OXI8" s="238"/>
      <c r="OXJ8" s="239"/>
      <c r="OXK8" s="239"/>
      <c r="OXL8" s="59"/>
      <c r="OXN8" s="235"/>
      <c r="OXO8" s="236"/>
      <c r="OXP8" s="63"/>
      <c r="OXQ8" s="63"/>
      <c r="OXS8" s="237"/>
      <c r="OXT8" s="238"/>
      <c r="OXU8" s="239"/>
      <c r="OXV8" s="239"/>
      <c r="OXW8" s="59"/>
      <c r="OXY8" s="235"/>
      <c r="OXZ8" s="236"/>
      <c r="OYA8" s="63"/>
      <c r="OYB8" s="63"/>
      <c r="OYD8" s="237"/>
      <c r="OYE8" s="238"/>
      <c r="OYF8" s="239"/>
      <c r="OYG8" s="239"/>
      <c r="OYH8" s="59"/>
      <c r="OYJ8" s="235"/>
      <c r="OYK8" s="236"/>
      <c r="OYL8" s="63"/>
      <c r="OYM8" s="63"/>
      <c r="OYO8" s="237"/>
      <c r="OYP8" s="238"/>
      <c r="OYQ8" s="239"/>
      <c r="OYR8" s="239"/>
      <c r="OYS8" s="59"/>
      <c r="OYU8" s="235"/>
      <c r="OYV8" s="236"/>
      <c r="OYW8" s="63"/>
      <c r="OYX8" s="63"/>
      <c r="OYZ8" s="237"/>
      <c r="OZA8" s="238"/>
      <c r="OZB8" s="239"/>
      <c r="OZC8" s="239"/>
      <c r="OZD8" s="59"/>
      <c r="OZF8" s="235"/>
      <c r="OZG8" s="236"/>
      <c r="OZH8" s="63"/>
      <c r="OZI8" s="63"/>
      <c r="OZK8" s="237"/>
      <c r="OZL8" s="238"/>
      <c r="OZM8" s="239"/>
      <c r="OZN8" s="239"/>
      <c r="OZO8" s="59"/>
      <c r="OZQ8" s="235"/>
      <c r="OZR8" s="236"/>
      <c r="OZS8" s="63"/>
      <c r="OZT8" s="63"/>
      <c r="OZV8" s="237"/>
      <c r="OZW8" s="238"/>
      <c r="OZX8" s="239"/>
      <c r="OZY8" s="239"/>
      <c r="OZZ8" s="59"/>
      <c r="PAB8" s="235"/>
      <c r="PAC8" s="236"/>
      <c r="PAD8" s="63"/>
      <c r="PAE8" s="63"/>
      <c r="PAG8" s="237"/>
      <c r="PAH8" s="238"/>
      <c r="PAI8" s="239"/>
      <c r="PAJ8" s="239"/>
      <c r="PAK8" s="59"/>
      <c r="PAM8" s="235"/>
      <c r="PAN8" s="236"/>
      <c r="PAO8" s="63"/>
      <c r="PAP8" s="63"/>
      <c r="PAR8" s="237"/>
      <c r="PAS8" s="238"/>
      <c r="PAT8" s="239"/>
      <c r="PAU8" s="239"/>
      <c r="PAV8" s="59"/>
      <c r="PAX8" s="235"/>
      <c r="PAY8" s="236"/>
      <c r="PAZ8" s="63"/>
      <c r="PBA8" s="63"/>
      <c r="PBC8" s="237"/>
      <c r="PBD8" s="238"/>
      <c r="PBE8" s="239"/>
      <c r="PBF8" s="239"/>
      <c r="PBG8" s="59"/>
      <c r="PBI8" s="235"/>
      <c r="PBJ8" s="236"/>
      <c r="PBK8" s="63"/>
      <c r="PBL8" s="63"/>
      <c r="PBN8" s="237"/>
      <c r="PBO8" s="238"/>
      <c r="PBP8" s="239"/>
      <c r="PBQ8" s="239"/>
      <c r="PBR8" s="59"/>
      <c r="PBT8" s="235"/>
      <c r="PBU8" s="236"/>
      <c r="PBV8" s="63"/>
      <c r="PBW8" s="63"/>
      <c r="PBY8" s="237"/>
      <c r="PBZ8" s="238"/>
      <c r="PCA8" s="239"/>
      <c r="PCB8" s="239"/>
      <c r="PCC8" s="59"/>
      <c r="PCE8" s="235"/>
      <c r="PCF8" s="236"/>
      <c r="PCG8" s="63"/>
      <c r="PCH8" s="63"/>
      <c r="PCJ8" s="237"/>
      <c r="PCK8" s="238"/>
      <c r="PCL8" s="239"/>
      <c r="PCM8" s="239"/>
      <c r="PCN8" s="59"/>
      <c r="PCP8" s="235"/>
      <c r="PCQ8" s="236"/>
      <c r="PCR8" s="63"/>
      <c r="PCS8" s="63"/>
      <c r="PCU8" s="237"/>
      <c r="PCV8" s="238"/>
      <c r="PCW8" s="239"/>
      <c r="PCX8" s="239"/>
      <c r="PCY8" s="59"/>
      <c r="PDA8" s="235"/>
      <c r="PDB8" s="236"/>
      <c r="PDC8" s="63"/>
      <c r="PDD8" s="63"/>
      <c r="PDF8" s="237"/>
      <c r="PDG8" s="238"/>
      <c r="PDH8" s="239"/>
      <c r="PDI8" s="239"/>
      <c r="PDJ8" s="59"/>
      <c r="PDL8" s="235"/>
      <c r="PDM8" s="236"/>
      <c r="PDN8" s="63"/>
      <c r="PDO8" s="63"/>
      <c r="PDQ8" s="237"/>
      <c r="PDR8" s="238"/>
      <c r="PDS8" s="239"/>
      <c r="PDT8" s="239"/>
      <c r="PDU8" s="59"/>
      <c r="PDW8" s="235"/>
      <c r="PDX8" s="236"/>
      <c r="PDY8" s="63"/>
      <c r="PDZ8" s="63"/>
      <c r="PEB8" s="237"/>
      <c r="PEC8" s="238"/>
      <c r="PED8" s="239"/>
      <c r="PEE8" s="239"/>
      <c r="PEF8" s="59"/>
      <c r="PEH8" s="235"/>
      <c r="PEI8" s="236"/>
      <c r="PEJ8" s="63"/>
      <c r="PEK8" s="63"/>
      <c r="PEM8" s="237"/>
      <c r="PEN8" s="238"/>
      <c r="PEO8" s="239"/>
      <c r="PEP8" s="239"/>
      <c r="PEQ8" s="59"/>
      <c r="PES8" s="235"/>
      <c r="PET8" s="236"/>
      <c r="PEU8" s="63"/>
      <c r="PEV8" s="63"/>
      <c r="PEX8" s="237"/>
      <c r="PEY8" s="238"/>
      <c r="PEZ8" s="239"/>
      <c r="PFA8" s="239"/>
      <c r="PFB8" s="59"/>
      <c r="PFD8" s="235"/>
      <c r="PFE8" s="236"/>
      <c r="PFF8" s="63"/>
      <c r="PFG8" s="63"/>
      <c r="PFI8" s="237"/>
      <c r="PFJ8" s="238"/>
      <c r="PFK8" s="239"/>
      <c r="PFL8" s="239"/>
      <c r="PFM8" s="59"/>
      <c r="PFO8" s="235"/>
      <c r="PFP8" s="236"/>
      <c r="PFQ8" s="63"/>
      <c r="PFR8" s="63"/>
      <c r="PFT8" s="237"/>
      <c r="PFU8" s="238"/>
      <c r="PFV8" s="239"/>
      <c r="PFW8" s="239"/>
      <c r="PFX8" s="59"/>
      <c r="PFZ8" s="235"/>
      <c r="PGA8" s="236"/>
      <c r="PGB8" s="63"/>
      <c r="PGC8" s="63"/>
      <c r="PGE8" s="237"/>
      <c r="PGF8" s="238"/>
      <c r="PGG8" s="239"/>
      <c r="PGH8" s="239"/>
      <c r="PGI8" s="59"/>
      <c r="PGK8" s="235"/>
      <c r="PGL8" s="236"/>
      <c r="PGM8" s="63"/>
      <c r="PGN8" s="63"/>
      <c r="PGP8" s="237"/>
      <c r="PGQ8" s="238"/>
      <c r="PGR8" s="239"/>
      <c r="PGS8" s="239"/>
      <c r="PGT8" s="59"/>
      <c r="PGV8" s="235"/>
      <c r="PGW8" s="236"/>
      <c r="PGX8" s="63"/>
      <c r="PGY8" s="63"/>
      <c r="PHA8" s="237"/>
      <c r="PHB8" s="238"/>
      <c r="PHC8" s="239"/>
      <c r="PHD8" s="239"/>
      <c r="PHE8" s="59"/>
      <c r="PHG8" s="235"/>
      <c r="PHH8" s="236"/>
      <c r="PHI8" s="63"/>
      <c r="PHJ8" s="63"/>
      <c r="PHL8" s="237"/>
      <c r="PHM8" s="238"/>
      <c r="PHN8" s="239"/>
      <c r="PHO8" s="239"/>
      <c r="PHP8" s="59"/>
      <c r="PHR8" s="235"/>
      <c r="PHS8" s="236"/>
      <c r="PHT8" s="63"/>
      <c r="PHU8" s="63"/>
      <c r="PHW8" s="237"/>
      <c r="PHX8" s="238"/>
      <c r="PHY8" s="239"/>
      <c r="PHZ8" s="239"/>
      <c r="PIA8" s="59"/>
      <c r="PIC8" s="235"/>
      <c r="PID8" s="236"/>
      <c r="PIE8" s="63"/>
      <c r="PIF8" s="63"/>
      <c r="PIH8" s="237"/>
      <c r="PII8" s="238"/>
      <c r="PIJ8" s="239"/>
      <c r="PIK8" s="239"/>
      <c r="PIL8" s="59"/>
      <c r="PIN8" s="235"/>
      <c r="PIO8" s="236"/>
      <c r="PIP8" s="63"/>
      <c r="PIQ8" s="63"/>
      <c r="PIS8" s="237"/>
      <c r="PIT8" s="238"/>
      <c r="PIU8" s="239"/>
      <c r="PIV8" s="239"/>
      <c r="PIW8" s="59"/>
      <c r="PIY8" s="235"/>
      <c r="PIZ8" s="236"/>
      <c r="PJA8" s="63"/>
      <c r="PJB8" s="63"/>
      <c r="PJD8" s="237"/>
      <c r="PJE8" s="238"/>
      <c r="PJF8" s="239"/>
      <c r="PJG8" s="239"/>
      <c r="PJH8" s="59"/>
      <c r="PJJ8" s="235"/>
      <c r="PJK8" s="236"/>
      <c r="PJL8" s="63"/>
      <c r="PJM8" s="63"/>
      <c r="PJO8" s="237"/>
      <c r="PJP8" s="238"/>
      <c r="PJQ8" s="239"/>
      <c r="PJR8" s="239"/>
      <c r="PJS8" s="59"/>
      <c r="PJU8" s="235"/>
      <c r="PJV8" s="236"/>
      <c r="PJW8" s="63"/>
      <c r="PJX8" s="63"/>
      <c r="PJZ8" s="237"/>
      <c r="PKA8" s="238"/>
      <c r="PKB8" s="239"/>
      <c r="PKC8" s="239"/>
      <c r="PKD8" s="59"/>
      <c r="PKF8" s="235"/>
      <c r="PKG8" s="236"/>
      <c r="PKH8" s="63"/>
      <c r="PKI8" s="63"/>
      <c r="PKK8" s="237"/>
      <c r="PKL8" s="238"/>
      <c r="PKM8" s="239"/>
      <c r="PKN8" s="239"/>
      <c r="PKO8" s="59"/>
      <c r="PKQ8" s="235"/>
      <c r="PKR8" s="236"/>
      <c r="PKS8" s="63"/>
      <c r="PKT8" s="63"/>
      <c r="PKV8" s="237"/>
      <c r="PKW8" s="238"/>
      <c r="PKX8" s="239"/>
      <c r="PKY8" s="239"/>
      <c r="PKZ8" s="59"/>
      <c r="PLB8" s="235"/>
      <c r="PLC8" s="236"/>
      <c r="PLD8" s="63"/>
      <c r="PLE8" s="63"/>
      <c r="PLG8" s="237"/>
      <c r="PLH8" s="238"/>
      <c r="PLI8" s="239"/>
      <c r="PLJ8" s="239"/>
      <c r="PLK8" s="59"/>
      <c r="PLM8" s="235"/>
      <c r="PLN8" s="236"/>
      <c r="PLO8" s="63"/>
      <c r="PLP8" s="63"/>
      <c r="PLR8" s="237"/>
      <c r="PLS8" s="238"/>
      <c r="PLT8" s="239"/>
      <c r="PLU8" s="239"/>
      <c r="PLV8" s="59"/>
      <c r="PLX8" s="235"/>
      <c r="PLY8" s="236"/>
      <c r="PLZ8" s="63"/>
      <c r="PMA8" s="63"/>
      <c r="PMC8" s="237"/>
      <c r="PMD8" s="238"/>
      <c r="PME8" s="239"/>
      <c r="PMF8" s="239"/>
      <c r="PMG8" s="59"/>
      <c r="PMI8" s="235"/>
      <c r="PMJ8" s="236"/>
      <c r="PMK8" s="63"/>
      <c r="PML8" s="63"/>
      <c r="PMN8" s="237"/>
      <c r="PMO8" s="238"/>
      <c r="PMP8" s="239"/>
      <c r="PMQ8" s="239"/>
      <c r="PMR8" s="59"/>
      <c r="PMT8" s="235"/>
      <c r="PMU8" s="236"/>
      <c r="PMV8" s="63"/>
      <c r="PMW8" s="63"/>
      <c r="PMY8" s="237"/>
      <c r="PMZ8" s="238"/>
      <c r="PNA8" s="239"/>
      <c r="PNB8" s="239"/>
      <c r="PNC8" s="59"/>
      <c r="PNE8" s="235"/>
      <c r="PNF8" s="236"/>
      <c r="PNG8" s="63"/>
      <c r="PNH8" s="63"/>
      <c r="PNJ8" s="237"/>
      <c r="PNK8" s="238"/>
      <c r="PNL8" s="239"/>
      <c r="PNM8" s="239"/>
      <c r="PNN8" s="59"/>
      <c r="PNP8" s="235"/>
      <c r="PNQ8" s="236"/>
      <c r="PNR8" s="63"/>
      <c r="PNS8" s="63"/>
      <c r="PNU8" s="237"/>
      <c r="PNV8" s="238"/>
      <c r="PNW8" s="239"/>
      <c r="PNX8" s="239"/>
      <c r="PNY8" s="59"/>
      <c r="POA8" s="235"/>
      <c r="POB8" s="236"/>
      <c r="POC8" s="63"/>
      <c r="POD8" s="63"/>
      <c r="POF8" s="237"/>
      <c r="POG8" s="238"/>
      <c r="POH8" s="239"/>
      <c r="POI8" s="239"/>
      <c r="POJ8" s="59"/>
      <c r="POL8" s="235"/>
      <c r="POM8" s="236"/>
      <c r="PON8" s="63"/>
      <c r="POO8" s="63"/>
      <c r="POQ8" s="237"/>
      <c r="POR8" s="238"/>
      <c r="POS8" s="239"/>
      <c r="POT8" s="239"/>
      <c r="POU8" s="59"/>
      <c r="POW8" s="235"/>
      <c r="POX8" s="236"/>
      <c r="POY8" s="63"/>
      <c r="POZ8" s="63"/>
      <c r="PPB8" s="237"/>
      <c r="PPC8" s="238"/>
      <c r="PPD8" s="239"/>
      <c r="PPE8" s="239"/>
      <c r="PPF8" s="59"/>
      <c r="PPH8" s="235"/>
      <c r="PPI8" s="236"/>
      <c r="PPJ8" s="63"/>
      <c r="PPK8" s="63"/>
      <c r="PPM8" s="237"/>
      <c r="PPN8" s="238"/>
      <c r="PPO8" s="239"/>
      <c r="PPP8" s="239"/>
      <c r="PPQ8" s="59"/>
      <c r="PPS8" s="235"/>
      <c r="PPT8" s="236"/>
      <c r="PPU8" s="63"/>
      <c r="PPV8" s="63"/>
      <c r="PPX8" s="237"/>
      <c r="PPY8" s="238"/>
      <c r="PPZ8" s="239"/>
      <c r="PQA8" s="239"/>
      <c r="PQB8" s="59"/>
      <c r="PQD8" s="235"/>
      <c r="PQE8" s="236"/>
      <c r="PQF8" s="63"/>
      <c r="PQG8" s="63"/>
      <c r="PQI8" s="237"/>
      <c r="PQJ8" s="238"/>
      <c r="PQK8" s="239"/>
      <c r="PQL8" s="239"/>
      <c r="PQM8" s="59"/>
      <c r="PQO8" s="235"/>
      <c r="PQP8" s="236"/>
      <c r="PQQ8" s="63"/>
      <c r="PQR8" s="63"/>
      <c r="PQT8" s="237"/>
      <c r="PQU8" s="238"/>
      <c r="PQV8" s="239"/>
      <c r="PQW8" s="239"/>
      <c r="PQX8" s="59"/>
      <c r="PQZ8" s="235"/>
      <c r="PRA8" s="236"/>
      <c r="PRB8" s="63"/>
      <c r="PRC8" s="63"/>
      <c r="PRE8" s="237"/>
      <c r="PRF8" s="238"/>
      <c r="PRG8" s="239"/>
      <c r="PRH8" s="239"/>
      <c r="PRI8" s="59"/>
      <c r="PRK8" s="235"/>
      <c r="PRL8" s="236"/>
      <c r="PRM8" s="63"/>
      <c r="PRN8" s="63"/>
      <c r="PRP8" s="237"/>
      <c r="PRQ8" s="238"/>
      <c r="PRR8" s="239"/>
      <c r="PRS8" s="239"/>
      <c r="PRT8" s="59"/>
      <c r="PRV8" s="235"/>
      <c r="PRW8" s="236"/>
      <c r="PRX8" s="63"/>
      <c r="PRY8" s="63"/>
      <c r="PSA8" s="237"/>
      <c r="PSB8" s="238"/>
      <c r="PSC8" s="239"/>
      <c r="PSD8" s="239"/>
      <c r="PSE8" s="59"/>
      <c r="PSG8" s="235"/>
      <c r="PSH8" s="236"/>
      <c r="PSI8" s="63"/>
      <c r="PSJ8" s="63"/>
      <c r="PSL8" s="237"/>
      <c r="PSM8" s="238"/>
      <c r="PSN8" s="239"/>
      <c r="PSO8" s="239"/>
      <c r="PSP8" s="59"/>
      <c r="PSR8" s="235"/>
      <c r="PSS8" s="236"/>
      <c r="PST8" s="63"/>
      <c r="PSU8" s="63"/>
      <c r="PSW8" s="237"/>
      <c r="PSX8" s="238"/>
      <c r="PSY8" s="239"/>
      <c r="PSZ8" s="239"/>
      <c r="PTA8" s="59"/>
      <c r="PTC8" s="235"/>
      <c r="PTD8" s="236"/>
      <c r="PTE8" s="63"/>
      <c r="PTF8" s="63"/>
      <c r="PTH8" s="237"/>
      <c r="PTI8" s="238"/>
      <c r="PTJ8" s="239"/>
      <c r="PTK8" s="239"/>
      <c r="PTL8" s="59"/>
      <c r="PTN8" s="235"/>
      <c r="PTO8" s="236"/>
      <c r="PTP8" s="63"/>
      <c r="PTQ8" s="63"/>
      <c r="PTS8" s="237"/>
      <c r="PTT8" s="238"/>
      <c r="PTU8" s="239"/>
      <c r="PTV8" s="239"/>
      <c r="PTW8" s="59"/>
      <c r="PTY8" s="235"/>
      <c r="PTZ8" s="236"/>
      <c r="PUA8" s="63"/>
      <c r="PUB8" s="63"/>
      <c r="PUD8" s="237"/>
      <c r="PUE8" s="238"/>
      <c r="PUF8" s="239"/>
      <c r="PUG8" s="239"/>
      <c r="PUH8" s="59"/>
      <c r="PUJ8" s="235"/>
      <c r="PUK8" s="236"/>
      <c r="PUL8" s="63"/>
      <c r="PUM8" s="63"/>
      <c r="PUO8" s="237"/>
      <c r="PUP8" s="238"/>
      <c r="PUQ8" s="239"/>
      <c r="PUR8" s="239"/>
      <c r="PUS8" s="59"/>
      <c r="PUU8" s="235"/>
      <c r="PUV8" s="236"/>
      <c r="PUW8" s="63"/>
      <c r="PUX8" s="63"/>
      <c r="PUZ8" s="237"/>
      <c r="PVA8" s="238"/>
      <c r="PVB8" s="239"/>
      <c r="PVC8" s="239"/>
      <c r="PVD8" s="59"/>
      <c r="PVF8" s="235"/>
      <c r="PVG8" s="236"/>
      <c r="PVH8" s="63"/>
      <c r="PVI8" s="63"/>
      <c r="PVK8" s="237"/>
      <c r="PVL8" s="238"/>
      <c r="PVM8" s="239"/>
      <c r="PVN8" s="239"/>
      <c r="PVO8" s="59"/>
      <c r="PVQ8" s="235"/>
      <c r="PVR8" s="236"/>
      <c r="PVS8" s="63"/>
      <c r="PVT8" s="63"/>
      <c r="PVV8" s="237"/>
      <c r="PVW8" s="238"/>
      <c r="PVX8" s="239"/>
      <c r="PVY8" s="239"/>
      <c r="PVZ8" s="59"/>
      <c r="PWB8" s="235"/>
      <c r="PWC8" s="236"/>
      <c r="PWD8" s="63"/>
      <c r="PWE8" s="63"/>
      <c r="PWG8" s="237"/>
      <c r="PWH8" s="238"/>
      <c r="PWI8" s="239"/>
      <c r="PWJ8" s="239"/>
      <c r="PWK8" s="59"/>
      <c r="PWM8" s="235"/>
      <c r="PWN8" s="236"/>
      <c r="PWO8" s="63"/>
      <c r="PWP8" s="63"/>
      <c r="PWR8" s="237"/>
      <c r="PWS8" s="238"/>
      <c r="PWT8" s="239"/>
      <c r="PWU8" s="239"/>
      <c r="PWV8" s="59"/>
      <c r="PWX8" s="235"/>
      <c r="PWY8" s="236"/>
      <c r="PWZ8" s="63"/>
      <c r="PXA8" s="63"/>
      <c r="PXC8" s="237"/>
      <c r="PXD8" s="238"/>
      <c r="PXE8" s="239"/>
      <c r="PXF8" s="239"/>
      <c r="PXG8" s="59"/>
      <c r="PXI8" s="235"/>
      <c r="PXJ8" s="236"/>
      <c r="PXK8" s="63"/>
      <c r="PXL8" s="63"/>
      <c r="PXN8" s="237"/>
      <c r="PXO8" s="238"/>
      <c r="PXP8" s="239"/>
      <c r="PXQ8" s="239"/>
      <c r="PXR8" s="59"/>
      <c r="PXT8" s="235"/>
      <c r="PXU8" s="236"/>
      <c r="PXV8" s="63"/>
      <c r="PXW8" s="63"/>
      <c r="PXY8" s="237"/>
      <c r="PXZ8" s="238"/>
      <c r="PYA8" s="239"/>
      <c r="PYB8" s="239"/>
      <c r="PYC8" s="59"/>
      <c r="PYE8" s="235"/>
      <c r="PYF8" s="236"/>
      <c r="PYG8" s="63"/>
      <c r="PYH8" s="63"/>
      <c r="PYJ8" s="237"/>
      <c r="PYK8" s="238"/>
      <c r="PYL8" s="239"/>
      <c r="PYM8" s="239"/>
      <c r="PYN8" s="59"/>
      <c r="PYP8" s="235"/>
      <c r="PYQ8" s="236"/>
      <c r="PYR8" s="63"/>
      <c r="PYS8" s="63"/>
      <c r="PYU8" s="237"/>
      <c r="PYV8" s="238"/>
      <c r="PYW8" s="239"/>
      <c r="PYX8" s="239"/>
      <c r="PYY8" s="59"/>
      <c r="PZA8" s="235"/>
      <c r="PZB8" s="236"/>
      <c r="PZC8" s="63"/>
      <c r="PZD8" s="63"/>
      <c r="PZF8" s="237"/>
      <c r="PZG8" s="238"/>
      <c r="PZH8" s="239"/>
      <c r="PZI8" s="239"/>
      <c r="PZJ8" s="59"/>
      <c r="PZL8" s="235"/>
      <c r="PZM8" s="236"/>
      <c r="PZN8" s="63"/>
      <c r="PZO8" s="63"/>
      <c r="PZQ8" s="237"/>
      <c r="PZR8" s="238"/>
      <c r="PZS8" s="239"/>
      <c r="PZT8" s="239"/>
      <c r="PZU8" s="59"/>
      <c r="PZW8" s="235"/>
      <c r="PZX8" s="236"/>
      <c r="PZY8" s="63"/>
      <c r="PZZ8" s="63"/>
      <c r="QAB8" s="237"/>
      <c r="QAC8" s="238"/>
      <c r="QAD8" s="239"/>
      <c r="QAE8" s="239"/>
      <c r="QAF8" s="59"/>
      <c r="QAH8" s="235"/>
      <c r="QAI8" s="236"/>
      <c r="QAJ8" s="63"/>
      <c r="QAK8" s="63"/>
      <c r="QAM8" s="237"/>
      <c r="QAN8" s="238"/>
      <c r="QAO8" s="239"/>
      <c r="QAP8" s="239"/>
      <c r="QAQ8" s="59"/>
      <c r="QAS8" s="235"/>
      <c r="QAT8" s="236"/>
      <c r="QAU8" s="63"/>
      <c r="QAV8" s="63"/>
      <c r="QAX8" s="237"/>
      <c r="QAY8" s="238"/>
      <c r="QAZ8" s="239"/>
      <c r="QBA8" s="239"/>
      <c r="QBB8" s="59"/>
      <c r="QBD8" s="235"/>
      <c r="QBE8" s="236"/>
      <c r="QBF8" s="63"/>
      <c r="QBG8" s="63"/>
      <c r="QBI8" s="237"/>
      <c r="QBJ8" s="238"/>
      <c r="QBK8" s="239"/>
      <c r="QBL8" s="239"/>
      <c r="QBM8" s="59"/>
      <c r="QBO8" s="235"/>
      <c r="QBP8" s="236"/>
      <c r="QBQ8" s="63"/>
      <c r="QBR8" s="63"/>
      <c r="QBT8" s="237"/>
      <c r="QBU8" s="238"/>
      <c r="QBV8" s="239"/>
      <c r="QBW8" s="239"/>
      <c r="QBX8" s="59"/>
      <c r="QBZ8" s="235"/>
      <c r="QCA8" s="236"/>
      <c r="QCB8" s="63"/>
      <c r="QCC8" s="63"/>
      <c r="QCE8" s="237"/>
      <c r="QCF8" s="238"/>
      <c r="QCG8" s="239"/>
      <c r="QCH8" s="239"/>
      <c r="QCI8" s="59"/>
      <c r="QCK8" s="235"/>
      <c r="QCL8" s="236"/>
      <c r="QCM8" s="63"/>
      <c r="QCN8" s="63"/>
      <c r="QCP8" s="237"/>
      <c r="QCQ8" s="238"/>
      <c r="QCR8" s="239"/>
      <c r="QCS8" s="239"/>
      <c r="QCT8" s="59"/>
      <c r="QCV8" s="235"/>
      <c r="QCW8" s="236"/>
      <c r="QCX8" s="63"/>
      <c r="QCY8" s="63"/>
      <c r="QDA8" s="237"/>
      <c r="QDB8" s="238"/>
      <c r="QDC8" s="239"/>
      <c r="QDD8" s="239"/>
      <c r="QDE8" s="59"/>
      <c r="QDG8" s="235"/>
      <c r="QDH8" s="236"/>
      <c r="QDI8" s="63"/>
      <c r="QDJ8" s="63"/>
      <c r="QDL8" s="237"/>
      <c r="QDM8" s="238"/>
      <c r="QDN8" s="239"/>
      <c r="QDO8" s="239"/>
      <c r="QDP8" s="59"/>
      <c r="QDR8" s="235"/>
      <c r="QDS8" s="236"/>
      <c r="QDT8" s="63"/>
      <c r="QDU8" s="63"/>
      <c r="QDW8" s="237"/>
      <c r="QDX8" s="238"/>
      <c r="QDY8" s="239"/>
      <c r="QDZ8" s="239"/>
      <c r="QEA8" s="59"/>
      <c r="QEC8" s="235"/>
      <c r="QED8" s="236"/>
      <c r="QEE8" s="63"/>
      <c r="QEF8" s="63"/>
      <c r="QEH8" s="237"/>
      <c r="QEI8" s="238"/>
      <c r="QEJ8" s="239"/>
      <c r="QEK8" s="239"/>
      <c r="QEL8" s="59"/>
      <c r="QEN8" s="235"/>
      <c r="QEO8" s="236"/>
      <c r="QEP8" s="63"/>
      <c r="QEQ8" s="63"/>
      <c r="QES8" s="237"/>
      <c r="QET8" s="238"/>
      <c r="QEU8" s="239"/>
      <c r="QEV8" s="239"/>
      <c r="QEW8" s="59"/>
      <c r="QEY8" s="235"/>
      <c r="QEZ8" s="236"/>
      <c r="QFA8" s="63"/>
      <c r="QFB8" s="63"/>
      <c r="QFD8" s="237"/>
      <c r="QFE8" s="238"/>
      <c r="QFF8" s="239"/>
      <c r="QFG8" s="239"/>
      <c r="QFH8" s="59"/>
      <c r="QFJ8" s="235"/>
      <c r="QFK8" s="236"/>
      <c r="QFL8" s="63"/>
      <c r="QFM8" s="63"/>
      <c r="QFO8" s="237"/>
      <c r="QFP8" s="238"/>
      <c r="QFQ8" s="239"/>
      <c r="QFR8" s="239"/>
      <c r="QFS8" s="59"/>
      <c r="QFU8" s="235"/>
      <c r="QFV8" s="236"/>
      <c r="QFW8" s="63"/>
      <c r="QFX8" s="63"/>
      <c r="QFZ8" s="237"/>
      <c r="QGA8" s="238"/>
      <c r="QGB8" s="239"/>
      <c r="QGC8" s="239"/>
      <c r="QGD8" s="59"/>
      <c r="QGF8" s="235"/>
      <c r="QGG8" s="236"/>
      <c r="QGH8" s="63"/>
      <c r="QGI8" s="63"/>
      <c r="QGK8" s="237"/>
      <c r="QGL8" s="238"/>
      <c r="QGM8" s="239"/>
      <c r="QGN8" s="239"/>
      <c r="QGO8" s="59"/>
      <c r="QGQ8" s="235"/>
      <c r="QGR8" s="236"/>
      <c r="QGS8" s="63"/>
      <c r="QGT8" s="63"/>
      <c r="QGV8" s="237"/>
      <c r="QGW8" s="238"/>
      <c r="QGX8" s="239"/>
      <c r="QGY8" s="239"/>
      <c r="QGZ8" s="59"/>
      <c r="QHB8" s="235"/>
      <c r="QHC8" s="236"/>
      <c r="QHD8" s="63"/>
      <c r="QHE8" s="63"/>
      <c r="QHG8" s="237"/>
      <c r="QHH8" s="238"/>
      <c r="QHI8" s="239"/>
      <c r="QHJ8" s="239"/>
      <c r="QHK8" s="59"/>
      <c r="QHM8" s="235"/>
      <c r="QHN8" s="236"/>
      <c r="QHO8" s="63"/>
      <c r="QHP8" s="63"/>
      <c r="QHR8" s="237"/>
      <c r="QHS8" s="238"/>
      <c r="QHT8" s="239"/>
      <c r="QHU8" s="239"/>
      <c r="QHV8" s="59"/>
      <c r="QHX8" s="235"/>
      <c r="QHY8" s="236"/>
      <c r="QHZ8" s="63"/>
      <c r="QIA8" s="63"/>
      <c r="QIC8" s="237"/>
      <c r="QID8" s="238"/>
      <c r="QIE8" s="239"/>
      <c r="QIF8" s="239"/>
      <c r="QIG8" s="59"/>
      <c r="QII8" s="235"/>
      <c r="QIJ8" s="236"/>
      <c r="QIK8" s="63"/>
      <c r="QIL8" s="63"/>
      <c r="QIN8" s="237"/>
      <c r="QIO8" s="238"/>
      <c r="QIP8" s="239"/>
      <c r="QIQ8" s="239"/>
      <c r="QIR8" s="59"/>
      <c r="QIT8" s="235"/>
      <c r="QIU8" s="236"/>
      <c r="QIV8" s="63"/>
      <c r="QIW8" s="63"/>
      <c r="QIY8" s="237"/>
      <c r="QIZ8" s="238"/>
      <c r="QJA8" s="239"/>
      <c r="QJB8" s="239"/>
      <c r="QJC8" s="59"/>
      <c r="QJE8" s="235"/>
      <c r="QJF8" s="236"/>
      <c r="QJG8" s="63"/>
      <c r="QJH8" s="63"/>
      <c r="QJJ8" s="237"/>
      <c r="QJK8" s="238"/>
      <c r="QJL8" s="239"/>
      <c r="QJM8" s="239"/>
      <c r="QJN8" s="59"/>
      <c r="QJP8" s="235"/>
      <c r="QJQ8" s="236"/>
      <c r="QJR8" s="63"/>
      <c r="QJS8" s="63"/>
      <c r="QJU8" s="237"/>
      <c r="QJV8" s="238"/>
      <c r="QJW8" s="239"/>
      <c r="QJX8" s="239"/>
      <c r="QJY8" s="59"/>
      <c r="QKA8" s="235"/>
      <c r="QKB8" s="236"/>
      <c r="QKC8" s="63"/>
      <c r="QKD8" s="63"/>
      <c r="QKF8" s="237"/>
      <c r="QKG8" s="238"/>
      <c r="QKH8" s="239"/>
      <c r="QKI8" s="239"/>
      <c r="QKJ8" s="59"/>
      <c r="QKL8" s="235"/>
      <c r="QKM8" s="236"/>
      <c r="QKN8" s="63"/>
      <c r="QKO8" s="63"/>
      <c r="QKQ8" s="237"/>
      <c r="QKR8" s="238"/>
      <c r="QKS8" s="239"/>
      <c r="QKT8" s="239"/>
      <c r="QKU8" s="59"/>
      <c r="QKW8" s="235"/>
      <c r="QKX8" s="236"/>
      <c r="QKY8" s="63"/>
      <c r="QKZ8" s="63"/>
      <c r="QLB8" s="237"/>
      <c r="QLC8" s="238"/>
      <c r="QLD8" s="239"/>
      <c r="QLE8" s="239"/>
      <c r="QLF8" s="59"/>
      <c r="QLH8" s="235"/>
      <c r="QLI8" s="236"/>
      <c r="QLJ8" s="63"/>
      <c r="QLK8" s="63"/>
      <c r="QLM8" s="237"/>
      <c r="QLN8" s="238"/>
      <c r="QLO8" s="239"/>
      <c r="QLP8" s="239"/>
      <c r="QLQ8" s="59"/>
      <c r="QLS8" s="235"/>
      <c r="QLT8" s="236"/>
      <c r="QLU8" s="63"/>
      <c r="QLV8" s="63"/>
      <c r="QLX8" s="237"/>
      <c r="QLY8" s="238"/>
      <c r="QLZ8" s="239"/>
      <c r="QMA8" s="239"/>
      <c r="QMB8" s="59"/>
      <c r="QMD8" s="235"/>
      <c r="QME8" s="236"/>
      <c r="QMF8" s="63"/>
      <c r="QMG8" s="63"/>
      <c r="QMI8" s="237"/>
      <c r="QMJ8" s="238"/>
      <c r="QMK8" s="239"/>
      <c r="QML8" s="239"/>
      <c r="QMM8" s="59"/>
      <c r="QMO8" s="235"/>
      <c r="QMP8" s="236"/>
      <c r="QMQ8" s="63"/>
      <c r="QMR8" s="63"/>
      <c r="QMT8" s="237"/>
      <c r="QMU8" s="238"/>
      <c r="QMV8" s="239"/>
      <c r="QMW8" s="239"/>
      <c r="QMX8" s="59"/>
      <c r="QMZ8" s="235"/>
      <c r="QNA8" s="236"/>
      <c r="QNB8" s="63"/>
      <c r="QNC8" s="63"/>
      <c r="QNE8" s="237"/>
      <c r="QNF8" s="238"/>
      <c r="QNG8" s="239"/>
      <c r="QNH8" s="239"/>
      <c r="QNI8" s="59"/>
      <c r="QNK8" s="235"/>
      <c r="QNL8" s="236"/>
      <c r="QNM8" s="63"/>
      <c r="QNN8" s="63"/>
      <c r="QNP8" s="237"/>
      <c r="QNQ8" s="238"/>
      <c r="QNR8" s="239"/>
      <c r="QNS8" s="239"/>
      <c r="QNT8" s="59"/>
      <c r="QNV8" s="235"/>
      <c r="QNW8" s="236"/>
      <c r="QNX8" s="63"/>
      <c r="QNY8" s="63"/>
      <c r="QOA8" s="237"/>
      <c r="QOB8" s="238"/>
      <c r="QOC8" s="239"/>
      <c r="QOD8" s="239"/>
      <c r="QOE8" s="59"/>
      <c r="QOG8" s="235"/>
      <c r="QOH8" s="236"/>
      <c r="QOI8" s="63"/>
      <c r="QOJ8" s="63"/>
      <c r="QOL8" s="237"/>
      <c r="QOM8" s="238"/>
      <c r="QON8" s="239"/>
      <c r="QOO8" s="239"/>
      <c r="QOP8" s="59"/>
      <c r="QOR8" s="235"/>
      <c r="QOS8" s="236"/>
      <c r="QOT8" s="63"/>
      <c r="QOU8" s="63"/>
      <c r="QOW8" s="237"/>
      <c r="QOX8" s="238"/>
      <c r="QOY8" s="239"/>
      <c r="QOZ8" s="239"/>
      <c r="QPA8" s="59"/>
      <c r="QPC8" s="235"/>
      <c r="QPD8" s="236"/>
      <c r="QPE8" s="63"/>
      <c r="QPF8" s="63"/>
      <c r="QPH8" s="237"/>
      <c r="QPI8" s="238"/>
      <c r="QPJ8" s="239"/>
      <c r="QPK8" s="239"/>
      <c r="QPL8" s="59"/>
      <c r="QPN8" s="235"/>
      <c r="QPO8" s="236"/>
      <c r="QPP8" s="63"/>
      <c r="QPQ8" s="63"/>
      <c r="QPS8" s="237"/>
      <c r="QPT8" s="238"/>
      <c r="QPU8" s="239"/>
      <c r="QPV8" s="239"/>
      <c r="QPW8" s="59"/>
      <c r="QPY8" s="235"/>
      <c r="QPZ8" s="236"/>
      <c r="QQA8" s="63"/>
      <c r="QQB8" s="63"/>
      <c r="QQD8" s="237"/>
      <c r="QQE8" s="238"/>
      <c r="QQF8" s="239"/>
      <c r="QQG8" s="239"/>
      <c r="QQH8" s="59"/>
      <c r="QQJ8" s="235"/>
      <c r="QQK8" s="236"/>
      <c r="QQL8" s="63"/>
      <c r="QQM8" s="63"/>
      <c r="QQO8" s="237"/>
      <c r="QQP8" s="238"/>
      <c r="QQQ8" s="239"/>
      <c r="QQR8" s="239"/>
      <c r="QQS8" s="59"/>
      <c r="QQU8" s="235"/>
      <c r="QQV8" s="236"/>
      <c r="QQW8" s="63"/>
      <c r="QQX8" s="63"/>
      <c r="QQZ8" s="237"/>
      <c r="QRA8" s="238"/>
      <c r="QRB8" s="239"/>
      <c r="QRC8" s="239"/>
      <c r="QRD8" s="59"/>
      <c r="QRF8" s="235"/>
      <c r="QRG8" s="236"/>
      <c r="QRH8" s="63"/>
      <c r="QRI8" s="63"/>
      <c r="QRK8" s="237"/>
      <c r="QRL8" s="238"/>
      <c r="QRM8" s="239"/>
      <c r="QRN8" s="239"/>
      <c r="QRO8" s="59"/>
      <c r="QRQ8" s="235"/>
      <c r="QRR8" s="236"/>
      <c r="QRS8" s="63"/>
      <c r="QRT8" s="63"/>
      <c r="QRV8" s="237"/>
      <c r="QRW8" s="238"/>
      <c r="QRX8" s="239"/>
      <c r="QRY8" s="239"/>
      <c r="QRZ8" s="59"/>
      <c r="QSB8" s="235"/>
      <c r="QSC8" s="236"/>
      <c r="QSD8" s="63"/>
      <c r="QSE8" s="63"/>
      <c r="QSG8" s="237"/>
      <c r="QSH8" s="238"/>
      <c r="QSI8" s="239"/>
      <c r="QSJ8" s="239"/>
      <c r="QSK8" s="59"/>
      <c r="QSM8" s="235"/>
      <c r="QSN8" s="236"/>
      <c r="QSO8" s="63"/>
      <c r="QSP8" s="63"/>
      <c r="QSR8" s="237"/>
      <c r="QSS8" s="238"/>
      <c r="QST8" s="239"/>
      <c r="QSU8" s="239"/>
      <c r="QSV8" s="59"/>
      <c r="QSX8" s="235"/>
      <c r="QSY8" s="236"/>
      <c r="QSZ8" s="63"/>
      <c r="QTA8" s="63"/>
      <c r="QTC8" s="237"/>
      <c r="QTD8" s="238"/>
      <c r="QTE8" s="239"/>
      <c r="QTF8" s="239"/>
      <c r="QTG8" s="59"/>
      <c r="QTI8" s="235"/>
      <c r="QTJ8" s="236"/>
      <c r="QTK8" s="63"/>
      <c r="QTL8" s="63"/>
      <c r="QTN8" s="237"/>
      <c r="QTO8" s="238"/>
      <c r="QTP8" s="239"/>
      <c r="QTQ8" s="239"/>
      <c r="QTR8" s="59"/>
      <c r="QTT8" s="235"/>
      <c r="QTU8" s="236"/>
      <c r="QTV8" s="63"/>
      <c r="QTW8" s="63"/>
      <c r="QTY8" s="237"/>
      <c r="QTZ8" s="238"/>
      <c r="QUA8" s="239"/>
      <c r="QUB8" s="239"/>
      <c r="QUC8" s="59"/>
      <c r="QUE8" s="235"/>
      <c r="QUF8" s="236"/>
      <c r="QUG8" s="63"/>
      <c r="QUH8" s="63"/>
      <c r="QUJ8" s="237"/>
      <c r="QUK8" s="238"/>
      <c r="QUL8" s="239"/>
      <c r="QUM8" s="239"/>
      <c r="QUN8" s="59"/>
      <c r="QUP8" s="235"/>
      <c r="QUQ8" s="236"/>
      <c r="QUR8" s="63"/>
      <c r="QUS8" s="63"/>
      <c r="QUU8" s="237"/>
      <c r="QUV8" s="238"/>
      <c r="QUW8" s="239"/>
      <c r="QUX8" s="239"/>
      <c r="QUY8" s="59"/>
      <c r="QVA8" s="235"/>
      <c r="QVB8" s="236"/>
      <c r="QVC8" s="63"/>
      <c r="QVD8" s="63"/>
      <c r="QVF8" s="237"/>
      <c r="QVG8" s="238"/>
      <c r="QVH8" s="239"/>
      <c r="QVI8" s="239"/>
      <c r="QVJ8" s="59"/>
      <c r="QVL8" s="235"/>
      <c r="QVM8" s="236"/>
      <c r="QVN8" s="63"/>
      <c r="QVO8" s="63"/>
      <c r="QVQ8" s="237"/>
      <c r="QVR8" s="238"/>
      <c r="QVS8" s="239"/>
      <c r="QVT8" s="239"/>
      <c r="QVU8" s="59"/>
      <c r="QVW8" s="235"/>
      <c r="QVX8" s="236"/>
      <c r="QVY8" s="63"/>
      <c r="QVZ8" s="63"/>
      <c r="QWB8" s="237"/>
      <c r="QWC8" s="238"/>
      <c r="QWD8" s="239"/>
      <c r="QWE8" s="239"/>
      <c r="QWF8" s="59"/>
      <c r="QWH8" s="235"/>
      <c r="QWI8" s="236"/>
      <c r="QWJ8" s="63"/>
      <c r="QWK8" s="63"/>
      <c r="QWM8" s="237"/>
      <c r="QWN8" s="238"/>
      <c r="QWO8" s="239"/>
      <c r="QWP8" s="239"/>
      <c r="QWQ8" s="59"/>
      <c r="QWS8" s="235"/>
      <c r="QWT8" s="236"/>
      <c r="QWU8" s="63"/>
      <c r="QWV8" s="63"/>
      <c r="QWX8" s="237"/>
      <c r="QWY8" s="238"/>
      <c r="QWZ8" s="239"/>
      <c r="QXA8" s="239"/>
      <c r="QXB8" s="59"/>
      <c r="QXD8" s="235"/>
      <c r="QXE8" s="236"/>
      <c r="QXF8" s="63"/>
      <c r="QXG8" s="63"/>
      <c r="QXI8" s="237"/>
      <c r="QXJ8" s="238"/>
      <c r="QXK8" s="239"/>
      <c r="QXL8" s="239"/>
      <c r="QXM8" s="59"/>
      <c r="QXO8" s="235"/>
      <c r="QXP8" s="236"/>
      <c r="QXQ8" s="63"/>
      <c r="QXR8" s="63"/>
      <c r="QXT8" s="237"/>
      <c r="QXU8" s="238"/>
      <c r="QXV8" s="239"/>
      <c r="QXW8" s="239"/>
      <c r="QXX8" s="59"/>
      <c r="QXZ8" s="235"/>
      <c r="QYA8" s="236"/>
      <c r="QYB8" s="63"/>
      <c r="QYC8" s="63"/>
      <c r="QYE8" s="237"/>
      <c r="QYF8" s="238"/>
      <c r="QYG8" s="239"/>
      <c r="QYH8" s="239"/>
      <c r="QYI8" s="59"/>
      <c r="QYK8" s="235"/>
      <c r="QYL8" s="236"/>
      <c r="QYM8" s="63"/>
      <c r="QYN8" s="63"/>
      <c r="QYP8" s="237"/>
      <c r="QYQ8" s="238"/>
      <c r="QYR8" s="239"/>
      <c r="QYS8" s="239"/>
      <c r="QYT8" s="59"/>
      <c r="QYV8" s="235"/>
      <c r="QYW8" s="236"/>
      <c r="QYX8" s="63"/>
      <c r="QYY8" s="63"/>
      <c r="QZA8" s="237"/>
      <c r="QZB8" s="238"/>
      <c r="QZC8" s="239"/>
      <c r="QZD8" s="239"/>
      <c r="QZE8" s="59"/>
      <c r="QZG8" s="235"/>
      <c r="QZH8" s="236"/>
      <c r="QZI8" s="63"/>
      <c r="QZJ8" s="63"/>
      <c r="QZL8" s="237"/>
      <c r="QZM8" s="238"/>
      <c r="QZN8" s="239"/>
      <c r="QZO8" s="239"/>
      <c r="QZP8" s="59"/>
      <c r="QZR8" s="235"/>
      <c r="QZS8" s="236"/>
      <c r="QZT8" s="63"/>
      <c r="QZU8" s="63"/>
      <c r="QZW8" s="237"/>
      <c r="QZX8" s="238"/>
      <c r="QZY8" s="239"/>
      <c r="QZZ8" s="239"/>
      <c r="RAA8" s="59"/>
      <c r="RAC8" s="235"/>
      <c r="RAD8" s="236"/>
      <c r="RAE8" s="63"/>
      <c r="RAF8" s="63"/>
      <c r="RAH8" s="237"/>
      <c r="RAI8" s="238"/>
      <c r="RAJ8" s="239"/>
      <c r="RAK8" s="239"/>
      <c r="RAL8" s="59"/>
      <c r="RAN8" s="235"/>
      <c r="RAO8" s="236"/>
      <c r="RAP8" s="63"/>
      <c r="RAQ8" s="63"/>
      <c r="RAS8" s="237"/>
      <c r="RAT8" s="238"/>
      <c r="RAU8" s="239"/>
      <c r="RAV8" s="239"/>
      <c r="RAW8" s="59"/>
      <c r="RAY8" s="235"/>
      <c r="RAZ8" s="236"/>
      <c r="RBA8" s="63"/>
      <c r="RBB8" s="63"/>
      <c r="RBD8" s="237"/>
      <c r="RBE8" s="238"/>
      <c r="RBF8" s="239"/>
      <c r="RBG8" s="239"/>
      <c r="RBH8" s="59"/>
      <c r="RBJ8" s="235"/>
      <c r="RBK8" s="236"/>
      <c r="RBL8" s="63"/>
      <c r="RBM8" s="63"/>
      <c r="RBO8" s="237"/>
      <c r="RBP8" s="238"/>
      <c r="RBQ8" s="239"/>
      <c r="RBR8" s="239"/>
      <c r="RBS8" s="59"/>
      <c r="RBU8" s="235"/>
      <c r="RBV8" s="236"/>
      <c r="RBW8" s="63"/>
      <c r="RBX8" s="63"/>
      <c r="RBZ8" s="237"/>
      <c r="RCA8" s="238"/>
      <c r="RCB8" s="239"/>
      <c r="RCC8" s="239"/>
      <c r="RCD8" s="59"/>
      <c r="RCF8" s="235"/>
      <c r="RCG8" s="236"/>
      <c r="RCH8" s="63"/>
      <c r="RCI8" s="63"/>
      <c r="RCK8" s="237"/>
      <c r="RCL8" s="238"/>
      <c r="RCM8" s="239"/>
      <c r="RCN8" s="239"/>
      <c r="RCO8" s="59"/>
      <c r="RCQ8" s="235"/>
      <c r="RCR8" s="236"/>
      <c r="RCS8" s="63"/>
      <c r="RCT8" s="63"/>
      <c r="RCV8" s="237"/>
      <c r="RCW8" s="238"/>
      <c r="RCX8" s="239"/>
      <c r="RCY8" s="239"/>
      <c r="RCZ8" s="59"/>
      <c r="RDB8" s="235"/>
      <c r="RDC8" s="236"/>
      <c r="RDD8" s="63"/>
      <c r="RDE8" s="63"/>
      <c r="RDG8" s="237"/>
      <c r="RDH8" s="238"/>
      <c r="RDI8" s="239"/>
      <c r="RDJ8" s="239"/>
      <c r="RDK8" s="59"/>
      <c r="RDM8" s="235"/>
      <c r="RDN8" s="236"/>
      <c r="RDO8" s="63"/>
      <c r="RDP8" s="63"/>
      <c r="RDR8" s="237"/>
      <c r="RDS8" s="238"/>
      <c r="RDT8" s="239"/>
      <c r="RDU8" s="239"/>
      <c r="RDV8" s="59"/>
      <c r="RDX8" s="235"/>
      <c r="RDY8" s="236"/>
      <c r="RDZ8" s="63"/>
      <c r="REA8" s="63"/>
      <c r="REC8" s="237"/>
      <c r="RED8" s="238"/>
      <c r="REE8" s="239"/>
      <c r="REF8" s="239"/>
      <c r="REG8" s="59"/>
      <c r="REI8" s="235"/>
      <c r="REJ8" s="236"/>
      <c r="REK8" s="63"/>
      <c r="REL8" s="63"/>
      <c r="REN8" s="237"/>
      <c r="REO8" s="238"/>
      <c r="REP8" s="239"/>
      <c r="REQ8" s="239"/>
      <c r="RER8" s="59"/>
      <c r="RET8" s="235"/>
      <c r="REU8" s="236"/>
      <c r="REV8" s="63"/>
      <c r="REW8" s="63"/>
      <c r="REY8" s="237"/>
      <c r="REZ8" s="238"/>
      <c r="RFA8" s="239"/>
      <c r="RFB8" s="239"/>
      <c r="RFC8" s="59"/>
      <c r="RFE8" s="235"/>
      <c r="RFF8" s="236"/>
      <c r="RFG8" s="63"/>
      <c r="RFH8" s="63"/>
      <c r="RFJ8" s="237"/>
      <c r="RFK8" s="238"/>
      <c r="RFL8" s="239"/>
      <c r="RFM8" s="239"/>
      <c r="RFN8" s="59"/>
      <c r="RFP8" s="235"/>
      <c r="RFQ8" s="236"/>
      <c r="RFR8" s="63"/>
      <c r="RFS8" s="63"/>
      <c r="RFU8" s="237"/>
      <c r="RFV8" s="238"/>
      <c r="RFW8" s="239"/>
      <c r="RFX8" s="239"/>
      <c r="RFY8" s="59"/>
      <c r="RGA8" s="235"/>
      <c r="RGB8" s="236"/>
      <c r="RGC8" s="63"/>
      <c r="RGD8" s="63"/>
      <c r="RGF8" s="237"/>
      <c r="RGG8" s="238"/>
      <c r="RGH8" s="239"/>
      <c r="RGI8" s="239"/>
      <c r="RGJ8" s="59"/>
      <c r="RGL8" s="235"/>
      <c r="RGM8" s="236"/>
      <c r="RGN8" s="63"/>
      <c r="RGO8" s="63"/>
      <c r="RGQ8" s="237"/>
      <c r="RGR8" s="238"/>
      <c r="RGS8" s="239"/>
      <c r="RGT8" s="239"/>
      <c r="RGU8" s="59"/>
      <c r="RGW8" s="235"/>
      <c r="RGX8" s="236"/>
      <c r="RGY8" s="63"/>
      <c r="RGZ8" s="63"/>
      <c r="RHB8" s="237"/>
      <c r="RHC8" s="238"/>
      <c r="RHD8" s="239"/>
      <c r="RHE8" s="239"/>
      <c r="RHF8" s="59"/>
      <c r="RHH8" s="235"/>
      <c r="RHI8" s="236"/>
      <c r="RHJ8" s="63"/>
      <c r="RHK8" s="63"/>
      <c r="RHM8" s="237"/>
      <c r="RHN8" s="238"/>
      <c r="RHO8" s="239"/>
      <c r="RHP8" s="239"/>
      <c r="RHQ8" s="59"/>
      <c r="RHS8" s="235"/>
      <c r="RHT8" s="236"/>
      <c r="RHU8" s="63"/>
      <c r="RHV8" s="63"/>
      <c r="RHX8" s="237"/>
      <c r="RHY8" s="238"/>
      <c r="RHZ8" s="239"/>
      <c r="RIA8" s="239"/>
      <c r="RIB8" s="59"/>
      <c r="RID8" s="235"/>
      <c r="RIE8" s="236"/>
      <c r="RIF8" s="63"/>
      <c r="RIG8" s="63"/>
      <c r="RII8" s="237"/>
      <c r="RIJ8" s="238"/>
      <c r="RIK8" s="239"/>
      <c r="RIL8" s="239"/>
      <c r="RIM8" s="59"/>
      <c r="RIO8" s="235"/>
      <c r="RIP8" s="236"/>
      <c r="RIQ8" s="63"/>
      <c r="RIR8" s="63"/>
      <c r="RIT8" s="237"/>
      <c r="RIU8" s="238"/>
      <c r="RIV8" s="239"/>
      <c r="RIW8" s="239"/>
      <c r="RIX8" s="59"/>
      <c r="RIZ8" s="235"/>
      <c r="RJA8" s="236"/>
      <c r="RJB8" s="63"/>
      <c r="RJC8" s="63"/>
      <c r="RJE8" s="237"/>
      <c r="RJF8" s="238"/>
      <c r="RJG8" s="239"/>
      <c r="RJH8" s="239"/>
      <c r="RJI8" s="59"/>
      <c r="RJK8" s="235"/>
      <c r="RJL8" s="236"/>
      <c r="RJM8" s="63"/>
      <c r="RJN8" s="63"/>
      <c r="RJP8" s="237"/>
      <c r="RJQ8" s="238"/>
      <c r="RJR8" s="239"/>
      <c r="RJS8" s="239"/>
      <c r="RJT8" s="59"/>
      <c r="RJV8" s="235"/>
      <c r="RJW8" s="236"/>
      <c r="RJX8" s="63"/>
      <c r="RJY8" s="63"/>
      <c r="RKA8" s="237"/>
      <c r="RKB8" s="238"/>
      <c r="RKC8" s="239"/>
      <c r="RKD8" s="239"/>
      <c r="RKE8" s="59"/>
      <c r="RKG8" s="235"/>
      <c r="RKH8" s="236"/>
      <c r="RKI8" s="63"/>
      <c r="RKJ8" s="63"/>
      <c r="RKL8" s="237"/>
      <c r="RKM8" s="238"/>
      <c r="RKN8" s="239"/>
      <c r="RKO8" s="239"/>
      <c r="RKP8" s="59"/>
      <c r="RKR8" s="235"/>
      <c r="RKS8" s="236"/>
      <c r="RKT8" s="63"/>
      <c r="RKU8" s="63"/>
      <c r="RKW8" s="237"/>
      <c r="RKX8" s="238"/>
      <c r="RKY8" s="239"/>
      <c r="RKZ8" s="239"/>
      <c r="RLA8" s="59"/>
      <c r="RLC8" s="235"/>
      <c r="RLD8" s="236"/>
      <c r="RLE8" s="63"/>
      <c r="RLF8" s="63"/>
      <c r="RLH8" s="237"/>
      <c r="RLI8" s="238"/>
      <c r="RLJ8" s="239"/>
      <c r="RLK8" s="239"/>
      <c r="RLL8" s="59"/>
      <c r="RLN8" s="235"/>
      <c r="RLO8" s="236"/>
      <c r="RLP8" s="63"/>
      <c r="RLQ8" s="63"/>
      <c r="RLS8" s="237"/>
      <c r="RLT8" s="238"/>
      <c r="RLU8" s="239"/>
      <c r="RLV8" s="239"/>
      <c r="RLW8" s="59"/>
      <c r="RLY8" s="235"/>
      <c r="RLZ8" s="236"/>
      <c r="RMA8" s="63"/>
      <c r="RMB8" s="63"/>
      <c r="RMD8" s="237"/>
      <c r="RME8" s="238"/>
      <c r="RMF8" s="239"/>
      <c r="RMG8" s="239"/>
      <c r="RMH8" s="59"/>
      <c r="RMJ8" s="235"/>
      <c r="RMK8" s="236"/>
      <c r="RML8" s="63"/>
      <c r="RMM8" s="63"/>
      <c r="RMO8" s="237"/>
      <c r="RMP8" s="238"/>
      <c r="RMQ8" s="239"/>
      <c r="RMR8" s="239"/>
      <c r="RMS8" s="59"/>
      <c r="RMU8" s="235"/>
      <c r="RMV8" s="236"/>
      <c r="RMW8" s="63"/>
      <c r="RMX8" s="63"/>
      <c r="RMZ8" s="237"/>
      <c r="RNA8" s="238"/>
      <c r="RNB8" s="239"/>
      <c r="RNC8" s="239"/>
      <c r="RND8" s="59"/>
      <c r="RNF8" s="235"/>
      <c r="RNG8" s="236"/>
      <c r="RNH8" s="63"/>
      <c r="RNI8" s="63"/>
      <c r="RNK8" s="237"/>
      <c r="RNL8" s="238"/>
      <c r="RNM8" s="239"/>
      <c r="RNN8" s="239"/>
      <c r="RNO8" s="59"/>
      <c r="RNQ8" s="235"/>
      <c r="RNR8" s="236"/>
      <c r="RNS8" s="63"/>
      <c r="RNT8" s="63"/>
      <c r="RNV8" s="237"/>
      <c r="RNW8" s="238"/>
      <c r="RNX8" s="239"/>
      <c r="RNY8" s="239"/>
      <c r="RNZ8" s="59"/>
      <c r="ROB8" s="235"/>
      <c r="ROC8" s="236"/>
      <c r="ROD8" s="63"/>
      <c r="ROE8" s="63"/>
      <c r="ROG8" s="237"/>
      <c r="ROH8" s="238"/>
      <c r="ROI8" s="239"/>
      <c r="ROJ8" s="239"/>
      <c r="ROK8" s="59"/>
      <c r="ROM8" s="235"/>
      <c r="RON8" s="236"/>
      <c r="ROO8" s="63"/>
      <c r="ROP8" s="63"/>
      <c r="ROR8" s="237"/>
      <c r="ROS8" s="238"/>
      <c r="ROT8" s="239"/>
      <c r="ROU8" s="239"/>
      <c r="ROV8" s="59"/>
      <c r="ROX8" s="235"/>
      <c r="ROY8" s="236"/>
      <c r="ROZ8" s="63"/>
      <c r="RPA8" s="63"/>
      <c r="RPC8" s="237"/>
      <c r="RPD8" s="238"/>
      <c r="RPE8" s="239"/>
      <c r="RPF8" s="239"/>
      <c r="RPG8" s="59"/>
      <c r="RPI8" s="235"/>
      <c r="RPJ8" s="236"/>
      <c r="RPK8" s="63"/>
      <c r="RPL8" s="63"/>
      <c r="RPN8" s="237"/>
      <c r="RPO8" s="238"/>
      <c r="RPP8" s="239"/>
      <c r="RPQ8" s="239"/>
      <c r="RPR8" s="59"/>
      <c r="RPT8" s="235"/>
      <c r="RPU8" s="236"/>
      <c r="RPV8" s="63"/>
      <c r="RPW8" s="63"/>
      <c r="RPY8" s="237"/>
      <c r="RPZ8" s="238"/>
      <c r="RQA8" s="239"/>
      <c r="RQB8" s="239"/>
      <c r="RQC8" s="59"/>
      <c r="RQE8" s="235"/>
      <c r="RQF8" s="236"/>
      <c r="RQG8" s="63"/>
      <c r="RQH8" s="63"/>
      <c r="RQJ8" s="237"/>
      <c r="RQK8" s="238"/>
      <c r="RQL8" s="239"/>
      <c r="RQM8" s="239"/>
      <c r="RQN8" s="59"/>
      <c r="RQP8" s="235"/>
      <c r="RQQ8" s="236"/>
      <c r="RQR8" s="63"/>
      <c r="RQS8" s="63"/>
      <c r="RQU8" s="237"/>
      <c r="RQV8" s="238"/>
      <c r="RQW8" s="239"/>
      <c r="RQX8" s="239"/>
      <c r="RQY8" s="59"/>
      <c r="RRA8" s="235"/>
      <c r="RRB8" s="236"/>
      <c r="RRC8" s="63"/>
      <c r="RRD8" s="63"/>
      <c r="RRF8" s="237"/>
      <c r="RRG8" s="238"/>
      <c r="RRH8" s="239"/>
      <c r="RRI8" s="239"/>
      <c r="RRJ8" s="59"/>
      <c r="RRL8" s="235"/>
      <c r="RRM8" s="236"/>
      <c r="RRN8" s="63"/>
      <c r="RRO8" s="63"/>
      <c r="RRQ8" s="237"/>
      <c r="RRR8" s="238"/>
      <c r="RRS8" s="239"/>
      <c r="RRT8" s="239"/>
      <c r="RRU8" s="59"/>
      <c r="RRW8" s="235"/>
      <c r="RRX8" s="236"/>
      <c r="RRY8" s="63"/>
      <c r="RRZ8" s="63"/>
      <c r="RSB8" s="237"/>
      <c r="RSC8" s="238"/>
      <c r="RSD8" s="239"/>
      <c r="RSE8" s="239"/>
      <c r="RSF8" s="59"/>
      <c r="RSH8" s="235"/>
      <c r="RSI8" s="236"/>
      <c r="RSJ8" s="63"/>
      <c r="RSK8" s="63"/>
      <c r="RSM8" s="237"/>
      <c r="RSN8" s="238"/>
      <c r="RSO8" s="239"/>
      <c r="RSP8" s="239"/>
      <c r="RSQ8" s="59"/>
      <c r="RSS8" s="235"/>
      <c r="RST8" s="236"/>
      <c r="RSU8" s="63"/>
      <c r="RSV8" s="63"/>
      <c r="RSX8" s="237"/>
      <c r="RSY8" s="238"/>
      <c r="RSZ8" s="239"/>
      <c r="RTA8" s="239"/>
      <c r="RTB8" s="59"/>
      <c r="RTD8" s="235"/>
      <c r="RTE8" s="236"/>
      <c r="RTF8" s="63"/>
      <c r="RTG8" s="63"/>
      <c r="RTI8" s="237"/>
      <c r="RTJ8" s="238"/>
      <c r="RTK8" s="239"/>
      <c r="RTL8" s="239"/>
      <c r="RTM8" s="59"/>
      <c r="RTO8" s="235"/>
      <c r="RTP8" s="236"/>
      <c r="RTQ8" s="63"/>
      <c r="RTR8" s="63"/>
      <c r="RTT8" s="237"/>
      <c r="RTU8" s="238"/>
      <c r="RTV8" s="239"/>
      <c r="RTW8" s="239"/>
      <c r="RTX8" s="59"/>
      <c r="RTZ8" s="235"/>
      <c r="RUA8" s="236"/>
      <c r="RUB8" s="63"/>
      <c r="RUC8" s="63"/>
      <c r="RUE8" s="237"/>
      <c r="RUF8" s="238"/>
      <c r="RUG8" s="239"/>
      <c r="RUH8" s="239"/>
      <c r="RUI8" s="59"/>
      <c r="RUK8" s="235"/>
      <c r="RUL8" s="236"/>
      <c r="RUM8" s="63"/>
      <c r="RUN8" s="63"/>
      <c r="RUP8" s="237"/>
      <c r="RUQ8" s="238"/>
      <c r="RUR8" s="239"/>
      <c r="RUS8" s="239"/>
      <c r="RUT8" s="59"/>
      <c r="RUV8" s="235"/>
      <c r="RUW8" s="236"/>
      <c r="RUX8" s="63"/>
      <c r="RUY8" s="63"/>
      <c r="RVA8" s="237"/>
      <c r="RVB8" s="238"/>
      <c r="RVC8" s="239"/>
      <c r="RVD8" s="239"/>
      <c r="RVE8" s="59"/>
      <c r="RVG8" s="235"/>
      <c r="RVH8" s="236"/>
      <c r="RVI8" s="63"/>
      <c r="RVJ8" s="63"/>
      <c r="RVL8" s="237"/>
      <c r="RVM8" s="238"/>
      <c r="RVN8" s="239"/>
      <c r="RVO8" s="239"/>
      <c r="RVP8" s="59"/>
      <c r="RVR8" s="235"/>
      <c r="RVS8" s="236"/>
      <c r="RVT8" s="63"/>
      <c r="RVU8" s="63"/>
      <c r="RVW8" s="237"/>
      <c r="RVX8" s="238"/>
      <c r="RVY8" s="239"/>
      <c r="RVZ8" s="239"/>
      <c r="RWA8" s="59"/>
      <c r="RWC8" s="235"/>
      <c r="RWD8" s="236"/>
      <c r="RWE8" s="63"/>
      <c r="RWF8" s="63"/>
      <c r="RWH8" s="237"/>
      <c r="RWI8" s="238"/>
      <c r="RWJ8" s="239"/>
      <c r="RWK8" s="239"/>
      <c r="RWL8" s="59"/>
      <c r="RWN8" s="235"/>
      <c r="RWO8" s="236"/>
      <c r="RWP8" s="63"/>
      <c r="RWQ8" s="63"/>
      <c r="RWS8" s="237"/>
      <c r="RWT8" s="238"/>
      <c r="RWU8" s="239"/>
      <c r="RWV8" s="239"/>
      <c r="RWW8" s="59"/>
      <c r="RWY8" s="235"/>
      <c r="RWZ8" s="236"/>
      <c r="RXA8" s="63"/>
      <c r="RXB8" s="63"/>
      <c r="RXD8" s="237"/>
      <c r="RXE8" s="238"/>
      <c r="RXF8" s="239"/>
      <c r="RXG8" s="239"/>
      <c r="RXH8" s="59"/>
      <c r="RXJ8" s="235"/>
      <c r="RXK8" s="236"/>
      <c r="RXL8" s="63"/>
      <c r="RXM8" s="63"/>
      <c r="RXO8" s="237"/>
      <c r="RXP8" s="238"/>
      <c r="RXQ8" s="239"/>
      <c r="RXR8" s="239"/>
      <c r="RXS8" s="59"/>
      <c r="RXU8" s="235"/>
      <c r="RXV8" s="236"/>
      <c r="RXW8" s="63"/>
      <c r="RXX8" s="63"/>
      <c r="RXZ8" s="237"/>
      <c r="RYA8" s="238"/>
      <c r="RYB8" s="239"/>
      <c r="RYC8" s="239"/>
      <c r="RYD8" s="59"/>
      <c r="RYF8" s="235"/>
      <c r="RYG8" s="236"/>
      <c r="RYH8" s="63"/>
      <c r="RYI8" s="63"/>
      <c r="RYK8" s="237"/>
      <c r="RYL8" s="238"/>
      <c r="RYM8" s="239"/>
      <c r="RYN8" s="239"/>
      <c r="RYO8" s="59"/>
      <c r="RYQ8" s="235"/>
      <c r="RYR8" s="236"/>
      <c r="RYS8" s="63"/>
      <c r="RYT8" s="63"/>
      <c r="RYV8" s="237"/>
      <c r="RYW8" s="238"/>
      <c r="RYX8" s="239"/>
      <c r="RYY8" s="239"/>
      <c r="RYZ8" s="59"/>
      <c r="RZB8" s="235"/>
      <c r="RZC8" s="236"/>
      <c r="RZD8" s="63"/>
      <c r="RZE8" s="63"/>
      <c r="RZG8" s="237"/>
      <c r="RZH8" s="238"/>
      <c r="RZI8" s="239"/>
      <c r="RZJ8" s="239"/>
      <c r="RZK8" s="59"/>
      <c r="RZM8" s="235"/>
      <c r="RZN8" s="236"/>
      <c r="RZO8" s="63"/>
      <c r="RZP8" s="63"/>
      <c r="RZR8" s="237"/>
      <c r="RZS8" s="238"/>
      <c r="RZT8" s="239"/>
      <c r="RZU8" s="239"/>
      <c r="RZV8" s="59"/>
      <c r="RZX8" s="235"/>
      <c r="RZY8" s="236"/>
      <c r="RZZ8" s="63"/>
      <c r="SAA8" s="63"/>
      <c r="SAC8" s="237"/>
      <c r="SAD8" s="238"/>
      <c r="SAE8" s="239"/>
      <c r="SAF8" s="239"/>
      <c r="SAG8" s="59"/>
      <c r="SAI8" s="235"/>
      <c r="SAJ8" s="236"/>
      <c r="SAK8" s="63"/>
      <c r="SAL8" s="63"/>
      <c r="SAN8" s="237"/>
      <c r="SAO8" s="238"/>
      <c r="SAP8" s="239"/>
      <c r="SAQ8" s="239"/>
      <c r="SAR8" s="59"/>
      <c r="SAT8" s="235"/>
      <c r="SAU8" s="236"/>
      <c r="SAV8" s="63"/>
      <c r="SAW8" s="63"/>
      <c r="SAY8" s="237"/>
      <c r="SAZ8" s="238"/>
      <c r="SBA8" s="239"/>
      <c r="SBB8" s="239"/>
      <c r="SBC8" s="59"/>
      <c r="SBE8" s="235"/>
      <c r="SBF8" s="236"/>
      <c r="SBG8" s="63"/>
      <c r="SBH8" s="63"/>
      <c r="SBJ8" s="237"/>
      <c r="SBK8" s="238"/>
      <c r="SBL8" s="239"/>
      <c r="SBM8" s="239"/>
      <c r="SBN8" s="59"/>
      <c r="SBP8" s="235"/>
      <c r="SBQ8" s="236"/>
      <c r="SBR8" s="63"/>
      <c r="SBS8" s="63"/>
      <c r="SBU8" s="237"/>
      <c r="SBV8" s="238"/>
      <c r="SBW8" s="239"/>
      <c r="SBX8" s="239"/>
      <c r="SBY8" s="59"/>
      <c r="SCA8" s="235"/>
      <c r="SCB8" s="236"/>
      <c r="SCC8" s="63"/>
      <c r="SCD8" s="63"/>
      <c r="SCF8" s="237"/>
      <c r="SCG8" s="238"/>
      <c r="SCH8" s="239"/>
      <c r="SCI8" s="239"/>
      <c r="SCJ8" s="59"/>
      <c r="SCL8" s="235"/>
      <c r="SCM8" s="236"/>
      <c r="SCN8" s="63"/>
      <c r="SCO8" s="63"/>
      <c r="SCQ8" s="237"/>
      <c r="SCR8" s="238"/>
      <c r="SCS8" s="239"/>
      <c r="SCT8" s="239"/>
      <c r="SCU8" s="59"/>
      <c r="SCW8" s="235"/>
      <c r="SCX8" s="236"/>
      <c r="SCY8" s="63"/>
      <c r="SCZ8" s="63"/>
      <c r="SDB8" s="237"/>
      <c r="SDC8" s="238"/>
      <c r="SDD8" s="239"/>
      <c r="SDE8" s="239"/>
      <c r="SDF8" s="59"/>
      <c r="SDH8" s="235"/>
      <c r="SDI8" s="236"/>
      <c r="SDJ8" s="63"/>
      <c r="SDK8" s="63"/>
      <c r="SDM8" s="237"/>
      <c r="SDN8" s="238"/>
      <c r="SDO8" s="239"/>
      <c r="SDP8" s="239"/>
      <c r="SDQ8" s="59"/>
      <c r="SDS8" s="235"/>
      <c r="SDT8" s="236"/>
      <c r="SDU8" s="63"/>
      <c r="SDV8" s="63"/>
      <c r="SDX8" s="237"/>
      <c r="SDY8" s="238"/>
      <c r="SDZ8" s="239"/>
      <c r="SEA8" s="239"/>
      <c r="SEB8" s="59"/>
      <c r="SED8" s="235"/>
      <c r="SEE8" s="236"/>
      <c r="SEF8" s="63"/>
      <c r="SEG8" s="63"/>
      <c r="SEI8" s="237"/>
      <c r="SEJ8" s="238"/>
      <c r="SEK8" s="239"/>
      <c r="SEL8" s="239"/>
      <c r="SEM8" s="59"/>
      <c r="SEO8" s="235"/>
      <c r="SEP8" s="236"/>
      <c r="SEQ8" s="63"/>
      <c r="SER8" s="63"/>
      <c r="SET8" s="237"/>
      <c r="SEU8" s="238"/>
      <c r="SEV8" s="239"/>
      <c r="SEW8" s="239"/>
      <c r="SEX8" s="59"/>
      <c r="SEZ8" s="235"/>
      <c r="SFA8" s="236"/>
      <c r="SFB8" s="63"/>
      <c r="SFC8" s="63"/>
      <c r="SFE8" s="237"/>
      <c r="SFF8" s="238"/>
      <c r="SFG8" s="239"/>
      <c r="SFH8" s="239"/>
      <c r="SFI8" s="59"/>
      <c r="SFK8" s="235"/>
      <c r="SFL8" s="236"/>
      <c r="SFM8" s="63"/>
      <c r="SFN8" s="63"/>
      <c r="SFP8" s="237"/>
      <c r="SFQ8" s="238"/>
      <c r="SFR8" s="239"/>
      <c r="SFS8" s="239"/>
      <c r="SFT8" s="59"/>
      <c r="SFV8" s="235"/>
      <c r="SFW8" s="236"/>
      <c r="SFX8" s="63"/>
      <c r="SFY8" s="63"/>
      <c r="SGA8" s="237"/>
      <c r="SGB8" s="238"/>
      <c r="SGC8" s="239"/>
      <c r="SGD8" s="239"/>
      <c r="SGE8" s="59"/>
      <c r="SGG8" s="235"/>
      <c r="SGH8" s="236"/>
      <c r="SGI8" s="63"/>
      <c r="SGJ8" s="63"/>
      <c r="SGL8" s="237"/>
      <c r="SGM8" s="238"/>
      <c r="SGN8" s="239"/>
      <c r="SGO8" s="239"/>
      <c r="SGP8" s="59"/>
      <c r="SGR8" s="235"/>
      <c r="SGS8" s="236"/>
      <c r="SGT8" s="63"/>
      <c r="SGU8" s="63"/>
      <c r="SGW8" s="237"/>
      <c r="SGX8" s="238"/>
      <c r="SGY8" s="239"/>
      <c r="SGZ8" s="239"/>
      <c r="SHA8" s="59"/>
      <c r="SHC8" s="235"/>
      <c r="SHD8" s="236"/>
      <c r="SHE8" s="63"/>
      <c r="SHF8" s="63"/>
      <c r="SHH8" s="237"/>
      <c r="SHI8" s="238"/>
      <c r="SHJ8" s="239"/>
      <c r="SHK8" s="239"/>
      <c r="SHL8" s="59"/>
      <c r="SHN8" s="235"/>
      <c r="SHO8" s="236"/>
      <c r="SHP8" s="63"/>
      <c r="SHQ8" s="63"/>
      <c r="SHS8" s="237"/>
      <c r="SHT8" s="238"/>
      <c r="SHU8" s="239"/>
      <c r="SHV8" s="239"/>
      <c r="SHW8" s="59"/>
      <c r="SHY8" s="235"/>
      <c r="SHZ8" s="236"/>
      <c r="SIA8" s="63"/>
      <c r="SIB8" s="63"/>
      <c r="SID8" s="237"/>
      <c r="SIE8" s="238"/>
      <c r="SIF8" s="239"/>
      <c r="SIG8" s="239"/>
      <c r="SIH8" s="59"/>
      <c r="SIJ8" s="235"/>
      <c r="SIK8" s="236"/>
      <c r="SIL8" s="63"/>
      <c r="SIM8" s="63"/>
      <c r="SIO8" s="237"/>
      <c r="SIP8" s="238"/>
      <c r="SIQ8" s="239"/>
      <c r="SIR8" s="239"/>
      <c r="SIS8" s="59"/>
      <c r="SIU8" s="235"/>
      <c r="SIV8" s="236"/>
      <c r="SIW8" s="63"/>
      <c r="SIX8" s="63"/>
      <c r="SIZ8" s="237"/>
      <c r="SJA8" s="238"/>
      <c r="SJB8" s="239"/>
      <c r="SJC8" s="239"/>
      <c r="SJD8" s="59"/>
      <c r="SJF8" s="235"/>
      <c r="SJG8" s="236"/>
      <c r="SJH8" s="63"/>
      <c r="SJI8" s="63"/>
      <c r="SJK8" s="237"/>
      <c r="SJL8" s="238"/>
      <c r="SJM8" s="239"/>
      <c r="SJN8" s="239"/>
      <c r="SJO8" s="59"/>
      <c r="SJQ8" s="235"/>
      <c r="SJR8" s="236"/>
      <c r="SJS8" s="63"/>
      <c r="SJT8" s="63"/>
      <c r="SJV8" s="237"/>
      <c r="SJW8" s="238"/>
      <c r="SJX8" s="239"/>
      <c r="SJY8" s="239"/>
      <c r="SJZ8" s="59"/>
      <c r="SKB8" s="235"/>
      <c r="SKC8" s="236"/>
      <c r="SKD8" s="63"/>
      <c r="SKE8" s="63"/>
      <c r="SKG8" s="237"/>
      <c r="SKH8" s="238"/>
      <c r="SKI8" s="239"/>
      <c r="SKJ8" s="239"/>
      <c r="SKK8" s="59"/>
      <c r="SKM8" s="235"/>
      <c r="SKN8" s="236"/>
      <c r="SKO8" s="63"/>
      <c r="SKP8" s="63"/>
      <c r="SKR8" s="237"/>
      <c r="SKS8" s="238"/>
      <c r="SKT8" s="239"/>
      <c r="SKU8" s="239"/>
      <c r="SKV8" s="59"/>
      <c r="SKX8" s="235"/>
      <c r="SKY8" s="236"/>
      <c r="SKZ8" s="63"/>
      <c r="SLA8" s="63"/>
      <c r="SLC8" s="237"/>
      <c r="SLD8" s="238"/>
      <c r="SLE8" s="239"/>
      <c r="SLF8" s="239"/>
      <c r="SLG8" s="59"/>
      <c r="SLI8" s="235"/>
      <c r="SLJ8" s="236"/>
      <c r="SLK8" s="63"/>
      <c r="SLL8" s="63"/>
      <c r="SLN8" s="237"/>
      <c r="SLO8" s="238"/>
      <c r="SLP8" s="239"/>
      <c r="SLQ8" s="239"/>
      <c r="SLR8" s="59"/>
      <c r="SLT8" s="235"/>
      <c r="SLU8" s="236"/>
      <c r="SLV8" s="63"/>
      <c r="SLW8" s="63"/>
      <c r="SLY8" s="237"/>
      <c r="SLZ8" s="238"/>
      <c r="SMA8" s="239"/>
      <c r="SMB8" s="239"/>
      <c r="SMC8" s="59"/>
      <c r="SME8" s="235"/>
      <c r="SMF8" s="236"/>
      <c r="SMG8" s="63"/>
      <c r="SMH8" s="63"/>
      <c r="SMJ8" s="237"/>
      <c r="SMK8" s="238"/>
      <c r="SML8" s="239"/>
      <c r="SMM8" s="239"/>
      <c r="SMN8" s="59"/>
      <c r="SMP8" s="235"/>
      <c r="SMQ8" s="236"/>
      <c r="SMR8" s="63"/>
      <c r="SMS8" s="63"/>
      <c r="SMU8" s="237"/>
      <c r="SMV8" s="238"/>
      <c r="SMW8" s="239"/>
      <c r="SMX8" s="239"/>
      <c r="SMY8" s="59"/>
      <c r="SNA8" s="235"/>
      <c r="SNB8" s="236"/>
      <c r="SNC8" s="63"/>
      <c r="SND8" s="63"/>
      <c r="SNF8" s="237"/>
      <c r="SNG8" s="238"/>
      <c r="SNH8" s="239"/>
      <c r="SNI8" s="239"/>
      <c r="SNJ8" s="59"/>
      <c r="SNL8" s="235"/>
      <c r="SNM8" s="236"/>
      <c r="SNN8" s="63"/>
      <c r="SNO8" s="63"/>
      <c r="SNQ8" s="237"/>
      <c r="SNR8" s="238"/>
      <c r="SNS8" s="239"/>
      <c r="SNT8" s="239"/>
      <c r="SNU8" s="59"/>
      <c r="SNW8" s="235"/>
      <c r="SNX8" s="236"/>
      <c r="SNY8" s="63"/>
      <c r="SNZ8" s="63"/>
      <c r="SOB8" s="237"/>
      <c r="SOC8" s="238"/>
      <c r="SOD8" s="239"/>
      <c r="SOE8" s="239"/>
      <c r="SOF8" s="59"/>
      <c r="SOH8" s="235"/>
      <c r="SOI8" s="236"/>
      <c r="SOJ8" s="63"/>
      <c r="SOK8" s="63"/>
      <c r="SOM8" s="237"/>
      <c r="SON8" s="238"/>
      <c r="SOO8" s="239"/>
      <c r="SOP8" s="239"/>
      <c r="SOQ8" s="59"/>
      <c r="SOS8" s="235"/>
      <c r="SOT8" s="236"/>
      <c r="SOU8" s="63"/>
      <c r="SOV8" s="63"/>
      <c r="SOX8" s="237"/>
      <c r="SOY8" s="238"/>
      <c r="SOZ8" s="239"/>
      <c r="SPA8" s="239"/>
      <c r="SPB8" s="59"/>
      <c r="SPD8" s="235"/>
      <c r="SPE8" s="236"/>
      <c r="SPF8" s="63"/>
      <c r="SPG8" s="63"/>
      <c r="SPI8" s="237"/>
      <c r="SPJ8" s="238"/>
      <c r="SPK8" s="239"/>
      <c r="SPL8" s="239"/>
      <c r="SPM8" s="59"/>
      <c r="SPO8" s="235"/>
      <c r="SPP8" s="236"/>
      <c r="SPQ8" s="63"/>
      <c r="SPR8" s="63"/>
      <c r="SPT8" s="237"/>
      <c r="SPU8" s="238"/>
      <c r="SPV8" s="239"/>
      <c r="SPW8" s="239"/>
      <c r="SPX8" s="59"/>
      <c r="SPZ8" s="235"/>
      <c r="SQA8" s="236"/>
      <c r="SQB8" s="63"/>
      <c r="SQC8" s="63"/>
      <c r="SQE8" s="237"/>
      <c r="SQF8" s="238"/>
      <c r="SQG8" s="239"/>
      <c r="SQH8" s="239"/>
      <c r="SQI8" s="59"/>
      <c r="SQK8" s="235"/>
      <c r="SQL8" s="236"/>
      <c r="SQM8" s="63"/>
      <c r="SQN8" s="63"/>
      <c r="SQP8" s="237"/>
      <c r="SQQ8" s="238"/>
      <c r="SQR8" s="239"/>
      <c r="SQS8" s="239"/>
      <c r="SQT8" s="59"/>
      <c r="SQV8" s="235"/>
      <c r="SQW8" s="236"/>
      <c r="SQX8" s="63"/>
      <c r="SQY8" s="63"/>
      <c r="SRA8" s="237"/>
      <c r="SRB8" s="238"/>
      <c r="SRC8" s="239"/>
      <c r="SRD8" s="239"/>
      <c r="SRE8" s="59"/>
      <c r="SRG8" s="235"/>
      <c r="SRH8" s="236"/>
      <c r="SRI8" s="63"/>
      <c r="SRJ8" s="63"/>
      <c r="SRL8" s="237"/>
      <c r="SRM8" s="238"/>
      <c r="SRN8" s="239"/>
      <c r="SRO8" s="239"/>
      <c r="SRP8" s="59"/>
      <c r="SRR8" s="235"/>
      <c r="SRS8" s="236"/>
      <c r="SRT8" s="63"/>
      <c r="SRU8" s="63"/>
      <c r="SRW8" s="237"/>
      <c r="SRX8" s="238"/>
      <c r="SRY8" s="239"/>
      <c r="SRZ8" s="239"/>
      <c r="SSA8" s="59"/>
      <c r="SSC8" s="235"/>
      <c r="SSD8" s="236"/>
      <c r="SSE8" s="63"/>
      <c r="SSF8" s="63"/>
      <c r="SSH8" s="237"/>
      <c r="SSI8" s="238"/>
      <c r="SSJ8" s="239"/>
      <c r="SSK8" s="239"/>
      <c r="SSL8" s="59"/>
      <c r="SSN8" s="235"/>
      <c r="SSO8" s="236"/>
      <c r="SSP8" s="63"/>
      <c r="SSQ8" s="63"/>
      <c r="SSS8" s="237"/>
      <c r="SST8" s="238"/>
      <c r="SSU8" s="239"/>
      <c r="SSV8" s="239"/>
      <c r="SSW8" s="59"/>
      <c r="SSY8" s="235"/>
      <c r="SSZ8" s="236"/>
      <c r="STA8" s="63"/>
      <c r="STB8" s="63"/>
      <c r="STD8" s="237"/>
      <c r="STE8" s="238"/>
      <c r="STF8" s="239"/>
      <c r="STG8" s="239"/>
      <c r="STH8" s="59"/>
      <c r="STJ8" s="235"/>
      <c r="STK8" s="236"/>
      <c r="STL8" s="63"/>
      <c r="STM8" s="63"/>
      <c r="STO8" s="237"/>
      <c r="STP8" s="238"/>
      <c r="STQ8" s="239"/>
      <c r="STR8" s="239"/>
      <c r="STS8" s="59"/>
      <c r="STU8" s="235"/>
      <c r="STV8" s="236"/>
      <c r="STW8" s="63"/>
      <c r="STX8" s="63"/>
      <c r="STZ8" s="237"/>
      <c r="SUA8" s="238"/>
      <c r="SUB8" s="239"/>
      <c r="SUC8" s="239"/>
      <c r="SUD8" s="59"/>
      <c r="SUF8" s="235"/>
      <c r="SUG8" s="236"/>
      <c r="SUH8" s="63"/>
      <c r="SUI8" s="63"/>
      <c r="SUK8" s="237"/>
      <c r="SUL8" s="238"/>
      <c r="SUM8" s="239"/>
      <c r="SUN8" s="239"/>
      <c r="SUO8" s="59"/>
      <c r="SUQ8" s="235"/>
      <c r="SUR8" s="236"/>
      <c r="SUS8" s="63"/>
      <c r="SUT8" s="63"/>
      <c r="SUV8" s="237"/>
      <c r="SUW8" s="238"/>
      <c r="SUX8" s="239"/>
      <c r="SUY8" s="239"/>
      <c r="SUZ8" s="59"/>
      <c r="SVB8" s="235"/>
      <c r="SVC8" s="236"/>
      <c r="SVD8" s="63"/>
      <c r="SVE8" s="63"/>
      <c r="SVG8" s="237"/>
      <c r="SVH8" s="238"/>
      <c r="SVI8" s="239"/>
      <c r="SVJ8" s="239"/>
      <c r="SVK8" s="59"/>
      <c r="SVM8" s="235"/>
      <c r="SVN8" s="236"/>
      <c r="SVO8" s="63"/>
      <c r="SVP8" s="63"/>
      <c r="SVR8" s="237"/>
      <c r="SVS8" s="238"/>
      <c r="SVT8" s="239"/>
      <c r="SVU8" s="239"/>
      <c r="SVV8" s="59"/>
      <c r="SVX8" s="235"/>
      <c r="SVY8" s="236"/>
      <c r="SVZ8" s="63"/>
      <c r="SWA8" s="63"/>
      <c r="SWC8" s="237"/>
      <c r="SWD8" s="238"/>
      <c r="SWE8" s="239"/>
      <c r="SWF8" s="239"/>
      <c r="SWG8" s="59"/>
      <c r="SWI8" s="235"/>
      <c r="SWJ8" s="236"/>
      <c r="SWK8" s="63"/>
      <c r="SWL8" s="63"/>
      <c r="SWN8" s="237"/>
      <c r="SWO8" s="238"/>
      <c r="SWP8" s="239"/>
      <c r="SWQ8" s="239"/>
      <c r="SWR8" s="59"/>
      <c r="SWT8" s="235"/>
      <c r="SWU8" s="236"/>
      <c r="SWV8" s="63"/>
      <c r="SWW8" s="63"/>
      <c r="SWY8" s="237"/>
      <c r="SWZ8" s="238"/>
      <c r="SXA8" s="239"/>
      <c r="SXB8" s="239"/>
      <c r="SXC8" s="59"/>
      <c r="SXE8" s="235"/>
      <c r="SXF8" s="236"/>
      <c r="SXG8" s="63"/>
      <c r="SXH8" s="63"/>
      <c r="SXJ8" s="237"/>
      <c r="SXK8" s="238"/>
      <c r="SXL8" s="239"/>
      <c r="SXM8" s="239"/>
      <c r="SXN8" s="59"/>
      <c r="SXP8" s="235"/>
      <c r="SXQ8" s="236"/>
      <c r="SXR8" s="63"/>
      <c r="SXS8" s="63"/>
      <c r="SXU8" s="237"/>
      <c r="SXV8" s="238"/>
      <c r="SXW8" s="239"/>
      <c r="SXX8" s="239"/>
      <c r="SXY8" s="59"/>
      <c r="SYA8" s="235"/>
      <c r="SYB8" s="236"/>
      <c r="SYC8" s="63"/>
      <c r="SYD8" s="63"/>
      <c r="SYF8" s="237"/>
      <c r="SYG8" s="238"/>
      <c r="SYH8" s="239"/>
      <c r="SYI8" s="239"/>
      <c r="SYJ8" s="59"/>
      <c r="SYL8" s="235"/>
      <c r="SYM8" s="236"/>
      <c r="SYN8" s="63"/>
      <c r="SYO8" s="63"/>
      <c r="SYQ8" s="237"/>
      <c r="SYR8" s="238"/>
      <c r="SYS8" s="239"/>
      <c r="SYT8" s="239"/>
      <c r="SYU8" s="59"/>
      <c r="SYW8" s="235"/>
      <c r="SYX8" s="236"/>
      <c r="SYY8" s="63"/>
      <c r="SYZ8" s="63"/>
      <c r="SZB8" s="237"/>
      <c r="SZC8" s="238"/>
      <c r="SZD8" s="239"/>
      <c r="SZE8" s="239"/>
      <c r="SZF8" s="59"/>
      <c r="SZH8" s="235"/>
      <c r="SZI8" s="236"/>
      <c r="SZJ8" s="63"/>
      <c r="SZK8" s="63"/>
      <c r="SZM8" s="237"/>
      <c r="SZN8" s="238"/>
      <c r="SZO8" s="239"/>
      <c r="SZP8" s="239"/>
      <c r="SZQ8" s="59"/>
      <c r="SZS8" s="235"/>
      <c r="SZT8" s="236"/>
      <c r="SZU8" s="63"/>
      <c r="SZV8" s="63"/>
      <c r="SZX8" s="237"/>
      <c r="SZY8" s="238"/>
      <c r="SZZ8" s="239"/>
      <c r="TAA8" s="239"/>
      <c r="TAB8" s="59"/>
      <c r="TAD8" s="235"/>
      <c r="TAE8" s="236"/>
      <c r="TAF8" s="63"/>
      <c r="TAG8" s="63"/>
      <c r="TAI8" s="237"/>
      <c r="TAJ8" s="238"/>
      <c r="TAK8" s="239"/>
      <c r="TAL8" s="239"/>
      <c r="TAM8" s="59"/>
      <c r="TAO8" s="235"/>
      <c r="TAP8" s="236"/>
      <c r="TAQ8" s="63"/>
      <c r="TAR8" s="63"/>
      <c r="TAT8" s="237"/>
      <c r="TAU8" s="238"/>
      <c r="TAV8" s="239"/>
      <c r="TAW8" s="239"/>
      <c r="TAX8" s="59"/>
      <c r="TAZ8" s="235"/>
      <c r="TBA8" s="236"/>
      <c r="TBB8" s="63"/>
      <c r="TBC8" s="63"/>
      <c r="TBE8" s="237"/>
      <c r="TBF8" s="238"/>
      <c r="TBG8" s="239"/>
      <c r="TBH8" s="239"/>
      <c r="TBI8" s="59"/>
      <c r="TBK8" s="235"/>
      <c r="TBL8" s="236"/>
      <c r="TBM8" s="63"/>
      <c r="TBN8" s="63"/>
      <c r="TBP8" s="237"/>
      <c r="TBQ8" s="238"/>
      <c r="TBR8" s="239"/>
      <c r="TBS8" s="239"/>
      <c r="TBT8" s="59"/>
      <c r="TBV8" s="235"/>
      <c r="TBW8" s="236"/>
      <c r="TBX8" s="63"/>
      <c r="TBY8" s="63"/>
      <c r="TCA8" s="237"/>
      <c r="TCB8" s="238"/>
      <c r="TCC8" s="239"/>
      <c r="TCD8" s="239"/>
      <c r="TCE8" s="59"/>
      <c r="TCG8" s="235"/>
      <c r="TCH8" s="236"/>
      <c r="TCI8" s="63"/>
      <c r="TCJ8" s="63"/>
      <c r="TCL8" s="237"/>
      <c r="TCM8" s="238"/>
      <c r="TCN8" s="239"/>
      <c r="TCO8" s="239"/>
      <c r="TCP8" s="59"/>
      <c r="TCR8" s="235"/>
      <c r="TCS8" s="236"/>
      <c r="TCT8" s="63"/>
      <c r="TCU8" s="63"/>
      <c r="TCW8" s="237"/>
      <c r="TCX8" s="238"/>
      <c r="TCY8" s="239"/>
      <c r="TCZ8" s="239"/>
      <c r="TDA8" s="59"/>
      <c r="TDC8" s="235"/>
      <c r="TDD8" s="236"/>
      <c r="TDE8" s="63"/>
      <c r="TDF8" s="63"/>
      <c r="TDH8" s="237"/>
      <c r="TDI8" s="238"/>
      <c r="TDJ8" s="239"/>
      <c r="TDK8" s="239"/>
      <c r="TDL8" s="59"/>
      <c r="TDN8" s="235"/>
      <c r="TDO8" s="236"/>
      <c r="TDP8" s="63"/>
      <c r="TDQ8" s="63"/>
      <c r="TDS8" s="237"/>
      <c r="TDT8" s="238"/>
      <c r="TDU8" s="239"/>
      <c r="TDV8" s="239"/>
      <c r="TDW8" s="59"/>
      <c r="TDY8" s="235"/>
      <c r="TDZ8" s="236"/>
      <c r="TEA8" s="63"/>
      <c r="TEB8" s="63"/>
      <c r="TED8" s="237"/>
      <c r="TEE8" s="238"/>
      <c r="TEF8" s="239"/>
      <c r="TEG8" s="239"/>
      <c r="TEH8" s="59"/>
      <c r="TEJ8" s="235"/>
      <c r="TEK8" s="236"/>
      <c r="TEL8" s="63"/>
      <c r="TEM8" s="63"/>
      <c r="TEO8" s="237"/>
      <c r="TEP8" s="238"/>
      <c r="TEQ8" s="239"/>
      <c r="TER8" s="239"/>
      <c r="TES8" s="59"/>
      <c r="TEU8" s="235"/>
      <c r="TEV8" s="236"/>
      <c r="TEW8" s="63"/>
      <c r="TEX8" s="63"/>
      <c r="TEZ8" s="237"/>
      <c r="TFA8" s="238"/>
      <c r="TFB8" s="239"/>
      <c r="TFC8" s="239"/>
      <c r="TFD8" s="59"/>
      <c r="TFF8" s="235"/>
      <c r="TFG8" s="236"/>
      <c r="TFH8" s="63"/>
      <c r="TFI8" s="63"/>
      <c r="TFK8" s="237"/>
      <c r="TFL8" s="238"/>
      <c r="TFM8" s="239"/>
      <c r="TFN8" s="239"/>
      <c r="TFO8" s="59"/>
      <c r="TFQ8" s="235"/>
      <c r="TFR8" s="236"/>
      <c r="TFS8" s="63"/>
      <c r="TFT8" s="63"/>
      <c r="TFV8" s="237"/>
      <c r="TFW8" s="238"/>
      <c r="TFX8" s="239"/>
      <c r="TFY8" s="239"/>
      <c r="TFZ8" s="59"/>
      <c r="TGB8" s="235"/>
      <c r="TGC8" s="236"/>
      <c r="TGD8" s="63"/>
      <c r="TGE8" s="63"/>
      <c r="TGG8" s="237"/>
      <c r="TGH8" s="238"/>
      <c r="TGI8" s="239"/>
      <c r="TGJ8" s="239"/>
      <c r="TGK8" s="59"/>
      <c r="TGM8" s="235"/>
      <c r="TGN8" s="236"/>
      <c r="TGO8" s="63"/>
      <c r="TGP8" s="63"/>
      <c r="TGR8" s="237"/>
      <c r="TGS8" s="238"/>
      <c r="TGT8" s="239"/>
      <c r="TGU8" s="239"/>
      <c r="TGV8" s="59"/>
      <c r="TGX8" s="235"/>
      <c r="TGY8" s="236"/>
      <c r="TGZ8" s="63"/>
      <c r="THA8" s="63"/>
      <c r="THC8" s="237"/>
      <c r="THD8" s="238"/>
      <c r="THE8" s="239"/>
      <c r="THF8" s="239"/>
      <c r="THG8" s="59"/>
      <c r="THI8" s="235"/>
      <c r="THJ8" s="236"/>
      <c r="THK8" s="63"/>
      <c r="THL8" s="63"/>
      <c r="THN8" s="237"/>
      <c r="THO8" s="238"/>
      <c r="THP8" s="239"/>
      <c r="THQ8" s="239"/>
      <c r="THR8" s="59"/>
      <c r="THT8" s="235"/>
      <c r="THU8" s="236"/>
      <c r="THV8" s="63"/>
      <c r="THW8" s="63"/>
      <c r="THY8" s="237"/>
      <c r="THZ8" s="238"/>
      <c r="TIA8" s="239"/>
      <c r="TIB8" s="239"/>
      <c r="TIC8" s="59"/>
      <c r="TIE8" s="235"/>
      <c r="TIF8" s="236"/>
      <c r="TIG8" s="63"/>
      <c r="TIH8" s="63"/>
      <c r="TIJ8" s="237"/>
      <c r="TIK8" s="238"/>
      <c r="TIL8" s="239"/>
      <c r="TIM8" s="239"/>
      <c r="TIN8" s="59"/>
      <c r="TIP8" s="235"/>
      <c r="TIQ8" s="236"/>
      <c r="TIR8" s="63"/>
      <c r="TIS8" s="63"/>
      <c r="TIU8" s="237"/>
      <c r="TIV8" s="238"/>
      <c r="TIW8" s="239"/>
      <c r="TIX8" s="239"/>
      <c r="TIY8" s="59"/>
      <c r="TJA8" s="235"/>
      <c r="TJB8" s="236"/>
      <c r="TJC8" s="63"/>
      <c r="TJD8" s="63"/>
      <c r="TJF8" s="237"/>
      <c r="TJG8" s="238"/>
      <c r="TJH8" s="239"/>
      <c r="TJI8" s="239"/>
      <c r="TJJ8" s="59"/>
      <c r="TJL8" s="235"/>
      <c r="TJM8" s="236"/>
      <c r="TJN8" s="63"/>
      <c r="TJO8" s="63"/>
      <c r="TJQ8" s="237"/>
      <c r="TJR8" s="238"/>
      <c r="TJS8" s="239"/>
      <c r="TJT8" s="239"/>
      <c r="TJU8" s="59"/>
      <c r="TJW8" s="235"/>
      <c r="TJX8" s="236"/>
      <c r="TJY8" s="63"/>
      <c r="TJZ8" s="63"/>
      <c r="TKB8" s="237"/>
      <c r="TKC8" s="238"/>
      <c r="TKD8" s="239"/>
      <c r="TKE8" s="239"/>
      <c r="TKF8" s="59"/>
      <c r="TKH8" s="235"/>
      <c r="TKI8" s="236"/>
      <c r="TKJ8" s="63"/>
      <c r="TKK8" s="63"/>
      <c r="TKM8" s="237"/>
      <c r="TKN8" s="238"/>
      <c r="TKO8" s="239"/>
      <c r="TKP8" s="239"/>
      <c r="TKQ8" s="59"/>
      <c r="TKS8" s="235"/>
      <c r="TKT8" s="236"/>
      <c r="TKU8" s="63"/>
      <c r="TKV8" s="63"/>
      <c r="TKX8" s="237"/>
      <c r="TKY8" s="238"/>
      <c r="TKZ8" s="239"/>
      <c r="TLA8" s="239"/>
      <c r="TLB8" s="59"/>
      <c r="TLD8" s="235"/>
      <c r="TLE8" s="236"/>
      <c r="TLF8" s="63"/>
      <c r="TLG8" s="63"/>
      <c r="TLI8" s="237"/>
      <c r="TLJ8" s="238"/>
      <c r="TLK8" s="239"/>
      <c r="TLL8" s="239"/>
      <c r="TLM8" s="59"/>
      <c r="TLO8" s="235"/>
      <c r="TLP8" s="236"/>
      <c r="TLQ8" s="63"/>
      <c r="TLR8" s="63"/>
      <c r="TLT8" s="237"/>
      <c r="TLU8" s="238"/>
      <c r="TLV8" s="239"/>
      <c r="TLW8" s="239"/>
      <c r="TLX8" s="59"/>
      <c r="TLZ8" s="235"/>
      <c r="TMA8" s="236"/>
      <c r="TMB8" s="63"/>
      <c r="TMC8" s="63"/>
      <c r="TME8" s="237"/>
      <c r="TMF8" s="238"/>
      <c r="TMG8" s="239"/>
      <c r="TMH8" s="239"/>
      <c r="TMI8" s="59"/>
      <c r="TMK8" s="235"/>
      <c r="TML8" s="236"/>
      <c r="TMM8" s="63"/>
      <c r="TMN8" s="63"/>
      <c r="TMP8" s="237"/>
      <c r="TMQ8" s="238"/>
      <c r="TMR8" s="239"/>
      <c r="TMS8" s="239"/>
      <c r="TMT8" s="59"/>
      <c r="TMV8" s="235"/>
      <c r="TMW8" s="236"/>
      <c r="TMX8" s="63"/>
      <c r="TMY8" s="63"/>
      <c r="TNA8" s="237"/>
      <c r="TNB8" s="238"/>
      <c r="TNC8" s="239"/>
      <c r="TND8" s="239"/>
      <c r="TNE8" s="59"/>
      <c r="TNG8" s="235"/>
      <c r="TNH8" s="236"/>
      <c r="TNI8" s="63"/>
      <c r="TNJ8" s="63"/>
      <c r="TNL8" s="237"/>
      <c r="TNM8" s="238"/>
      <c r="TNN8" s="239"/>
      <c r="TNO8" s="239"/>
      <c r="TNP8" s="59"/>
      <c r="TNR8" s="235"/>
      <c r="TNS8" s="236"/>
      <c r="TNT8" s="63"/>
      <c r="TNU8" s="63"/>
      <c r="TNW8" s="237"/>
      <c r="TNX8" s="238"/>
      <c r="TNY8" s="239"/>
      <c r="TNZ8" s="239"/>
      <c r="TOA8" s="59"/>
      <c r="TOC8" s="235"/>
      <c r="TOD8" s="236"/>
      <c r="TOE8" s="63"/>
      <c r="TOF8" s="63"/>
      <c r="TOH8" s="237"/>
      <c r="TOI8" s="238"/>
      <c r="TOJ8" s="239"/>
      <c r="TOK8" s="239"/>
      <c r="TOL8" s="59"/>
      <c r="TON8" s="235"/>
      <c r="TOO8" s="236"/>
      <c r="TOP8" s="63"/>
      <c r="TOQ8" s="63"/>
      <c r="TOS8" s="237"/>
      <c r="TOT8" s="238"/>
      <c r="TOU8" s="239"/>
      <c r="TOV8" s="239"/>
      <c r="TOW8" s="59"/>
      <c r="TOY8" s="235"/>
      <c r="TOZ8" s="236"/>
      <c r="TPA8" s="63"/>
      <c r="TPB8" s="63"/>
      <c r="TPD8" s="237"/>
      <c r="TPE8" s="238"/>
      <c r="TPF8" s="239"/>
      <c r="TPG8" s="239"/>
      <c r="TPH8" s="59"/>
      <c r="TPJ8" s="235"/>
      <c r="TPK8" s="236"/>
      <c r="TPL8" s="63"/>
      <c r="TPM8" s="63"/>
      <c r="TPO8" s="237"/>
      <c r="TPP8" s="238"/>
      <c r="TPQ8" s="239"/>
      <c r="TPR8" s="239"/>
      <c r="TPS8" s="59"/>
      <c r="TPU8" s="235"/>
      <c r="TPV8" s="236"/>
      <c r="TPW8" s="63"/>
      <c r="TPX8" s="63"/>
      <c r="TPZ8" s="237"/>
      <c r="TQA8" s="238"/>
      <c r="TQB8" s="239"/>
      <c r="TQC8" s="239"/>
      <c r="TQD8" s="59"/>
      <c r="TQF8" s="235"/>
      <c r="TQG8" s="236"/>
      <c r="TQH8" s="63"/>
      <c r="TQI8" s="63"/>
      <c r="TQK8" s="237"/>
      <c r="TQL8" s="238"/>
      <c r="TQM8" s="239"/>
      <c r="TQN8" s="239"/>
      <c r="TQO8" s="59"/>
      <c r="TQQ8" s="235"/>
      <c r="TQR8" s="236"/>
      <c r="TQS8" s="63"/>
      <c r="TQT8" s="63"/>
      <c r="TQV8" s="237"/>
      <c r="TQW8" s="238"/>
      <c r="TQX8" s="239"/>
      <c r="TQY8" s="239"/>
      <c r="TQZ8" s="59"/>
      <c r="TRB8" s="235"/>
      <c r="TRC8" s="236"/>
      <c r="TRD8" s="63"/>
      <c r="TRE8" s="63"/>
      <c r="TRG8" s="237"/>
      <c r="TRH8" s="238"/>
      <c r="TRI8" s="239"/>
      <c r="TRJ8" s="239"/>
      <c r="TRK8" s="59"/>
      <c r="TRM8" s="235"/>
      <c r="TRN8" s="236"/>
      <c r="TRO8" s="63"/>
      <c r="TRP8" s="63"/>
      <c r="TRR8" s="237"/>
      <c r="TRS8" s="238"/>
      <c r="TRT8" s="239"/>
      <c r="TRU8" s="239"/>
      <c r="TRV8" s="59"/>
      <c r="TRX8" s="235"/>
      <c r="TRY8" s="236"/>
      <c r="TRZ8" s="63"/>
      <c r="TSA8" s="63"/>
      <c r="TSC8" s="237"/>
      <c r="TSD8" s="238"/>
      <c r="TSE8" s="239"/>
      <c r="TSF8" s="239"/>
      <c r="TSG8" s="59"/>
      <c r="TSI8" s="235"/>
      <c r="TSJ8" s="236"/>
      <c r="TSK8" s="63"/>
      <c r="TSL8" s="63"/>
      <c r="TSN8" s="237"/>
      <c r="TSO8" s="238"/>
      <c r="TSP8" s="239"/>
      <c r="TSQ8" s="239"/>
      <c r="TSR8" s="59"/>
      <c r="TST8" s="235"/>
      <c r="TSU8" s="236"/>
      <c r="TSV8" s="63"/>
      <c r="TSW8" s="63"/>
      <c r="TSY8" s="237"/>
      <c r="TSZ8" s="238"/>
      <c r="TTA8" s="239"/>
      <c r="TTB8" s="239"/>
      <c r="TTC8" s="59"/>
      <c r="TTE8" s="235"/>
      <c r="TTF8" s="236"/>
      <c r="TTG8" s="63"/>
      <c r="TTH8" s="63"/>
      <c r="TTJ8" s="237"/>
      <c r="TTK8" s="238"/>
      <c r="TTL8" s="239"/>
      <c r="TTM8" s="239"/>
      <c r="TTN8" s="59"/>
      <c r="TTP8" s="235"/>
      <c r="TTQ8" s="236"/>
      <c r="TTR8" s="63"/>
      <c r="TTS8" s="63"/>
      <c r="TTU8" s="237"/>
      <c r="TTV8" s="238"/>
      <c r="TTW8" s="239"/>
      <c r="TTX8" s="239"/>
      <c r="TTY8" s="59"/>
      <c r="TUA8" s="235"/>
      <c r="TUB8" s="236"/>
      <c r="TUC8" s="63"/>
      <c r="TUD8" s="63"/>
      <c r="TUF8" s="237"/>
      <c r="TUG8" s="238"/>
      <c r="TUH8" s="239"/>
      <c r="TUI8" s="239"/>
      <c r="TUJ8" s="59"/>
      <c r="TUL8" s="235"/>
      <c r="TUM8" s="236"/>
      <c r="TUN8" s="63"/>
      <c r="TUO8" s="63"/>
      <c r="TUQ8" s="237"/>
      <c r="TUR8" s="238"/>
      <c r="TUS8" s="239"/>
      <c r="TUT8" s="239"/>
      <c r="TUU8" s="59"/>
      <c r="TUW8" s="235"/>
      <c r="TUX8" s="236"/>
      <c r="TUY8" s="63"/>
      <c r="TUZ8" s="63"/>
      <c r="TVB8" s="237"/>
      <c r="TVC8" s="238"/>
      <c r="TVD8" s="239"/>
      <c r="TVE8" s="239"/>
      <c r="TVF8" s="59"/>
      <c r="TVH8" s="235"/>
      <c r="TVI8" s="236"/>
      <c r="TVJ8" s="63"/>
      <c r="TVK8" s="63"/>
      <c r="TVM8" s="237"/>
      <c r="TVN8" s="238"/>
      <c r="TVO8" s="239"/>
      <c r="TVP8" s="239"/>
      <c r="TVQ8" s="59"/>
      <c r="TVS8" s="235"/>
      <c r="TVT8" s="236"/>
      <c r="TVU8" s="63"/>
      <c r="TVV8" s="63"/>
      <c r="TVX8" s="237"/>
      <c r="TVY8" s="238"/>
      <c r="TVZ8" s="239"/>
      <c r="TWA8" s="239"/>
      <c r="TWB8" s="59"/>
      <c r="TWD8" s="235"/>
      <c r="TWE8" s="236"/>
      <c r="TWF8" s="63"/>
      <c r="TWG8" s="63"/>
      <c r="TWI8" s="237"/>
      <c r="TWJ8" s="238"/>
      <c r="TWK8" s="239"/>
      <c r="TWL8" s="239"/>
      <c r="TWM8" s="59"/>
      <c r="TWO8" s="235"/>
      <c r="TWP8" s="236"/>
      <c r="TWQ8" s="63"/>
      <c r="TWR8" s="63"/>
      <c r="TWT8" s="237"/>
      <c r="TWU8" s="238"/>
      <c r="TWV8" s="239"/>
      <c r="TWW8" s="239"/>
      <c r="TWX8" s="59"/>
      <c r="TWZ8" s="235"/>
      <c r="TXA8" s="236"/>
      <c r="TXB8" s="63"/>
      <c r="TXC8" s="63"/>
      <c r="TXE8" s="237"/>
      <c r="TXF8" s="238"/>
      <c r="TXG8" s="239"/>
      <c r="TXH8" s="239"/>
      <c r="TXI8" s="59"/>
      <c r="TXK8" s="235"/>
      <c r="TXL8" s="236"/>
      <c r="TXM8" s="63"/>
      <c r="TXN8" s="63"/>
      <c r="TXP8" s="237"/>
      <c r="TXQ8" s="238"/>
      <c r="TXR8" s="239"/>
      <c r="TXS8" s="239"/>
      <c r="TXT8" s="59"/>
      <c r="TXV8" s="235"/>
      <c r="TXW8" s="236"/>
      <c r="TXX8" s="63"/>
      <c r="TXY8" s="63"/>
      <c r="TYA8" s="237"/>
      <c r="TYB8" s="238"/>
      <c r="TYC8" s="239"/>
      <c r="TYD8" s="239"/>
      <c r="TYE8" s="59"/>
      <c r="TYG8" s="235"/>
      <c r="TYH8" s="236"/>
      <c r="TYI8" s="63"/>
      <c r="TYJ8" s="63"/>
      <c r="TYL8" s="237"/>
      <c r="TYM8" s="238"/>
      <c r="TYN8" s="239"/>
      <c r="TYO8" s="239"/>
      <c r="TYP8" s="59"/>
      <c r="TYR8" s="235"/>
      <c r="TYS8" s="236"/>
      <c r="TYT8" s="63"/>
      <c r="TYU8" s="63"/>
      <c r="TYW8" s="237"/>
      <c r="TYX8" s="238"/>
      <c r="TYY8" s="239"/>
      <c r="TYZ8" s="239"/>
      <c r="TZA8" s="59"/>
      <c r="TZC8" s="235"/>
      <c r="TZD8" s="236"/>
      <c r="TZE8" s="63"/>
      <c r="TZF8" s="63"/>
      <c r="TZH8" s="237"/>
      <c r="TZI8" s="238"/>
      <c r="TZJ8" s="239"/>
      <c r="TZK8" s="239"/>
      <c r="TZL8" s="59"/>
      <c r="TZN8" s="235"/>
      <c r="TZO8" s="236"/>
      <c r="TZP8" s="63"/>
      <c r="TZQ8" s="63"/>
      <c r="TZS8" s="237"/>
      <c r="TZT8" s="238"/>
      <c r="TZU8" s="239"/>
      <c r="TZV8" s="239"/>
      <c r="TZW8" s="59"/>
      <c r="TZY8" s="235"/>
      <c r="TZZ8" s="236"/>
      <c r="UAA8" s="63"/>
      <c r="UAB8" s="63"/>
      <c r="UAD8" s="237"/>
      <c r="UAE8" s="238"/>
      <c r="UAF8" s="239"/>
      <c r="UAG8" s="239"/>
      <c r="UAH8" s="59"/>
      <c r="UAJ8" s="235"/>
      <c r="UAK8" s="236"/>
      <c r="UAL8" s="63"/>
      <c r="UAM8" s="63"/>
      <c r="UAO8" s="237"/>
      <c r="UAP8" s="238"/>
      <c r="UAQ8" s="239"/>
      <c r="UAR8" s="239"/>
      <c r="UAS8" s="59"/>
      <c r="UAU8" s="235"/>
      <c r="UAV8" s="236"/>
      <c r="UAW8" s="63"/>
      <c r="UAX8" s="63"/>
      <c r="UAZ8" s="237"/>
      <c r="UBA8" s="238"/>
      <c r="UBB8" s="239"/>
      <c r="UBC8" s="239"/>
      <c r="UBD8" s="59"/>
      <c r="UBF8" s="235"/>
      <c r="UBG8" s="236"/>
      <c r="UBH8" s="63"/>
      <c r="UBI8" s="63"/>
      <c r="UBK8" s="237"/>
      <c r="UBL8" s="238"/>
      <c r="UBM8" s="239"/>
      <c r="UBN8" s="239"/>
      <c r="UBO8" s="59"/>
      <c r="UBQ8" s="235"/>
      <c r="UBR8" s="236"/>
      <c r="UBS8" s="63"/>
      <c r="UBT8" s="63"/>
      <c r="UBV8" s="237"/>
      <c r="UBW8" s="238"/>
      <c r="UBX8" s="239"/>
      <c r="UBY8" s="239"/>
      <c r="UBZ8" s="59"/>
      <c r="UCB8" s="235"/>
      <c r="UCC8" s="236"/>
      <c r="UCD8" s="63"/>
      <c r="UCE8" s="63"/>
      <c r="UCG8" s="237"/>
      <c r="UCH8" s="238"/>
      <c r="UCI8" s="239"/>
      <c r="UCJ8" s="239"/>
      <c r="UCK8" s="59"/>
      <c r="UCM8" s="235"/>
      <c r="UCN8" s="236"/>
      <c r="UCO8" s="63"/>
      <c r="UCP8" s="63"/>
      <c r="UCR8" s="237"/>
      <c r="UCS8" s="238"/>
      <c r="UCT8" s="239"/>
      <c r="UCU8" s="239"/>
      <c r="UCV8" s="59"/>
      <c r="UCX8" s="235"/>
      <c r="UCY8" s="236"/>
      <c r="UCZ8" s="63"/>
      <c r="UDA8" s="63"/>
      <c r="UDC8" s="237"/>
      <c r="UDD8" s="238"/>
      <c r="UDE8" s="239"/>
      <c r="UDF8" s="239"/>
      <c r="UDG8" s="59"/>
      <c r="UDI8" s="235"/>
      <c r="UDJ8" s="236"/>
      <c r="UDK8" s="63"/>
      <c r="UDL8" s="63"/>
      <c r="UDN8" s="237"/>
      <c r="UDO8" s="238"/>
      <c r="UDP8" s="239"/>
      <c r="UDQ8" s="239"/>
      <c r="UDR8" s="59"/>
      <c r="UDT8" s="235"/>
      <c r="UDU8" s="236"/>
      <c r="UDV8" s="63"/>
      <c r="UDW8" s="63"/>
      <c r="UDY8" s="237"/>
      <c r="UDZ8" s="238"/>
      <c r="UEA8" s="239"/>
      <c r="UEB8" s="239"/>
      <c r="UEC8" s="59"/>
      <c r="UEE8" s="235"/>
      <c r="UEF8" s="236"/>
      <c r="UEG8" s="63"/>
      <c r="UEH8" s="63"/>
      <c r="UEJ8" s="237"/>
      <c r="UEK8" s="238"/>
      <c r="UEL8" s="239"/>
      <c r="UEM8" s="239"/>
      <c r="UEN8" s="59"/>
      <c r="UEP8" s="235"/>
      <c r="UEQ8" s="236"/>
      <c r="UER8" s="63"/>
      <c r="UES8" s="63"/>
      <c r="UEU8" s="237"/>
      <c r="UEV8" s="238"/>
      <c r="UEW8" s="239"/>
      <c r="UEX8" s="239"/>
      <c r="UEY8" s="59"/>
      <c r="UFA8" s="235"/>
      <c r="UFB8" s="236"/>
      <c r="UFC8" s="63"/>
      <c r="UFD8" s="63"/>
      <c r="UFF8" s="237"/>
      <c r="UFG8" s="238"/>
      <c r="UFH8" s="239"/>
      <c r="UFI8" s="239"/>
      <c r="UFJ8" s="59"/>
      <c r="UFL8" s="235"/>
      <c r="UFM8" s="236"/>
      <c r="UFN8" s="63"/>
      <c r="UFO8" s="63"/>
      <c r="UFQ8" s="237"/>
      <c r="UFR8" s="238"/>
      <c r="UFS8" s="239"/>
      <c r="UFT8" s="239"/>
      <c r="UFU8" s="59"/>
      <c r="UFW8" s="235"/>
      <c r="UFX8" s="236"/>
      <c r="UFY8" s="63"/>
      <c r="UFZ8" s="63"/>
      <c r="UGB8" s="237"/>
      <c r="UGC8" s="238"/>
      <c r="UGD8" s="239"/>
      <c r="UGE8" s="239"/>
      <c r="UGF8" s="59"/>
      <c r="UGH8" s="235"/>
      <c r="UGI8" s="236"/>
      <c r="UGJ8" s="63"/>
      <c r="UGK8" s="63"/>
      <c r="UGM8" s="237"/>
      <c r="UGN8" s="238"/>
      <c r="UGO8" s="239"/>
      <c r="UGP8" s="239"/>
      <c r="UGQ8" s="59"/>
      <c r="UGS8" s="235"/>
      <c r="UGT8" s="236"/>
      <c r="UGU8" s="63"/>
      <c r="UGV8" s="63"/>
      <c r="UGX8" s="237"/>
      <c r="UGY8" s="238"/>
      <c r="UGZ8" s="239"/>
      <c r="UHA8" s="239"/>
      <c r="UHB8" s="59"/>
      <c r="UHD8" s="235"/>
      <c r="UHE8" s="236"/>
      <c r="UHF8" s="63"/>
      <c r="UHG8" s="63"/>
      <c r="UHI8" s="237"/>
      <c r="UHJ8" s="238"/>
      <c r="UHK8" s="239"/>
      <c r="UHL8" s="239"/>
      <c r="UHM8" s="59"/>
      <c r="UHO8" s="235"/>
      <c r="UHP8" s="236"/>
      <c r="UHQ8" s="63"/>
      <c r="UHR8" s="63"/>
      <c r="UHT8" s="237"/>
      <c r="UHU8" s="238"/>
      <c r="UHV8" s="239"/>
      <c r="UHW8" s="239"/>
      <c r="UHX8" s="59"/>
      <c r="UHZ8" s="235"/>
      <c r="UIA8" s="236"/>
      <c r="UIB8" s="63"/>
      <c r="UIC8" s="63"/>
      <c r="UIE8" s="237"/>
      <c r="UIF8" s="238"/>
      <c r="UIG8" s="239"/>
      <c r="UIH8" s="239"/>
      <c r="UII8" s="59"/>
      <c r="UIK8" s="235"/>
      <c r="UIL8" s="236"/>
      <c r="UIM8" s="63"/>
      <c r="UIN8" s="63"/>
      <c r="UIP8" s="237"/>
      <c r="UIQ8" s="238"/>
      <c r="UIR8" s="239"/>
      <c r="UIS8" s="239"/>
      <c r="UIT8" s="59"/>
      <c r="UIV8" s="235"/>
      <c r="UIW8" s="236"/>
      <c r="UIX8" s="63"/>
      <c r="UIY8" s="63"/>
      <c r="UJA8" s="237"/>
      <c r="UJB8" s="238"/>
      <c r="UJC8" s="239"/>
      <c r="UJD8" s="239"/>
      <c r="UJE8" s="59"/>
      <c r="UJG8" s="235"/>
      <c r="UJH8" s="236"/>
      <c r="UJI8" s="63"/>
      <c r="UJJ8" s="63"/>
      <c r="UJL8" s="237"/>
      <c r="UJM8" s="238"/>
      <c r="UJN8" s="239"/>
      <c r="UJO8" s="239"/>
      <c r="UJP8" s="59"/>
      <c r="UJR8" s="235"/>
      <c r="UJS8" s="236"/>
      <c r="UJT8" s="63"/>
      <c r="UJU8" s="63"/>
      <c r="UJW8" s="237"/>
      <c r="UJX8" s="238"/>
      <c r="UJY8" s="239"/>
      <c r="UJZ8" s="239"/>
      <c r="UKA8" s="59"/>
      <c r="UKC8" s="235"/>
      <c r="UKD8" s="236"/>
      <c r="UKE8" s="63"/>
      <c r="UKF8" s="63"/>
      <c r="UKH8" s="237"/>
      <c r="UKI8" s="238"/>
      <c r="UKJ8" s="239"/>
      <c r="UKK8" s="239"/>
      <c r="UKL8" s="59"/>
      <c r="UKN8" s="235"/>
      <c r="UKO8" s="236"/>
      <c r="UKP8" s="63"/>
      <c r="UKQ8" s="63"/>
      <c r="UKS8" s="237"/>
      <c r="UKT8" s="238"/>
      <c r="UKU8" s="239"/>
      <c r="UKV8" s="239"/>
      <c r="UKW8" s="59"/>
      <c r="UKY8" s="235"/>
      <c r="UKZ8" s="236"/>
      <c r="ULA8" s="63"/>
      <c r="ULB8" s="63"/>
      <c r="ULD8" s="237"/>
      <c r="ULE8" s="238"/>
      <c r="ULF8" s="239"/>
      <c r="ULG8" s="239"/>
      <c r="ULH8" s="59"/>
      <c r="ULJ8" s="235"/>
      <c r="ULK8" s="236"/>
      <c r="ULL8" s="63"/>
      <c r="ULM8" s="63"/>
      <c r="ULO8" s="237"/>
      <c r="ULP8" s="238"/>
      <c r="ULQ8" s="239"/>
      <c r="ULR8" s="239"/>
      <c r="ULS8" s="59"/>
      <c r="ULU8" s="235"/>
      <c r="ULV8" s="236"/>
      <c r="ULW8" s="63"/>
      <c r="ULX8" s="63"/>
      <c r="ULZ8" s="237"/>
      <c r="UMA8" s="238"/>
      <c r="UMB8" s="239"/>
      <c r="UMC8" s="239"/>
      <c r="UMD8" s="59"/>
      <c r="UMF8" s="235"/>
      <c r="UMG8" s="236"/>
      <c r="UMH8" s="63"/>
      <c r="UMI8" s="63"/>
      <c r="UMK8" s="237"/>
      <c r="UML8" s="238"/>
      <c r="UMM8" s="239"/>
      <c r="UMN8" s="239"/>
      <c r="UMO8" s="59"/>
      <c r="UMQ8" s="235"/>
      <c r="UMR8" s="236"/>
      <c r="UMS8" s="63"/>
      <c r="UMT8" s="63"/>
      <c r="UMV8" s="237"/>
      <c r="UMW8" s="238"/>
      <c r="UMX8" s="239"/>
      <c r="UMY8" s="239"/>
      <c r="UMZ8" s="59"/>
      <c r="UNB8" s="235"/>
      <c r="UNC8" s="236"/>
      <c r="UND8" s="63"/>
      <c r="UNE8" s="63"/>
      <c r="UNG8" s="237"/>
      <c r="UNH8" s="238"/>
      <c r="UNI8" s="239"/>
      <c r="UNJ8" s="239"/>
      <c r="UNK8" s="59"/>
      <c r="UNM8" s="235"/>
      <c r="UNN8" s="236"/>
      <c r="UNO8" s="63"/>
      <c r="UNP8" s="63"/>
      <c r="UNR8" s="237"/>
      <c r="UNS8" s="238"/>
      <c r="UNT8" s="239"/>
      <c r="UNU8" s="239"/>
      <c r="UNV8" s="59"/>
      <c r="UNX8" s="235"/>
      <c r="UNY8" s="236"/>
      <c r="UNZ8" s="63"/>
      <c r="UOA8" s="63"/>
      <c r="UOC8" s="237"/>
      <c r="UOD8" s="238"/>
      <c r="UOE8" s="239"/>
      <c r="UOF8" s="239"/>
      <c r="UOG8" s="59"/>
      <c r="UOI8" s="235"/>
      <c r="UOJ8" s="236"/>
      <c r="UOK8" s="63"/>
      <c r="UOL8" s="63"/>
      <c r="UON8" s="237"/>
      <c r="UOO8" s="238"/>
      <c r="UOP8" s="239"/>
      <c r="UOQ8" s="239"/>
      <c r="UOR8" s="59"/>
      <c r="UOT8" s="235"/>
      <c r="UOU8" s="236"/>
      <c r="UOV8" s="63"/>
      <c r="UOW8" s="63"/>
      <c r="UOY8" s="237"/>
      <c r="UOZ8" s="238"/>
      <c r="UPA8" s="239"/>
      <c r="UPB8" s="239"/>
      <c r="UPC8" s="59"/>
      <c r="UPE8" s="235"/>
      <c r="UPF8" s="236"/>
      <c r="UPG8" s="63"/>
      <c r="UPH8" s="63"/>
      <c r="UPJ8" s="237"/>
      <c r="UPK8" s="238"/>
      <c r="UPL8" s="239"/>
      <c r="UPM8" s="239"/>
      <c r="UPN8" s="59"/>
      <c r="UPP8" s="235"/>
      <c r="UPQ8" s="236"/>
      <c r="UPR8" s="63"/>
      <c r="UPS8" s="63"/>
      <c r="UPU8" s="237"/>
      <c r="UPV8" s="238"/>
      <c r="UPW8" s="239"/>
      <c r="UPX8" s="239"/>
      <c r="UPY8" s="59"/>
      <c r="UQA8" s="235"/>
      <c r="UQB8" s="236"/>
      <c r="UQC8" s="63"/>
      <c r="UQD8" s="63"/>
      <c r="UQF8" s="237"/>
      <c r="UQG8" s="238"/>
      <c r="UQH8" s="239"/>
      <c r="UQI8" s="239"/>
      <c r="UQJ8" s="59"/>
      <c r="UQL8" s="235"/>
      <c r="UQM8" s="236"/>
      <c r="UQN8" s="63"/>
      <c r="UQO8" s="63"/>
      <c r="UQQ8" s="237"/>
      <c r="UQR8" s="238"/>
      <c r="UQS8" s="239"/>
      <c r="UQT8" s="239"/>
      <c r="UQU8" s="59"/>
      <c r="UQW8" s="235"/>
      <c r="UQX8" s="236"/>
      <c r="UQY8" s="63"/>
      <c r="UQZ8" s="63"/>
      <c r="URB8" s="237"/>
      <c r="URC8" s="238"/>
      <c r="URD8" s="239"/>
      <c r="URE8" s="239"/>
      <c r="URF8" s="59"/>
      <c r="URH8" s="235"/>
      <c r="URI8" s="236"/>
      <c r="URJ8" s="63"/>
      <c r="URK8" s="63"/>
      <c r="URM8" s="237"/>
      <c r="URN8" s="238"/>
      <c r="URO8" s="239"/>
      <c r="URP8" s="239"/>
      <c r="URQ8" s="59"/>
      <c r="URS8" s="235"/>
      <c r="URT8" s="236"/>
      <c r="URU8" s="63"/>
      <c r="URV8" s="63"/>
      <c r="URX8" s="237"/>
      <c r="URY8" s="238"/>
      <c r="URZ8" s="239"/>
      <c r="USA8" s="239"/>
      <c r="USB8" s="59"/>
      <c r="USD8" s="235"/>
      <c r="USE8" s="236"/>
      <c r="USF8" s="63"/>
      <c r="USG8" s="63"/>
      <c r="USI8" s="237"/>
      <c r="USJ8" s="238"/>
      <c r="USK8" s="239"/>
      <c r="USL8" s="239"/>
      <c r="USM8" s="59"/>
      <c r="USO8" s="235"/>
      <c r="USP8" s="236"/>
      <c r="USQ8" s="63"/>
      <c r="USR8" s="63"/>
      <c r="UST8" s="237"/>
      <c r="USU8" s="238"/>
      <c r="USV8" s="239"/>
      <c r="USW8" s="239"/>
      <c r="USX8" s="59"/>
      <c r="USZ8" s="235"/>
      <c r="UTA8" s="236"/>
      <c r="UTB8" s="63"/>
      <c r="UTC8" s="63"/>
      <c r="UTE8" s="237"/>
      <c r="UTF8" s="238"/>
      <c r="UTG8" s="239"/>
      <c r="UTH8" s="239"/>
      <c r="UTI8" s="59"/>
      <c r="UTK8" s="235"/>
      <c r="UTL8" s="236"/>
      <c r="UTM8" s="63"/>
      <c r="UTN8" s="63"/>
      <c r="UTP8" s="237"/>
      <c r="UTQ8" s="238"/>
      <c r="UTR8" s="239"/>
      <c r="UTS8" s="239"/>
      <c r="UTT8" s="59"/>
      <c r="UTV8" s="235"/>
      <c r="UTW8" s="236"/>
      <c r="UTX8" s="63"/>
      <c r="UTY8" s="63"/>
      <c r="UUA8" s="237"/>
      <c r="UUB8" s="238"/>
      <c r="UUC8" s="239"/>
      <c r="UUD8" s="239"/>
      <c r="UUE8" s="59"/>
      <c r="UUG8" s="235"/>
      <c r="UUH8" s="236"/>
      <c r="UUI8" s="63"/>
      <c r="UUJ8" s="63"/>
      <c r="UUL8" s="237"/>
      <c r="UUM8" s="238"/>
      <c r="UUN8" s="239"/>
      <c r="UUO8" s="239"/>
      <c r="UUP8" s="59"/>
      <c r="UUR8" s="235"/>
      <c r="UUS8" s="236"/>
      <c r="UUT8" s="63"/>
      <c r="UUU8" s="63"/>
      <c r="UUW8" s="237"/>
      <c r="UUX8" s="238"/>
      <c r="UUY8" s="239"/>
      <c r="UUZ8" s="239"/>
      <c r="UVA8" s="59"/>
      <c r="UVC8" s="235"/>
      <c r="UVD8" s="236"/>
      <c r="UVE8" s="63"/>
      <c r="UVF8" s="63"/>
      <c r="UVH8" s="237"/>
      <c r="UVI8" s="238"/>
      <c r="UVJ8" s="239"/>
      <c r="UVK8" s="239"/>
      <c r="UVL8" s="59"/>
      <c r="UVN8" s="235"/>
      <c r="UVO8" s="236"/>
      <c r="UVP8" s="63"/>
      <c r="UVQ8" s="63"/>
      <c r="UVS8" s="237"/>
      <c r="UVT8" s="238"/>
      <c r="UVU8" s="239"/>
      <c r="UVV8" s="239"/>
      <c r="UVW8" s="59"/>
      <c r="UVY8" s="235"/>
      <c r="UVZ8" s="236"/>
      <c r="UWA8" s="63"/>
      <c r="UWB8" s="63"/>
      <c r="UWD8" s="237"/>
      <c r="UWE8" s="238"/>
      <c r="UWF8" s="239"/>
      <c r="UWG8" s="239"/>
      <c r="UWH8" s="59"/>
      <c r="UWJ8" s="235"/>
      <c r="UWK8" s="236"/>
      <c r="UWL8" s="63"/>
      <c r="UWM8" s="63"/>
      <c r="UWO8" s="237"/>
      <c r="UWP8" s="238"/>
      <c r="UWQ8" s="239"/>
      <c r="UWR8" s="239"/>
      <c r="UWS8" s="59"/>
      <c r="UWU8" s="235"/>
      <c r="UWV8" s="236"/>
      <c r="UWW8" s="63"/>
      <c r="UWX8" s="63"/>
      <c r="UWZ8" s="237"/>
      <c r="UXA8" s="238"/>
      <c r="UXB8" s="239"/>
      <c r="UXC8" s="239"/>
      <c r="UXD8" s="59"/>
      <c r="UXF8" s="235"/>
      <c r="UXG8" s="236"/>
      <c r="UXH8" s="63"/>
      <c r="UXI8" s="63"/>
      <c r="UXK8" s="237"/>
      <c r="UXL8" s="238"/>
      <c r="UXM8" s="239"/>
      <c r="UXN8" s="239"/>
      <c r="UXO8" s="59"/>
      <c r="UXQ8" s="235"/>
      <c r="UXR8" s="236"/>
      <c r="UXS8" s="63"/>
      <c r="UXT8" s="63"/>
      <c r="UXV8" s="237"/>
      <c r="UXW8" s="238"/>
      <c r="UXX8" s="239"/>
      <c r="UXY8" s="239"/>
      <c r="UXZ8" s="59"/>
      <c r="UYB8" s="235"/>
      <c r="UYC8" s="236"/>
      <c r="UYD8" s="63"/>
      <c r="UYE8" s="63"/>
      <c r="UYG8" s="237"/>
      <c r="UYH8" s="238"/>
      <c r="UYI8" s="239"/>
      <c r="UYJ8" s="239"/>
      <c r="UYK8" s="59"/>
      <c r="UYM8" s="235"/>
      <c r="UYN8" s="236"/>
      <c r="UYO8" s="63"/>
      <c r="UYP8" s="63"/>
      <c r="UYR8" s="237"/>
      <c r="UYS8" s="238"/>
      <c r="UYT8" s="239"/>
      <c r="UYU8" s="239"/>
      <c r="UYV8" s="59"/>
      <c r="UYX8" s="235"/>
      <c r="UYY8" s="236"/>
      <c r="UYZ8" s="63"/>
      <c r="UZA8" s="63"/>
      <c r="UZC8" s="237"/>
      <c r="UZD8" s="238"/>
      <c r="UZE8" s="239"/>
      <c r="UZF8" s="239"/>
      <c r="UZG8" s="59"/>
      <c r="UZI8" s="235"/>
      <c r="UZJ8" s="236"/>
      <c r="UZK8" s="63"/>
      <c r="UZL8" s="63"/>
      <c r="UZN8" s="237"/>
      <c r="UZO8" s="238"/>
      <c r="UZP8" s="239"/>
      <c r="UZQ8" s="239"/>
      <c r="UZR8" s="59"/>
      <c r="UZT8" s="235"/>
      <c r="UZU8" s="236"/>
      <c r="UZV8" s="63"/>
      <c r="UZW8" s="63"/>
      <c r="UZY8" s="237"/>
      <c r="UZZ8" s="238"/>
      <c r="VAA8" s="239"/>
      <c r="VAB8" s="239"/>
      <c r="VAC8" s="59"/>
      <c r="VAE8" s="235"/>
      <c r="VAF8" s="236"/>
      <c r="VAG8" s="63"/>
      <c r="VAH8" s="63"/>
      <c r="VAJ8" s="237"/>
      <c r="VAK8" s="238"/>
      <c r="VAL8" s="239"/>
      <c r="VAM8" s="239"/>
      <c r="VAN8" s="59"/>
      <c r="VAP8" s="235"/>
      <c r="VAQ8" s="236"/>
      <c r="VAR8" s="63"/>
      <c r="VAS8" s="63"/>
      <c r="VAU8" s="237"/>
      <c r="VAV8" s="238"/>
      <c r="VAW8" s="239"/>
      <c r="VAX8" s="239"/>
      <c r="VAY8" s="59"/>
      <c r="VBA8" s="235"/>
      <c r="VBB8" s="236"/>
      <c r="VBC8" s="63"/>
      <c r="VBD8" s="63"/>
      <c r="VBF8" s="237"/>
      <c r="VBG8" s="238"/>
      <c r="VBH8" s="239"/>
      <c r="VBI8" s="239"/>
      <c r="VBJ8" s="59"/>
      <c r="VBL8" s="235"/>
      <c r="VBM8" s="236"/>
      <c r="VBN8" s="63"/>
      <c r="VBO8" s="63"/>
      <c r="VBQ8" s="237"/>
      <c r="VBR8" s="238"/>
      <c r="VBS8" s="239"/>
      <c r="VBT8" s="239"/>
      <c r="VBU8" s="59"/>
      <c r="VBW8" s="235"/>
      <c r="VBX8" s="236"/>
      <c r="VBY8" s="63"/>
      <c r="VBZ8" s="63"/>
      <c r="VCB8" s="237"/>
      <c r="VCC8" s="238"/>
      <c r="VCD8" s="239"/>
      <c r="VCE8" s="239"/>
      <c r="VCF8" s="59"/>
      <c r="VCH8" s="235"/>
      <c r="VCI8" s="236"/>
      <c r="VCJ8" s="63"/>
      <c r="VCK8" s="63"/>
      <c r="VCM8" s="237"/>
      <c r="VCN8" s="238"/>
      <c r="VCO8" s="239"/>
      <c r="VCP8" s="239"/>
      <c r="VCQ8" s="59"/>
      <c r="VCS8" s="235"/>
      <c r="VCT8" s="236"/>
      <c r="VCU8" s="63"/>
      <c r="VCV8" s="63"/>
      <c r="VCX8" s="237"/>
      <c r="VCY8" s="238"/>
      <c r="VCZ8" s="239"/>
      <c r="VDA8" s="239"/>
      <c r="VDB8" s="59"/>
      <c r="VDD8" s="235"/>
      <c r="VDE8" s="236"/>
      <c r="VDF8" s="63"/>
      <c r="VDG8" s="63"/>
      <c r="VDI8" s="237"/>
      <c r="VDJ8" s="238"/>
      <c r="VDK8" s="239"/>
      <c r="VDL8" s="239"/>
      <c r="VDM8" s="59"/>
      <c r="VDO8" s="235"/>
      <c r="VDP8" s="236"/>
      <c r="VDQ8" s="63"/>
      <c r="VDR8" s="63"/>
      <c r="VDT8" s="237"/>
      <c r="VDU8" s="238"/>
      <c r="VDV8" s="239"/>
      <c r="VDW8" s="239"/>
      <c r="VDX8" s="59"/>
      <c r="VDZ8" s="235"/>
      <c r="VEA8" s="236"/>
      <c r="VEB8" s="63"/>
      <c r="VEC8" s="63"/>
      <c r="VEE8" s="237"/>
      <c r="VEF8" s="238"/>
      <c r="VEG8" s="239"/>
      <c r="VEH8" s="239"/>
      <c r="VEI8" s="59"/>
      <c r="VEK8" s="235"/>
      <c r="VEL8" s="236"/>
      <c r="VEM8" s="63"/>
      <c r="VEN8" s="63"/>
      <c r="VEP8" s="237"/>
      <c r="VEQ8" s="238"/>
      <c r="VER8" s="239"/>
      <c r="VES8" s="239"/>
      <c r="VET8" s="59"/>
      <c r="VEV8" s="235"/>
      <c r="VEW8" s="236"/>
      <c r="VEX8" s="63"/>
      <c r="VEY8" s="63"/>
      <c r="VFA8" s="237"/>
      <c r="VFB8" s="238"/>
      <c r="VFC8" s="239"/>
      <c r="VFD8" s="239"/>
      <c r="VFE8" s="59"/>
      <c r="VFG8" s="235"/>
      <c r="VFH8" s="236"/>
      <c r="VFI8" s="63"/>
      <c r="VFJ8" s="63"/>
      <c r="VFL8" s="237"/>
      <c r="VFM8" s="238"/>
      <c r="VFN8" s="239"/>
      <c r="VFO8" s="239"/>
      <c r="VFP8" s="59"/>
      <c r="VFR8" s="235"/>
      <c r="VFS8" s="236"/>
      <c r="VFT8" s="63"/>
      <c r="VFU8" s="63"/>
      <c r="VFW8" s="237"/>
      <c r="VFX8" s="238"/>
      <c r="VFY8" s="239"/>
      <c r="VFZ8" s="239"/>
      <c r="VGA8" s="59"/>
      <c r="VGC8" s="235"/>
      <c r="VGD8" s="236"/>
      <c r="VGE8" s="63"/>
      <c r="VGF8" s="63"/>
      <c r="VGH8" s="237"/>
      <c r="VGI8" s="238"/>
      <c r="VGJ8" s="239"/>
      <c r="VGK8" s="239"/>
      <c r="VGL8" s="59"/>
      <c r="VGN8" s="235"/>
      <c r="VGO8" s="236"/>
      <c r="VGP8" s="63"/>
      <c r="VGQ8" s="63"/>
      <c r="VGS8" s="237"/>
      <c r="VGT8" s="238"/>
      <c r="VGU8" s="239"/>
      <c r="VGV8" s="239"/>
      <c r="VGW8" s="59"/>
      <c r="VGY8" s="235"/>
      <c r="VGZ8" s="236"/>
      <c r="VHA8" s="63"/>
      <c r="VHB8" s="63"/>
      <c r="VHD8" s="237"/>
      <c r="VHE8" s="238"/>
      <c r="VHF8" s="239"/>
      <c r="VHG8" s="239"/>
      <c r="VHH8" s="59"/>
      <c r="VHJ8" s="235"/>
      <c r="VHK8" s="236"/>
      <c r="VHL8" s="63"/>
      <c r="VHM8" s="63"/>
      <c r="VHO8" s="237"/>
      <c r="VHP8" s="238"/>
      <c r="VHQ8" s="239"/>
      <c r="VHR8" s="239"/>
      <c r="VHS8" s="59"/>
      <c r="VHU8" s="235"/>
      <c r="VHV8" s="236"/>
      <c r="VHW8" s="63"/>
      <c r="VHX8" s="63"/>
      <c r="VHZ8" s="237"/>
      <c r="VIA8" s="238"/>
      <c r="VIB8" s="239"/>
      <c r="VIC8" s="239"/>
      <c r="VID8" s="59"/>
      <c r="VIF8" s="235"/>
      <c r="VIG8" s="236"/>
      <c r="VIH8" s="63"/>
      <c r="VII8" s="63"/>
      <c r="VIK8" s="237"/>
      <c r="VIL8" s="238"/>
      <c r="VIM8" s="239"/>
      <c r="VIN8" s="239"/>
      <c r="VIO8" s="59"/>
      <c r="VIQ8" s="235"/>
      <c r="VIR8" s="236"/>
      <c r="VIS8" s="63"/>
      <c r="VIT8" s="63"/>
      <c r="VIV8" s="237"/>
      <c r="VIW8" s="238"/>
      <c r="VIX8" s="239"/>
      <c r="VIY8" s="239"/>
      <c r="VIZ8" s="59"/>
      <c r="VJB8" s="235"/>
      <c r="VJC8" s="236"/>
      <c r="VJD8" s="63"/>
      <c r="VJE8" s="63"/>
      <c r="VJG8" s="237"/>
      <c r="VJH8" s="238"/>
      <c r="VJI8" s="239"/>
      <c r="VJJ8" s="239"/>
      <c r="VJK8" s="59"/>
      <c r="VJM8" s="235"/>
      <c r="VJN8" s="236"/>
      <c r="VJO8" s="63"/>
      <c r="VJP8" s="63"/>
      <c r="VJR8" s="237"/>
      <c r="VJS8" s="238"/>
      <c r="VJT8" s="239"/>
      <c r="VJU8" s="239"/>
      <c r="VJV8" s="59"/>
      <c r="VJX8" s="235"/>
      <c r="VJY8" s="236"/>
      <c r="VJZ8" s="63"/>
      <c r="VKA8" s="63"/>
      <c r="VKC8" s="237"/>
      <c r="VKD8" s="238"/>
      <c r="VKE8" s="239"/>
      <c r="VKF8" s="239"/>
      <c r="VKG8" s="59"/>
      <c r="VKI8" s="235"/>
      <c r="VKJ8" s="236"/>
      <c r="VKK8" s="63"/>
      <c r="VKL8" s="63"/>
      <c r="VKN8" s="237"/>
      <c r="VKO8" s="238"/>
      <c r="VKP8" s="239"/>
      <c r="VKQ8" s="239"/>
      <c r="VKR8" s="59"/>
      <c r="VKT8" s="235"/>
      <c r="VKU8" s="236"/>
      <c r="VKV8" s="63"/>
      <c r="VKW8" s="63"/>
      <c r="VKY8" s="237"/>
      <c r="VKZ8" s="238"/>
      <c r="VLA8" s="239"/>
      <c r="VLB8" s="239"/>
      <c r="VLC8" s="59"/>
      <c r="VLE8" s="235"/>
      <c r="VLF8" s="236"/>
      <c r="VLG8" s="63"/>
      <c r="VLH8" s="63"/>
      <c r="VLJ8" s="237"/>
      <c r="VLK8" s="238"/>
      <c r="VLL8" s="239"/>
      <c r="VLM8" s="239"/>
      <c r="VLN8" s="59"/>
      <c r="VLP8" s="235"/>
      <c r="VLQ8" s="236"/>
      <c r="VLR8" s="63"/>
      <c r="VLS8" s="63"/>
      <c r="VLU8" s="237"/>
      <c r="VLV8" s="238"/>
      <c r="VLW8" s="239"/>
      <c r="VLX8" s="239"/>
      <c r="VLY8" s="59"/>
      <c r="VMA8" s="235"/>
      <c r="VMB8" s="236"/>
      <c r="VMC8" s="63"/>
      <c r="VMD8" s="63"/>
      <c r="VMF8" s="237"/>
      <c r="VMG8" s="238"/>
      <c r="VMH8" s="239"/>
      <c r="VMI8" s="239"/>
      <c r="VMJ8" s="59"/>
      <c r="VML8" s="235"/>
      <c r="VMM8" s="236"/>
      <c r="VMN8" s="63"/>
      <c r="VMO8" s="63"/>
      <c r="VMQ8" s="237"/>
      <c r="VMR8" s="238"/>
      <c r="VMS8" s="239"/>
      <c r="VMT8" s="239"/>
      <c r="VMU8" s="59"/>
      <c r="VMW8" s="235"/>
      <c r="VMX8" s="236"/>
      <c r="VMY8" s="63"/>
      <c r="VMZ8" s="63"/>
      <c r="VNB8" s="237"/>
      <c r="VNC8" s="238"/>
      <c r="VND8" s="239"/>
      <c r="VNE8" s="239"/>
      <c r="VNF8" s="59"/>
      <c r="VNH8" s="235"/>
      <c r="VNI8" s="236"/>
      <c r="VNJ8" s="63"/>
      <c r="VNK8" s="63"/>
      <c r="VNM8" s="237"/>
      <c r="VNN8" s="238"/>
      <c r="VNO8" s="239"/>
      <c r="VNP8" s="239"/>
      <c r="VNQ8" s="59"/>
      <c r="VNS8" s="235"/>
      <c r="VNT8" s="236"/>
      <c r="VNU8" s="63"/>
      <c r="VNV8" s="63"/>
      <c r="VNX8" s="237"/>
      <c r="VNY8" s="238"/>
      <c r="VNZ8" s="239"/>
      <c r="VOA8" s="239"/>
      <c r="VOB8" s="59"/>
      <c r="VOD8" s="235"/>
      <c r="VOE8" s="236"/>
      <c r="VOF8" s="63"/>
      <c r="VOG8" s="63"/>
      <c r="VOI8" s="237"/>
      <c r="VOJ8" s="238"/>
      <c r="VOK8" s="239"/>
      <c r="VOL8" s="239"/>
      <c r="VOM8" s="59"/>
      <c r="VOO8" s="235"/>
      <c r="VOP8" s="236"/>
      <c r="VOQ8" s="63"/>
      <c r="VOR8" s="63"/>
      <c r="VOT8" s="237"/>
      <c r="VOU8" s="238"/>
      <c r="VOV8" s="239"/>
      <c r="VOW8" s="239"/>
      <c r="VOX8" s="59"/>
      <c r="VOZ8" s="235"/>
      <c r="VPA8" s="236"/>
      <c r="VPB8" s="63"/>
      <c r="VPC8" s="63"/>
      <c r="VPE8" s="237"/>
      <c r="VPF8" s="238"/>
      <c r="VPG8" s="239"/>
      <c r="VPH8" s="239"/>
      <c r="VPI8" s="59"/>
      <c r="VPK8" s="235"/>
      <c r="VPL8" s="236"/>
      <c r="VPM8" s="63"/>
      <c r="VPN8" s="63"/>
      <c r="VPP8" s="237"/>
      <c r="VPQ8" s="238"/>
      <c r="VPR8" s="239"/>
      <c r="VPS8" s="239"/>
      <c r="VPT8" s="59"/>
      <c r="VPV8" s="235"/>
      <c r="VPW8" s="236"/>
      <c r="VPX8" s="63"/>
      <c r="VPY8" s="63"/>
      <c r="VQA8" s="237"/>
      <c r="VQB8" s="238"/>
      <c r="VQC8" s="239"/>
      <c r="VQD8" s="239"/>
      <c r="VQE8" s="59"/>
      <c r="VQG8" s="235"/>
      <c r="VQH8" s="236"/>
      <c r="VQI8" s="63"/>
      <c r="VQJ8" s="63"/>
      <c r="VQL8" s="237"/>
      <c r="VQM8" s="238"/>
      <c r="VQN8" s="239"/>
      <c r="VQO8" s="239"/>
      <c r="VQP8" s="59"/>
      <c r="VQR8" s="235"/>
      <c r="VQS8" s="236"/>
      <c r="VQT8" s="63"/>
      <c r="VQU8" s="63"/>
      <c r="VQW8" s="237"/>
      <c r="VQX8" s="238"/>
      <c r="VQY8" s="239"/>
      <c r="VQZ8" s="239"/>
      <c r="VRA8" s="59"/>
      <c r="VRC8" s="235"/>
      <c r="VRD8" s="236"/>
      <c r="VRE8" s="63"/>
      <c r="VRF8" s="63"/>
      <c r="VRH8" s="237"/>
      <c r="VRI8" s="238"/>
      <c r="VRJ8" s="239"/>
      <c r="VRK8" s="239"/>
      <c r="VRL8" s="59"/>
      <c r="VRN8" s="235"/>
      <c r="VRO8" s="236"/>
      <c r="VRP8" s="63"/>
      <c r="VRQ8" s="63"/>
      <c r="VRS8" s="237"/>
      <c r="VRT8" s="238"/>
      <c r="VRU8" s="239"/>
      <c r="VRV8" s="239"/>
      <c r="VRW8" s="59"/>
      <c r="VRY8" s="235"/>
      <c r="VRZ8" s="236"/>
      <c r="VSA8" s="63"/>
      <c r="VSB8" s="63"/>
      <c r="VSD8" s="237"/>
      <c r="VSE8" s="238"/>
      <c r="VSF8" s="239"/>
      <c r="VSG8" s="239"/>
      <c r="VSH8" s="59"/>
      <c r="VSJ8" s="235"/>
      <c r="VSK8" s="236"/>
      <c r="VSL8" s="63"/>
      <c r="VSM8" s="63"/>
      <c r="VSO8" s="237"/>
      <c r="VSP8" s="238"/>
      <c r="VSQ8" s="239"/>
      <c r="VSR8" s="239"/>
      <c r="VSS8" s="59"/>
      <c r="VSU8" s="235"/>
      <c r="VSV8" s="236"/>
      <c r="VSW8" s="63"/>
      <c r="VSX8" s="63"/>
      <c r="VSZ8" s="237"/>
      <c r="VTA8" s="238"/>
      <c r="VTB8" s="239"/>
      <c r="VTC8" s="239"/>
      <c r="VTD8" s="59"/>
      <c r="VTF8" s="235"/>
      <c r="VTG8" s="236"/>
      <c r="VTH8" s="63"/>
      <c r="VTI8" s="63"/>
      <c r="VTK8" s="237"/>
      <c r="VTL8" s="238"/>
      <c r="VTM8" s="239"/>
      <c r="VTN8" s="239"/>
      <c r="VTO8" s="59"/>
      <c r="VTQ8" s="235"/>
      <c r="VTR8" s="236"/>
      <c r="VTS8" s="63"/>
      <c r="VTT8" s="63"/>
      <c r="VTV8" s="237"/>
      <c r="VTW8" s="238"/>
      <c r="VTX8" s="239"/>
      <c r="VTY8" s="239"/>
      <c r="VTZ8" s="59"/>
      <c r="VUB8" s="235"/>
      <c r="VUC8" s="236"/>
      <c r="VUD8" s="63"/>
      <c r="VUE8" s="63"/>
      <c r="VUG8" s="237"/>
      <c r="VUH8" s="238"/>
      <c r="VUI8" s="239"/>
      <c r="VUJ8" s="239"/>
      <c r="VUK8" s="59"/>
      <c r="VUM8" s="235"/>
      <c r="VUN8" s="236"/>
      <c r="VUO8" s="63"/>
      <c r="VUP8" s="63"/>
      <c r="VUR8" s="237"/>
      <c r="VUS8" s="238"/>
      <c r="VUT8" s="239"/>
      <c r="VUU8" s="239"/>
      <c r="VUV8" s="59"/>
      <c r="VUX8" s="235"/>
      <c r="VUY8" s="236"/>
      <c r="VUZ8" s="63"/>
      <c r="VVA8" s="63"/>
      <c r="VVC8" s="237"/>
      <c r="VVD8" s="238"/>
      <c r="VVE8" s="239"/>
      <c r="VVF8" s="239"/>
      <c r="VVG8" s="59"/>
      <c r="VVI8" s="235"/>
      <c r="VVJ8" s="236"/>
      <c r="VVK8" s="63"/>
      <c r="VVL8" s="63"/>
      <c r="VVN8" s="237"/>
      <c r="VVO8" s="238"/>
      <c r="VVP8" s="239"/>
      <c r="VVQ8" s="239"/>
      <c r="VVR8" s="59"/>
      <c r="VVT8" s="235"/>
      <c r="VVU8" s="236"/>
      <c r="VVV8" s="63"/>
      <c r="VVW8" s="63"/>
      <c r="VVY8" s="237"/>
      <c r="VVZ8" s="238"/>
      <c r="VWA8" s="239"/>
      <c r="VWB8" s="239"/>
      <c r="VWC8" s="59"/>
      <c r="VWE8" s="235"/>
      <c r="VWF8" s="236"/>
      <c r="VWG8" s="63"/>
      <c r="VWH8" s="63"/>
      <c r="VWJ8" s="237"/>
      <c r="VWK8" s="238"/>
      <c r="VWL8" s="239"/>
      <c r="VWM8" s="239"/>
      <c r="VWN8" s="59"/>
      <c r="VWP8" s="235"/>
      <c r="VWQ8" s="236"/>
      <c r="VWR8" s="63"/>
      <c r="VWS8" s="63"/>
      <c r="VWU8" s="237"/>
      <c r="VWV8" s="238"/>
      <c r="VWW8" s="239"/>
      <c r="VWX8" s="239"/>
      <c r="VWY8" s="59"/>
      <c r="VXA8" s="235"/>
      <c r="VXB8" s="236"/>
      <c r="VXC8" s="63"/>
      <c r="VXD8" s="63"/>
      <c r="VXF8" s="237"/>
      <c r="VXG8" s="238"/>
      <c r="VXH8" s="239"/>
      <c r="VXI8" s="239"/>
      <c r="VXJ8" s="59"/>
      <c r="VXL8" s="235"/>
      <c r="VXM8" s="236"/>
      <c r="VXN8" s="63"/>
      <c r="VXO8" s="63"/>
      <c r="VXQ8" s="237"/>
      <c r="VXR8" s="238"/>
      <c r="VXS8" s="239"/>
      <c r="VXT8" s="239"/>
      <c r="VXU8" s="59"/>
      <c r="VXW8" s="235"/>
      <c r="VXX8" s="236"/>
      <c r="VXY8" s="63"/>
      <c r="VXZ8" s="63"/>
      <c r="VYB8" s="237"/>
      <c r="VYC8" s="238"/>
      <c r="VYD8" s="239"/>
      <c r="VYE8" s="239"/>
      <c r="VYF8" s="59"/>
      <c r="VYH8" s="235"/>
      <c r="VYI8" s="236"/>
      <c r="VYJ8" s="63"/>
      <c r="VYK8" s="63"/>
      <c r="VYM8" s="237"/>
      <c r="VYN8" s="238"/>
      <c r="VYO8" s="239"/>
      <c r="VYP8" s="239"/>
      <c r="VYQ8" s="59"/>
      <c r="VYS8" s="235"/>
      <c r="VYT8" s="236"/>
      <c r="VYU8" s="63"/>
      <c r="VYV8" s="63"/>
      <c r="VYX8" s="237"/>
      <c r="VYY8" s="238"/>
      <c r="VYZ8" s="239"/>
      <c r="VZA8" s="239"/>
      <c r="VZB8" s="59"/>
      <c r="VZD8" s="235"/>
      <c r="VZE8" s="236"/>
      <c r="VZF8" s="63"/>
      <c r="VZG8" s="63"/>
      <c r="VZI8" s="237"/>
      <c r="VZJ8" s="238"/>
      <c r="VZK8" s="239"/>
      <c r="VZL8" s="239"/>
      <c r="VZM8" s="59"/>
      <c r="VZO8" s="235"/>
      <c r="VZP8" s="236"/>
      <c r="VZQ8" s="63"/>
      <c r="VZR8" s="63"/>
      <c r="VZT8" s="237"/>
      <c r="VZU8" s="238"/>
      <c r="VZV8" s="239"/>
      <c r="VZW8" s="239"/>
      <c r="VZX8" s="59"/>
      <c r="VZZ8" s="235"/>
      <c r="WAA8" s="236"/>
      <c r="WAB8" s="63"/>
      <c r="WAC8" s="63"/>
      <c r="WAE8" s="237"/>
      <c r="WAF8" s="238"/>
      <c r="WAG8" s="239"/>
      <c r="WAH8" s="239"/>
      <c r="WAI8" s="59"/>
      <c r="WAK8" s="235"/>
      <c r="WAL8" s="236"/>
      <c r="WAM8" s="63"/>
      <c r="WAN8" s="63"/>
      <c r="WAP8" s="237"/>
      <c r="WAQ8" s="238"/>
      <c r="WAR8" s="239"/>
      <c r="WAS8" s="239"/>
      <c r="WAT8" s="59"/>
      <c r="WAV8" s="235"/>
      <c r="WAW8" s="236"/>
      <c r="WAX8" s="63"/>
      <c r="WAY8" s="63"/>
      <c r="WBA8" s="237"/>
      <c r="WBB8" s="238"/>
      <c r="WBC8" s="239"/>
      <c r="WBD8" s="239"/>
      <c r="WBE8" s="59"/>
      <c r="WBG8" s="235"/>
      <c r="WBH8" s="236"/>
      <c r="WBI8" s="63"/>
      <c r="WBJ8" s="63"/>
      <c r="WBL8" s="237"/>
      <c r="WBM8" s="238"/>
      <c r="WBN8" s="239"/>
      <c r="WBO8" s="239"/>
      <c r="WBP8" s="59"/>
      <c r="WBR8" s="235"/>
      <c r="WBS8" s="236"/>
      <c r="WBT8" s="63"/>
      <c r="WBU8" s="63"/>
      <c r="WBW8" s="237"/>
      <c r="WBX8" s="238"/>
      <c r="WBY8" s="239"/>
      <c r="WBZ8" s="239"/>
      <c r="WCA8" s="59"/>
      <c r="WCC8" s="235"/>
      <c r="WCD8" s="236"/>
      <c r="WCE8" s="63"/>
      <c r="WCF8" s="63"/>
      <c r="WCH8" s="237"/>
      <c r="WCI8" s="238"/>
      <c r="WCJ8" s="239"/>
      <c r="WCK8" s="239"/>
      <c r="WCL8" s="59"/>
      <c r="WCN8" s="235"/>
      <c r="WCO8" s="236"/>
      <c r="WCP8" s="63"/>
      <c r="WCQ8" s="63"/>
      <c r="WCS8" s="237"/>
      <c r="WCT8" s="238"/>
      <c r="WCU8" s="239"/>
      <c r="WCV8" s="239"/>
      <c r="WCW8" s="59"/>
      <c r="WCY8" s="235"/>
      <c r="WCZ8" s="236"/>
      <c r="WDA8" s="63"/>
      <c r="WDB8" s="63"/>
      <c r="WDD8" s="237"/>
      <c r="WDE8" s="238"/>
      <c r="WDF8" s="239"/>
      <c r="WDG8" s="239"/>
      <c r="WDH8" s="59"/>
      <c r="WDJ8" s="235"/>
      <c r="WDK8" s="236"/>
      <c r="WDL8" s="63"/>
      <c r="WDM8" s="63"/>
      <c r="WDO8" s="237"/>
      <c r="WDP8" s="238"/>
      <c r="WDQ8" s="239"/>
      <c r="WDR8" s="239"/>
      <c r="WDS8" s="59"/>
      <c r="WDU8" s="235"/>
      <c r="WDV8" s="236"/>
      <c r="WDW8" s="63"/>
      <c r="WDX8" s="63"/>
      <c r="WDZ8" s="237"/>
      <c r="WEA8" s="238"/>
      <c r="WEB8" s="239"/>
      <c r="WEC8" s="239"/>
      <c r="WED8" s="59"/>
      <c r="WEF8" s="235"/>
      <c r="WEG8" s="236"/>
      <c r="WEH8" s="63"/>
      <c r="WEI8" s="63"/>
      <c r="WEK8" s="237"/>
      <c r="WEL8" s="238"/>
      <c r="WEM8" s="239"/>
      <c r="WEN8" s="239"/>
      <c r="WEO8" s="59"/>
      <c r="WEQ8" s="235"/>
      <c r="WER8" s="236"/>
      <c r="WES8" s="63"/>
      <c r="WET8" s="63"/>
      <c r="WEV8" s="237"/>
      <c r="WEW8" s="238"/>
      <c r="WEX8" s="239"/>
      <c r="WEY8" s="239"/>
      <c r="WEZ8" s="59"/>
      <c r="WFB8" s="235"/>
      <c r="WFC8" s="236"/>
      <c r="WFD8" s="63"/>
      <c r="WFE8" s="63"/>
      <c r="WFG8" s="237"/>
      <c r="WFH8" s="238"/>
      <c r="WFI8" s="239"/>
      <c r="WFJ8" s="239"/>
      <c r="WFK8" s="59"/>
      <c r="WFM8" s="235"/>
      <c r="WFN8" s="236"/>
      <c r="WFO8" s="63"/>
      <c r="WFP8" s="63"/>
      <c r="WFR8" s="237"/>
      <c r="WFS8" s="238"/>
      <c r="WFT8" s="239"/>
      <c r="WFU8" s="239"/>
      <c r="WFV8" s="59"/>
      <c r="WFX8" s="235"/>
      <c r="WFY8" s="236"/>
      <c r="WFZ8" s="63"/>
      <c r="WGA8" s="63"/>
      <c r="WGC8" s="237"/>
      <c r="WGD8" s="238"/>
      <c r="WGE8" s="239"/>
      <c r="WGF8" s="239"/>
      <c r="WGG8" s="59"/>
      <c r="WGI8" s="235"/>
      <c r="WGJ8" s="236"/>
      <c r="WGK8" s="63"/>
      <c r="WGL8" s="63"/>
      <c r="WGN8" s="237"/>
      <c r="WGO8" s="238"/>
      <c r="WGP8" s="239"/>
      <c r="WGQ8" s="239"/>
      <c r="WGR8" s="59"/>
      <c r="WGT8" s="235"/>
      <c r="WGU8" s="236"/>
      <c r="WGV8" s="63"/>
      <c r="WGW8" s="63"/>
      <c r="WGY8" s="237"/>
      <c r="WGZ8" s="238"/>
      <c r="WHA8" s="239"/>
      <c r="WHB8" s="239"/>
      <c r="WHC8" s="59"/>
      <c r="WHE8" s="235"/>
      <c r="WHF8" s="236"/>
      <c r="WHG8" s="63"/>
      <c r="WHH8" s="63"/>
      <c r="WHJ8" s="237"/>
      <c r="WHK8" s="238"/>
      <c r="WHL8" s="239"/>
      <c r="WHM8" s="239"/>
      <c r="WHN8" s="59"/>
      <c r="WHP8" s="235"/>
      <c r="WHQ8" s="236"/>
      <c r="WHR8" s="63"/>
      <c r="WHS8" s="63"/>
      <c r="WHU8" s="237"/>
      <c r="WHV8" s="238"/>
      <c r="WHW8" s="239"/>
      <c r="WHX8" s="239"/>
      <c r="WHY8" s="59"/>
      <c r="WIA8" s="235"/>
      <c r="WIB8" s="236"/>
      <c r="WIC8" s="63"/>
      <c r="WID8" s="63"/>
      <c r="WIF8" s="237"/>
      <c r="WIG8" s="238"/>
      <c r="WIH8" s="239"/>
      <c r="WII8" s="239"/>
      <c r="WIJ8" s="59"/>
      <c r="WIL8" s="235"/>
      <c r="WIM8" s="236"/>
      <c r="WIN8" s="63"/>
      <c r="WIO8" s="63"/>
      <c r="WIQ8" s="237"/>
      <c r="WIR8" s="238"/>
      <c r="WIS8" s="239"/>
      <c r="WIT8" s="239"/>
      <c r="WIU8" s="59"/>
      <c r="WIW8" s="235"/>
      <c r="WIX8" s="236"/>
      <c r="WIY8" s="63"/>
      <c r="WIZ8" s="63"/>
      <c r="WJB8" s="237"/>
      <c r="WJC8" s="238"/>
      <c r="WJD8" s="239"/>
      <c r="WJE8" s="239"/>
      <c r="WJF8" s="59"/>
      <c r="WJH8" s="235"/>
      <c r="WJI8" s="236"/>
      <c r="WJJ8" s="63"/>
      <c r="WJK8" s="63"/>
      <c r="WJM8" s="237"/>
      <c r="WJN8" s="238"/>
      <c r="WJO8" s="239"/>
      <c r="WJP8" s="239"/>
      <c r="WJQ8" s="59"/>
      <c r="WJS8" s="235"/>
      <c r="WJT8" s="236"/>
      <c r="WJU8" s="63"/>
      <c r="WJV8" s="63"/>
      <c r="WJX8" s="237"/>
      <c r="WJY8" s="238"/>
      <c r="WJZ8" s="239"/>
      <c r="WKA8" s="239"/>
      <c r="WKB8" s="59"/>
      <c r="WKD8" s="235"/>
      <c r="WKE8" s="236"/>
      <c r="WKF8" s="63"/>
      <c r="WKG8" s="63"/>
      <c r="WKI8" s="237"/>
      <c r="WKJ8" s="238"/>
      <c r="WKK8" s="239"/>
      <c r="WKL8" s="239"/>
      <c r="WKM8" s="59"/>
      <c r="WKO8" s="235"/>
      <c r="WKP8" s="236"/>
      <c r="WKQ8" s="63"/>
      <c r="WKR8" s="63"/>
      <c r="WKT8" s="237"/>
      <c r="WKU8" s="238"/>
      <c r="WKV8" s="239"/>
      <c r="WKW8" s="239"/>
      <c r="WKX8" s="59"/>
      <c r="WKZ8" s="235"/>
      <c r="WLA8" s="236"/>
      <c r="WLB8" s="63"/>
      <c r="WLC8" s="63"/>
      <c r="WLE8" s="237"/>
      <c r="WLF8" s="238"/>
      <c r="WLG8" s="239"/>
      <c r="WLH8" s="239"/>
      <c r="WLI8" s="59"/>
      <c r="WLK8" s="235"/>
      <c r="WLL8" s="236"/>
      <c r="WLM8" s="63"/>
      <c r="WLN8" s="63"/>
      <c r="WLP8" s="237"/>
      <c r="WLQ8" s="238"/>
      <c r="WLR8" s="239"/>
      <c r="WLS8" s="239"/>
      <c r="WLT8" s="59"/>
      <c r="WLV8" s="235"/>
      <c r="WLW8" s="236"/>
      <c r="WLX8" s="63"/>
      <c r="WLY8" s="63"/>
      <c r="WMA8" s="237"/>
      <c r="WMB8" s="238"/>
      <c r="WMC8" s="239"/>
      <c r="WMD8" s="239"/>
      <c r="WME8" s="59"/>
      <c r="WMG8" s="235"/>
      <c r="WMH8" s="236"/>
      <c r="WMI8" s="63"/>
      <c r="WMJ8" s="63"/>
      <c r="WML8" s="237"/>
      <c r="WMM8" s="238"/>
      <c r="WMN8" s="239"/>
      <c r="WMO8" s="239"/>
      <c r="WMP8" s="59"/>
      <c r="WMR8" s="235"/>
      <c r="WMS8" s="236"/>
      <c r="WMT8" s="63"/>
      <c r="WMU8" s="63"/>
      <c r="WMW8" s="237"/>
      <c r="WMX8" s="238"/>
      <c r="WMY8" s="239"/>
      <c r="WMZ8" s="239"/>
      <c r="WNA8" s="59"/>
      <c r="WNC8" s="235"/>
      <c r="WND8" s="236"/>
      <c r="WNE8" s="63"/>
      <c r="WNF8" s="63"/>
      <c r="WNH8" s="237"/>
      <c r="WNI8" s="238"/>
      <c r="WNJ8" s="239"/>
      <c r="WNK8" s="239"/>
      <c r="WNL8" s="59"/>
      <c r="WNN8" s="235"/>
      <c r="WNO8" s="236"/>
      <c r="WNP8" s="63"/>
      <c r="WNQ8" s="63"/>
      <c r="WNS8" s="237"/>
      <c r="WNT8" s="238"/>
      <c r="WNU8" s="239"/>
      <c r="WNV8" s="239"/>
      <c r="WNW8" s="59"/>
      <c r="WNY8" s="235"/>
      <c r="WNZ8" s="236"/>
      <c r="WOA8" s="63"/>
      <c r="WOB8" s="63"/>
      <c r="WOD8" s="237"/>
      <c r="WOE8" s="238"/>
      <c r="WOF8" s="239"/>
      <c r="WOG8" s="239"/>
      <c r="WOH8" s="59"/>
      <c r="WOJ8" s="235"/>
      <c r="WOK8" s="236"/>
      <c r="WOL8" s="63"/>
      <c r="WOM8" s="63"/>
      <c r="WOO8" s="237"/>
      <c r="WOP8" s="238"/>
      <c r="WOQ8" s="239"/>
      <c r="WOR8" s="239"/>
      <c r="WOS8" s="59"/>
      <c r="WOU8" s="235"/>
      <c r="WOV8" s="236"/>
      <c r="WOW8" s="63"/>
      <c r="WOX8" s="63"/>
      <c r="WOZ8" s="237"/>
      <c r="WPA8" s="238"/>
      <c r="WPB8" s="239"/>
      <c r="WPC8" s="239"/>
      <c r="WPD8" s="59"/>
      <c r="WPF8" s="235"/>
      <c r="WPG8" s="236"/>
      <c r="WPH8" s="63"/>
      <c r="WPI8" s="63"/>
      <c r="WPK8" s="237"/>
      <c r="WPL8" s="238"/>
      <c r="WPM8" s="239"/>
      <c r="WPN8" s="239"/>
      <c r="WPO8" s="59"/>
      <c r="WPQ8" s="235"/>
      <c r="WPR8" s="236"/>
      <c r="WPS8" s="63"/>
      <c r="WPT8" s="63"/>
      <c r="WPV8" s="237"/>
      <c r="WPW8" s="238"/>
      <c r="WPX8" s="239"/>
      <c r="WPY8" s="239"/>
      <c r="WPZ8" s="59"/>
      <c r="WQB8" s="235"/>
      <c r="WQC8" s="236"/>
      <c r="WQD8" s="63"/>
      <c r="WQE8" s="63"/>
      <c r="WQG8" s="237"/>
      <c r="WQH8" s="238"/>
      <c r="WQI8" s="239"/>
      <c r="WQJ8" s="239"/>
      <c r="WQK8" s="59"/>
      <c r="WQM8" s="235"/>
      <c r="WQN8" s="236"/>
      <c r="WQO8" s="63"/>
      <c r="WQP8" s="63"/>
      <c r="WQR8" s="237"/>
      <c r="WQS8" s="238"/>
      <c r="WQT8" s="239"/>
      <c r="WQU8" s="239"/>
      <c r="WQV8" s="59"/>
      <c r="WQX8" s="235"/>
      <c r="WQY8" s="236"/>
      <c r="WQZ8" s="63"/>
      <c r="WRA8" s="63"/>
      <c r="WRC8" s="237"/>
      <c r="WRD8" s="238"/>
      <c r="WRE8" s="239"/>
      <c r="WRF8" s="239"/>
      <c r="WRG8" s="59"/>
      <c r="WRI8" s="235"/>
      <c r="WRJ8" s="236"/>
      <c r="WRK8" s="63"/>
      <c r="WRL8" s="63"/>
      <c r="WRN8" s="237"/>
      <c r="WRO8" s="238"/>
      <c r="WRP8" s="239"/>
      <c r="WRQ8" s="239"/>
      <c r="WRR8" s="59"/>
      <c r="WRT8" s="235"/>
      <c r="WRU8" s="236"/>
      <c r="WRV8" s="63"/>
      <c r="WRW8" s="63"/>
      <c r="WRY8" s="237"/>
      <c r="WRZ8" s="238"/>
      <c r="WSA8" s="239"/>
      <c r="WSB8" s="239"/>
      <c r="WSC8" s="59"/>
      <c r="WSE8" s="235"/>
      <c r="WSF8" s="236"/>
      <c r="WSG8" s="63"/>
      <c r="WSH8" s="63"/>
      <c r="WSJ8" s="237"/>
      <c r="WSK8" s="238"/>
      <c r="WSL8" s="239"/>
      <c r="WSM8" s="239"/>
      <c r="WSN8" s="59"/>
      <c r="WSP8" s="235"/>
      <c r="WSQ8" s="236"/>
      <c r="WSR8" s="63"/>
      <c r="WSS8" s="63"/>
      <c r="WSU8" s="237"/>
      <c r="WSV8" s="238"/>
      <c r="WSW8" s="239"/>
      <c r="WSX8" s="239"/>
      <c r="WSY8" s="59"/>
      <c r="WTA8" s="235"/>
      <c r="WTB8" s="236"/>
      <c r="WTC8" s="63"/>
      <c r="WTD8" s="63"/>
      <c r="WTF8" s="237"/>
      <c r="WTG8" s="238"/>
      <c r="WTH8" s="239"/>
      <c r="WTI8" s="239"/>
      <c r="WTJ8" s="59"/>
      <c r="WTL8" s="235"/>
      <c r="WTM8" s="236"/>
      <c r="WTN8" s="63"/>
      <c r="WTO8" s="63"/>
      <c r="WTQ8" s="237"/>
      <c r="WTR8" s="238"/>
      <c r="WTS8" s="239"/>
      <c r="WTT8" s="239"/>
      <c r="WTU8" s="59"/>
      <c r="WTW8" s="235"/>
      <c r="WTX8" s="236"/>
      <c r="WTY8" s="63"/>
      <c r="WTZ8" s="63"/>
      <c r="WUB8" s="237"/>
      <c r="WUC8" s="238"/>
      <c r="WUD8" s="239"/>
      <c r="WUE8" s="239"/>
      <c r="WUF8" s="59"/>
      <c r="WUH8" s="235"/>
      <c r="WUI8" s="236"/>
      <c r="WUJ8" s="63"/>
      <c r="WUK8" s="63"/>
      <c r="WUM8" s="237"/>
      <c r="WUN8" s="238"/>
      <c r="WUO8" s="239"/>
      <c r="WUP8" s="239"/>
      <c r="WUQ8" s="59"/>
      <c r="WUS8" s="235"/>
      <c r="WUT8" s="236"/>
      <c r="WUU8" s="63"/>
      <c r="WUV8" s="63"/>
      <c r="WUX8" s="237"/>
      <c r="WUY8" s="238"/>
      <c r="WUZ8" s="239"/>
      <c r="WVA8" s="239"/>
      <c r="WVB8" s="59"/>
      <c r="WVD8" s="235"/>
      <c r="WVE8" s="236"/>
      <c r="WVF8" s="63"/>
      <c r="WVG8" s="63"/>
      <c r="WVI8" s="237"/>
      <c r="WVJ8" s="238"/>
      <c r="WVK8" s="239"/>
      <c r="WVL8" s="239"/>
      <c r="WVM8" s="59"/>
      <c r="WVO8" s="235"/>
      <c r="WVP8" s="236"/>
      <c r="WVQ8" s="63"/>
      <c r="WVR8" s="63"/>
      <c r="WVT8" s="237"/>
      <c r="WVU8" s="238"/>
      <c r="WVV8" s="239"/>
      <c r="WVW8" s="239"/>
      <c r="WVX8" s="59"/>
      <c r="WVZ8" s="235"/>
      <c r="WWA8" s="236"/>
      <c r="WWB8" s="63"/>
      <c r="WWC8" s="63"/>
      <c r="WWE8" s="237"/>
      <c r="WWF8" s="238"/>
      <c r="WWG8" s="239"/>
      <c r="WWH8" s="239"/>
      <c r="WWI8" s="59"/>
      <c r="WWK8" s="235"/>
      <c r="WWL8" s="236"/>
      <c r="WWM8" s="63"/>
      <c r="WWN8" s="63"/>
      <c r="WWP8" s="237"/>
      <c r="WWQ8" s="238"/>
      <c r="WWR8" s="239"/>
      <c r="WWS8" s="239"/>
      <c r="WWT8" s="59"/>
      <c r="WWV8" s="235"/>
      <c r="WWW8" s="236"/>
      <c r="WWX8" s="63"/>
      <c r="WWY8" s="63"/>
      <c r="WXA8" s="237"/>
      <c r="WXB8" s="238"/>
      <c r="WXC8" s="239"/>
      <c r="WXD8" s="239"/>
      <c r="WXE8" s="59"/>
      <c r="WXG8" s="235"/>
      <c r="WXH8" s="236"/>
      <c r="WXI8" s="63"/>
      <c r="WXJ8" s="63"/>
      <c r="WXL8" s="237"/>
      <c r="WXM8" s="238"/>
      <c r="WXN8" s="239"/>
      <c r="WXO8" s="239"/>
      <c r="WXP8" s="59"/>
      <c r="WXR8" s="235"/>
      <c r="WXS8" s="236"/>
      <c r="WXT8" s="63"/>
      <c r="WXU8" s="63"/>
      <c r="WXW8" s="237"/>
      <c r="WXX8" s="238"/>
      <c r="WXY8" s="239"/>
      <c r="WXZ8" s="239"/>
      <c r="WYA8" s="59"/>
      <c r="WYC8" s="235"/>
      <c r="WYD8" s="236"/>
      <c r="WYE8" s="63"/>
      <c r="WYF8" s="63"/>
      <c r="WYH8" s="237"/>
      <c r="WYI8" s="238"/>
      <c r="WYJ8" s="239"/>
      <c r="WYK8" s="239"/>
      <c r="WYL8" s="59"/>
      <c r="WYN8" s="235"/>
      <c r="WYO8" s="236"/>
      <c r="WYP8" s="63"/>
      <c r="WYQ8" s="63"/>
      <c r="WYS8" s="237"/>
      <c r="WYT8" s="238"/>
      <c r="WYU8" s="239"/>
      <c r="WYV8" s="239"/>
      <c r="WYW8" s="59"/>
      <c r="WYY8" s="235"/>
      <c r="WYZ8" s="236"/>
      <c r="WZA8" s="63"/>
      <c r="WZB8" s="63"/>
      <c r="WZD8" s="237"/>
      <c r="WZE8" s="238"/>
      <c r="WZF8" s="239"/>
      <c r="WZG8" s="239"/>
      <c r="WZH8" s="59"/>
      <c r="WZJ8" s="235"/>
      <c r="WZK8" s="236"/>
      <c r="WZL8" s="63"/>
      <c r="WZM8" s="63"/>
      <c r="WZO8" s="237"/>
      <c r="WZP8" s="238"/>
      <c r="WZQ8" s="239"/>
      <c r="WZR8" s="239"/>
      <c r="WZS8" s="59"/>
      <c r="WZU8" s="235"/>
      <c r="WZV8" s="236"/>
      <c r="WZW8" s="63"/>
      <c r="WZX8" s="63"/>
      <c r="WZZ8" s="237"/>
      <c r="XAA8" s="238"/>
      <c r="XAB8" s="239"/>
      <c r="XAC8" s="239"/>
      <c r="XAD8" s="59"/>
      <c r="XAF8" s="235"/>
      <c r="XAG8" s="236"/>
      <c r="XAH8" s="63"/>
      <c r="XAI8" s="63"/>
      <c r="XAK8" s="237"/>
      <c r="XAL8" s="238"/>
      <c r="XAM8" s="239"/>
      <c r="XAN8" s="239"/>
      <c r="XAO8" s="59"/>
      <c r="XAQ8" s="235"/>
      <c r="XAR8" s="236"/>
      <c r="XAS8" s="63"/>
      <c r="XAT8" s="63"/>
      <c r="XAV8" s="237"/>
      <c r="XAW8" s="238"/>
      <c r="XAX8" s="239"/>
      <c r="XAY8" s="239"/>
      <c r="XAZ8" s="59"/>
      <c r="XBB8" s="235"/>
      <c r="XBC8" s="236"/>
      <c r="XBD8" s="63"/>
      <c r="XBE8" s="63"/>
      <c r="XBG8" s="237"/>
      <c r="XBH8" s="238"/>
      <c r="XBI8" s="239"/>
      <c r="XBJ8" s="239"/>
      <c r="XBK8" s="59"/>
      <c r="XBM8" s="235"/>
      <c r="XBN8" s="236"/>
      <c r="XBO8" s="63"/>
      <c r="XBP8" s="63"/>
      <c r="XBR8" s="237"/>
      <c r="XBS8" s="238"/>
      <c r="XBT8" s="239"/>
      <c r="XBU8" s="239"/>
      <c r="XBV8" s="59"/>
      <c r="XBX8" s="235"/>
      <c r="XBY8" s="236"/>
      <c r="XBZ8" s="63"/>
      <c r="XCA8" s="63"/>
      <c r="XCC8" s="237"/>
      <c r="XCD8" s="238"/>
      <c r="XCE8" s="239"/>
      <c r="XCF8" s="239"/>
      <c r="XCG8" s="59"/>
      <c r="XCI8" s="235"/>
      <c r="XCJ8" s="236"/>
      <c r="XCK8" s="63"/>
      <c r="XCL8" s="63"/>
      <c r="XCN8" s="237"/>
      <c r="XCO8" s="238"/>
      <c r="XCP8" s="239"/>
      <c r="XCQ8" s="239"/>
      <c r="XCR8" s="59"/>
      <c r="XCT8" s="235"/>
      <c r="XCU8" s="236"/>
      <c r="XCV8" s="63"/>
      <c r="XCW8" s="63"/>
      <c r="XCY8" s="237"/>
      <c r="XCZ8" s="238"/>
      <c r="XDA8" s="239"/>
      <c r="XDB8" s="239"/>
      <c r="XDC8" s="59"/>
      <c r="XDE8" s="235"/>
      <c r="XDF8" s="236"/>
      <c r="XDG8" s="63"/>
      <c r="XDH8" s="63"/>
      <c r="XDJ8" s="237"/>
      <c r="XDK8" s="238"/>
      <c r="XDL8" s="239"/>
      <c r="XDM8" s="239"/>
      <c r="XDN8" s="59"/>
      <c r="XDP8" s="235"/>
      <c r="XDQ8" s="236"/>
      <c r="XDR8" s="63"/>
      <c r="XDS8" s="63"/>
      <c r="XDU8" s="237"/>
      <c r="XDV8" s="238"/>
      <c r="XDW8" s="239"/>
      <c r="XDX8" s="239"/>
      <c r="XDY8" s="59"/>
      <c r="XEA8" s="235"/>
      <c r="XEB8" s="236"/>
      <c r="XEC8" s="63"/>
      <c r="XED8" s="63"/>
      <c r="XEF8" s="237"/>
      <c r="XEG8" s="238"/>
      <c r="XEH8" s="239"/>
      <c r="XEI8" s="239"/>
      <c r="XEJ8" s="59"/>
      <c r="XEL8" s="235"/>
      <c r="XEM8" s="236"/>
      <c r="XEN8" s="63"/>
    </row>
    <row r="9" spans="1:1024 1026:2047 2049:7168 7170:8191 8193:12288 12290:13311 13313:16368">
      <c r="A9" s="61" t="str">
        <f t="shared" si="0"/>
        <v>LONDRINA [ETAPA 01 - AREAS EXTERNAS G1 - G5]XI13</v>
      </c>
      <c r="B9" s="41" t="s">
        <v>37</v>
      </c>
      <c r="C9" s="42" t="s">
        <v>503</v>
      </c>
      <c r="D9" s="45">
        <v>13</v>
      </c>
      <c r="E9" s="64">
        <v>252.75</v>
      </c>
      <c r="F9" s="202">
        <v>3801</v>
      </c>
      <c r="G9" s="41" t="s">
        <v>1146</v>
      </c>
      <c r="H9" s="204">
        <v>43892</v>
      </c>
      <c r="I9" s="259" t="str">
        <f t="shared" si="5"/>
        <v>LONDRINA [ETAPA 01 - AREAS EXTERNAS G1 - G5]3/2020</v>
      </c>
      <c r="J9" s="53" t="str">
        <f t="shared" si="4"/>
        <v>Distrato3/2020</v>
      </c>
      <c r="K9" s="43">
        <v>144759</v>
      </c>
      <c r="L9" s="43" t="s">
        <v>570</v>
      </c>
      <c r="M9" s="43">
        <v>0</v>
      </c>
      <c r="N9" s="494" t="str">
        <f t="shared" si="1"/>
        <v>VENDA</v>
      </c>
      <c r="O9" s="491" t="str">
        <f t="shared" si="2"/>
        <v>LONDRINA [ETAPA 01 - AREAS EXTERNAS G1 - G5]VENDA</v>
      </c>
      <c r="P9" s="492" t="str">
        <f t="shared" si="3"/>
        <v>VENDADistratoLONDRINA [ETAPA 01 - AREAS EXTERNAS G1 - G5]</v>
      </c>
      <c r="Q9" s="485"/>
      <c r="R9" s="495" t="s">
        <v>900</v>
      </c>
      <c r="S9" s="2" t="s">
        <v>1113</v>
      </c>
      <c r="T9" s="2" t="s">
        <v>1017</v>
      </c>
      <c r="U9" s="2" t="s">
        <v>1327</v>
      </c>
      <c r="V9" s="2" t="s">
        <v>1328</v>
      </c>
      <c r="Y9" s="409"/>
    </row>
    <row r="10" spans="1:1024 1026:2047 2049:7168 7170:8191 8193:12288 12290:13311 13313:16368">
      <c r="A10" s="61" t="str">
        <f t="shared" si="0"/>
        <v>LONDRINA [ETAPA 01 - AREAS EXTERNAS G1 - G5]XI17</v>
      </c>
      <c r="B10" s="41" t="s">
        <v>37</v>
      </c>
      <c r="C10" s="42" t="s">
        <v>503</v>
      </c>
      <c r="D10" s="45">
        <v>17</v>
      </c>
      <c r="E10" s="64">
        <v>252.75</v>
      </c>
      <c r="F10" s="243">
        <v>7018</v>
      </c>
      <c r="G10" s="41" t="s">
        <v>936</v>
      </c>
      <c r="H10" s="204">
        <v>43525</v>
      </c>
      <c r="I10" s="259" t="str">
        <f t="shared" si="5"/>
        <v>LONDRINA [ETAPA 01 - AREAS EXTERNAS G1 - G5]3/2019</v>
      </c>
      <c r="J10" s="53" t="str">
        <f t="shared" si="4"/>
        <v>Distrato3/2019</v>
      </c>
      <c r="K10" s="43">
        <v>154912</v>
      </c>
      <c r="L10" s="43" t="s">
        <v>570</v>
      </c>
      <c r="M10" s="117">
        <v>0</v>
      </c>
      <c r="N10" s="494" t="str">
        <f t="shared" si="1"/>
        <v>VENDA</v>
      </c>
      <c r="O10" s="491" t="str">
        <f t="shared" si="2"/>
        <v>LONDRINA [ETAPA 01 - AREAS EXTERNAS G1 - G5]VENDA</v>
      </c>
      <c r="P10" s="492" t="str">
        <f t="shared" si="3"/>
        <v>VENDADistratoLONDRINA [ETAPA 01 - AREAS EXTERNAS G1 - G5]</v>
      </c>
      <c r="Q10" s="485"/>
      <c r="R10" s="42" t="s">
        <v>34</v>
      </c>
      <c r="S10" s="314">
        <f t="shared" ref="S10:S17" si="6">COUNTIF($O$5:$O$521,CONCATENATE(R10,"VGV"))</f>
        <v>15</v>
      </c>
      <c r="T10" s="43">
        <f t="shared" ref="T10:T17" si="7">SUMIF($O$5:$O$521,CONCATENATE(R10,"VGV"),$E$5:$E$521)</f>
        <v>3998.8399999999992</v>
      </c>
      <c r="U10" s="43">
        <f t="shared" ref="U10:U17" si="8">SUMIF($O$5:$O$521,CONCATENATE(R10,"VGV"),$M$5:$M$521)</f>
        <v>2541693.2081500003</v>
      </c>
      <c r="V10" s="64">
        <f>U10/T10</f>
        <v>635.60762824969265</v>
      </c>
      <c r="W10" s="49">
        <f>SUM(U10:U11)</f>
        <v>3092417.5729000005</v>
      </c>
      <c r="X10" s="49">
        <f>W10/1000000</f>
        <v>3.0924175729000005</v>
      </c>
      <c r="Y10" s="410"/>
    </row>
    <row r="11" spans="1:1024 1026:2047 2049:7168 7170:8191 8193:12288 12290:13311 13313:16368">
      <c r="A11" s="61" t="str">
        <f t="shared" si="0"/>
        <v>LONDRINA [ETAPA 01 - AREAS EXTERNAS G1 - G5]XI21</v>
      </c>
      <c r="B11" s="41" t="s">
        <v>37</v>
      </c>
      <c r="C11" s="42" t="s">
        <v>503</v>
      </c>
      <c r="D11" s="45">
        <v>21</v>
      </c>
      <c r="E11" s="64">
        <v>252.75</v>
      </c>
      <c r="F11" s="64"/>
      <c r="G11" s="41" t="s">
        <v>762</v>
      </c>
      <c r="H11" s="204">
        <v>43282</v>
      </c>
      <c r="I11" s="259" t="str">
        <f t="shared" si="5"/>
        <v>LONDRINA [ETAPA 01 - AREAS EXTERNAS G1 - G5]7/2018</v>
      </c>
      <c r="J11" s="53" t="str">
        <f t="shared" si="4"/>
        <v>Distrato7/2018</v>
      </c>
      <c r="K11" s="43">
        <v>135360</v>
      </c>
      <c r="L11" s="43" t="s">
        <v>570</v>
      </c>
      <c r="M11" s="43">
        <v>0</v>
      </c>
      <c r="N11" s="494" t="str">
        <f t="shared" si="1"/>
        <v>VENDA</v>
      </c>
      <c r="O11" s="491" t="str">
        <f t="shared" si="2"/>
        <v>LONDRINA [ETAPA 01 - AREAS EXTERNAS G1 - G5]VENDA</v>
      </c>
      <c r="P11" s="492" t="str">
        <f t="shared" si="3"/>
        <v>VENDADistratoLONDRINA [ETAPA 01 - AREAS EXTERNAS G1 - G5]</v>
      </c>
      <c r="Q11" s="485"/>
      <c r="R11" s="42" t="s">
        <v>37</v>
      </c>
      <c r="S11" s="314">
        <f t="shared" si="6"/>
        <v>3</v>
      </c>
      <c r="T11" s="43">
        <f t="shared" si="7"/>
        <v>757.75</v>
      </c>
      <c r="U11" s="43">
        <f t="shared" si="8"/>
        <v>550724.36475000007</v>
      </c>
      <c r="V11" s="64">
        <f t="shared" ref="V11:V17" si="9">U11/T11</f>
        <v>726.7890000000001</v>
      </c>
      <c r="Y11" s="410"/>
    </row>
    <row r="12" spans="1:1024 1026:2047 2049:7168 7170:8191 8193:12288 12290:13311 13313:16368">
      <c r="A12" s="61" t="str">
        <f t="shared" si="0"/>
        <v>LONDRINA [ETAPA 01 - AREAS EXTERNAS G1 - G5]XI25</v>
      </c>
      <c r="B12" s="93" t="s">
        <v>37</v>
      </c>
      <c r="C12" s="94" t="s">
        <v>503</v>
      </c>
      <c r="D12" s="95">
        <v>25</v>
      </c>
      <c r="E12" s="182">
        <v>252.75</v>
      </c>
      <c r="F12" s="437">
        <v>3124</v>
      </c>
      <c r="G12" s="93" t="s">
        <v>1082</v>
      </c>
      <c r="H12" s="205">
        <v>43752</v>
      </c>
      <c r="I12" s="259" t="str">
        <f t="shared" si="5"/>
        <v>LONDRINA [ETAPA 01 - AREAS EXTERNAS G1 - G5]10/2019</v>
      </c>
      <c r="J12" s="53" t="str">
        <f t="shared" si="4"/>
        <v>Remanescente10/2019</v>
      </c>
      <c r="K12" s="96">
        <v>150400</v>
      </c>
      <c r="L12" s="96" t="s">
        <v>539</v>
      </c>
      <c r="M12" s="189">
        <v>0</v>
      </c>
      <c r="N12" s="494" t="str">
        <f t="shared" si="1"/>
        <v>VENDA</v>
      </c>
      <c r="O12" s="491" t="str">
        <f t="shared" si="2"/>
        <v>LONDRINA [ETAPA 01 - AREAS EXTERNAS G1 - G5]VENDA</v>
      </c>
      <c r="P12" s="492" t="str">
        <f t="shared" si="3"/>
        <v>VENDARemanescenteLONDRINA [ETAPA 01 - AREAS EXTERNAS G1 - G5]</v>
      </c>
      <c r="Q12" s="485"/>
      <c r="R12" s="42" t="s">
        <v>35</v>
      </c>
      <c r="S12" s="314">
        <f t="shared" si="6"/>
        <v>14</v>
      </c>
      <c r="T12" s="43">
        <f t="shared" si="7"/>
        <v>3970.62</v>
      </c>
      <c r="U12" s="43">
        <f t="shared" si="8"/>
        <v>2221812.6260000002</v>
      </c>
      <c r="V12" s="64">
        <f t="shared" si="9"/>
        <v>559.56314782074344</v>
      </c>
      <c r="W12" s="49">
        <f>SUM(U12:U13)</f>
        <v>3021812.6260000002</v>
      </c>
      <c r="X12" s="49">
        <f>W12/1000000</f>
        <v>3.021812626</v>
      </c>
      <c r="Y12" s="410"/>
    </row>
    <row r="13" spans="1:1024 1026:2047 2049:7168 7170:8191 8193:12288 12290:13311 13313:16368">
      <c r="A13" s="61" t="str">
        <f t="shared" si="0"/>
        <v>LONDRINA [ETAPA 01 - CONDOMINIO ARAÇARI]XXI4</v>
      </c>
      <c r="B13" s="41" t="s">
        <v>34</v>
      </c>
      <c r="C13" s="42" t="s">
        <v>505</v>
      </c>
      <c r="D13" s="45">
        <v>4</v>
      </c>
      <c r="E13" s="64">
        <v>256.74</v>
      </c>
      <c r="F13" s="243">
        <v>4732</v>
      </c>
      <c r="G13" s="41" t="s">
        <v>1255</v>
      </c>
      <c r="H13" s="204">
        <v>44046</v>
      </c>
      <c r="I13" s="259" t="str">
        <f t="shared" si="5"/>
        <v>LONDRINA [ETAPA 01 - CONDOMINIO ARAÇARI]8/2020</v>
      </c>
      <c r="J13" s="53" t="str">
        <f t="shared" si="4"/>
        <v>Distrato8/2020</v>
      </c>
      <c r="K13" s="43">
        <v>149460</v>
      </c>
      <c r="L13" s="43" t="s">
        <v>570</v>
      </c>
      <c r="M13" s="188">
        <v>0</v>
      </c>
      <c r="N13" s="494" t="str">
        <f t="shared" si="1"/>
        <v>VENDA</v>
      </c>
      <c r="O13" s="491" t="str">
        <f t="shared" si="2"/>
        <v>LONDRINA [ETAPA 01 - CONDOMINIO ARAÇARI]VENDA</v>
      </c>
      <c r="P13" s="492" t="str">
        <f t="shared" si="3"/>
        <v>VENDADistratoLONDRINA [ETAPA 01 - CONDOMINIO ARAÇARI]</v>
      </c>
      <c r="Q13" s="485"/>
      <c r="R13" s="42" t="s">
        <v>38</v>
      </c>
      <c r="S13" s="314">
        <f t="shared" si="6"/>
        <v>5</v>
      </c>
      <c r="T13" s="43">
        <f t="shared" si="7"/>
        <v>1264.25</v>
      </c>
      <c r="U13" s="43">
        <f t="shared" si="8"/>
        <v>800000</v>
      </c>
      <c r="V13" s="64">
        <f t="shared" si="9"/>
        <v>632.78623689934739</v>
      </c>
      <c r="Y13" s="410"/>
    </row>
    <row r="14" spans="1:1024 1026:2047 2049:7168 7170:8191 8193:12288 12290:13311 13313:16368">
      <c r="A14" s="61" t="str">
        <f t="shared" si="0"/>
        <v>LONDRINA [ETAPA 01 - CONDOMINIO ARAÇARI]XXI6</v>
      </c>
      <c r="B14" s="41" t="s">
        <v>34</v>
      </c>
      <c r="C14" s="42" t="s">
        <v>505</v>
      </c>
      <c r="D14" s="45">
        <v>6</v>
      </c>
      <c r="E14" s="64">
        <v>256.74</v>
      </c>
      <c r="F14" s="201"/>
      <c r="G14" s="41"/>
      <c r="H14" s="204"/>
      <c r="I14" s="259" t="str">
        <f t="shared" si="5"/>
        <v>LONDRINA [ETAPA 01 - CONDOMINIO ARAÇARI]1/1900</v>
      </c>
      <c r="J14" s="53" t="str">
        <f t="shared" si="4"/>
        <v>Distrato1/1900</v>
      </c>
      <c r="K14" s="43"/>
      <c r="L14" s="43" t="s">
        <v>570</v>
      </c>
      <c r="M14" s="334">
        <v>186595.80786000003</v>
      </c>
      <c r="N14" s="494" t="str">
        <f t="shared" si="1"/>
        <v>VGV</v>
      </c>
      <c r="O14" s="491" t="str">
        <f t="shared" si="2"/>
        <v>LONDRINA [ETAPA 01 - CONDOMINIO ARAÇARI]VGV</v>
      </c>
      <c r="P14" s="492" t="str">
        <f t="shared" si="3"/>
        <v>VGVDistratoLONDRINA [ETAPA 01 - CONDOMINIO ARAÇARI]</v>
      </c>
      <c r="Q14" s="485"/>
      <c r="R14" s="42" t="s">
        <v>33</v>
      </c>
      <c r="S14" s="314">
        <f t="shared" si="6"/>
        <v>8</v>
      </c>
      <c r="T14" s="43">
        <f t="shared" si="7"/>
        <v>1902.42</v>
      </c>
      <c r="U14" s="43">
        <f t="shared" si="8"/>
        <v>1386822.2201228475</v>
      </c>
      <c r="V14" s="64">
        <f t="shared" si="9"/>
        <v>728.97794394657717</v>
      </c>
      <c r="W14" s="49">
        <f>SUM(U14:U15)</f>
        <v>2274588.7043748163</v>
      </c>
      <c r="X14" s="49">
        <f>W14/1000000</f>
        <v>2.2745887043748163</v>
      </c>
      <c r="Y14" s="410"/>
    </row>
    <row r="15" spans="1:1024 1026:2047 2049:7168 7170:8191 8193:12288 12290:13311 13313:16368">
      <c r="A15" s="61" t="str">
        <f t="shared" si="0"/>
        <v>LONDRINA [ETAPA 01 - CONDOMINIO ARAÇARI]XXI26</v>
      </c>
      <c r="B15" s="114" t="s">
        <v>34</v>
      </c>
      <c r="C15" s="327" t="s">
        <v>505</v>
      </c>
      <c r="D15" s="116">
        <v>26</v>
      </c>
      <c r="E15" s="183">
        <v>261.70999999999998</v>
      </c>
      <c r="F15" s="201"/>
      <c r="G15" s="267"/>
      <c r="H15" s="208"/>
      <c r="I15" s="259" t="str">
        <f t="shared" si="5"/>
        <v>LONDRINA [ETAPA 01 - CONDOMINIO ARAÇARI]1/1900</v>
      </c>
      <c r="J15" s="53" t="str">
        <f t="shared" si="4"/>
        <v>Distrato1/1900</v>
      </c>
      <c r="K15" s="43"/>
      <c r="L15" s="43" t="s">
        <v>570</v>
      </c>
      <c r="M15" s="334">
        <v>190207.94919000001</v>
      </c>
      <c r="N15" s="494" t="str">
        <f t="shared" si="1"/>
        <v>VGV</v>
      </c>
      <c r="O15" s="491" t="str">
        <f t="shared" si="2"/>
        <v>LONDRINA [ETAPA 01 - CONDOMINIO ARAÇARI]VGV</v>
      </c>
      <c r="P15" s="492" t="str">
        <f t="shared" si="3"/>
        <v>VGVDistratoLONDRINA [ETAPA 01 - CONDOMINIO ARAÇARI]</v>
      </c>
      <c r="Q15" s="485"/>
      <c r="R15" s="42" t="s">
        <v>36</v>
      </c>
      <c r="S15" s="314">
        <f t="shared" si="6"/>
        <v>5</v>
      </c>
      <c r="T15" s="43">
        <f t="shared" si="7"/>
        <v>1350.6599999999999</v>
      </c>
      <c r="U15" s="43">
        <f t="shared" si="8"/>
        <v>887766.48425196856</v>
      </c>
      <c r="V15" s="64">
        <f t="shared" si="9"/>
        <v>657.2834645669293</v>
      </c>
      <c r="Y15" s="410"/>
    </row>
    <row r="16" spans="1:1024 1026:2047 2049:7168 7170:8191 8193:12288 12290:13311 13313:16368">
      <c r="A16" s="61" t="str">
        <f t="shared" si="0"/>
        <v>LONDRINA [ETAPA 01 - CONDOMINIO ARAÇARI]XXII22</v>
      </c>
      <c r="B16" s="41" t="s">
        <v>34</v>
      </c>
      <c r="C16" s="42" t="s">
        <v>506</v>
      </c>
      <c r="D16" s="45">
        <v>22</v>
      </c>
      <c r="E16" s="64">
        <v>266.81</v>
      </c>
      <c r="F16" s="64"/>
      <c r="G16" s="41" t="s">
        <v>806</v>
      </c>
      <c r="H16" s="204">
        <v>43348</v>
      </c>
      <c r="I16" s="259" t="str">
        <f t="shared" si="5"/>
        <v>LONDRINA [ETAPA 01 - CONDOMINIO ARAÇARI]9/2018</v>
      </c>
      <c r="J16" s="53" t="str">
        <f t="shared" si="4"/>
        <v>Distrato9/2018</v>
      </c>
      <c r="K16" s="43">
        <v>161824.03</v>
      </c>
      <c r="L16" s="43" t="s">
        <v>570</v>
      </c>
      <c r="M16" s="117">
        <v>0</v>
      </c>
      <c r="N16" s="494" t="str">
        <f t="shared" si="1"/>
        <v>VENDA</v>
      </c>
      <c r="O16" s="491" t="str">
        <f t="shared" si="2"/>
        <v>LONDRINA [ETAPA 01 - CONDOMINIO ARAÇARI]VENDA</v>
      </c>
      <c r="P16" s="492" t="str">
        <f t="shared" si="3"/>
        <v>VENDADistratoLONDRINA [ETAPA 01 - CONDOMINIO ARAÇARI]</v>
      </c>
      <c r="Q16" s="485"/>
      <c r="R16" s="42" t="s">
        <v>878</v>
      </c>
      <c r="S16" s="314">
        <f t="shared" si="6"/>
        <v>50</v>
      </c>
      <c r="T16" s="43">
        <f t="shared" si="7"/>
        <v>13664.080000000002</v>
      </c>
      <c r="U16" s="43">
        <f t="shared" si="8"/>
        <v>8526354.5915724989</v>
      </c>
      <c r="V16" s="64">
        <f t="shared" si="9"/>
        <v>623.99770724209009</v>
      </c>
      <c r="W16" s="49">
        <f>SUM(U16:U17)</f>
        <v>12726688.813893899</v>
      </c>
      <c r="X16" s="49">
        <f>W16/1000000</f>
        <v>12.726688813893899</v>
      </c>
      <c r="Y16" s="410"/>
    </row>
    <row r="17" spans="1:41">
      <c r="A17" s="61" t="str">
        <f t="shared" si="0"/>
        <v>LONDRINA [ETAPA 01 - CONDOMINIO ARAÇARI]XXII31</v>
      </c>
      <c r="B17" s="41" t="s">
        <v>34</v>
      </c>
      <c r="C17" s="42" t="s">
        <v>506</v>
      </c>
      <c r="D17" s="45">
        <v>31</v>
      </c>
      <c r="E17" s="64">
        <v>266.81</v>
      </c>
      <c r="F17" s="243">
        <v>4731</v>
      </c>
      <c r="G17" s="41" t="s">
        <v>1255</v>
      </c>
      <c r="H17" s="204">
        <v>44046</v>
      </c>
      <c r="I17" s="259" t="str">
        <f t="shared" si="5"/>
        <v>LONDRINA [ETAPA 01 - CONDOMINIO ARAÇARI]8/2020</v>
      </c>
      <c r="J17" s="53" t="str">
        <f t="shared" si="4"/>
        <v>Distrato8/2020</v>
      </c>
      <c r="K17" s="43">
        <v>155100</v>
      </c>
      <c r="L17" s="43" t="s">
        <v>570</v>
      </c>
      <c r="M17" s="188">
        <v>0</v>
      </c>
      <c r="N17" s="494" t="str">
        <f t="shared" si="1"/>
        <v>VENDA</v>
      </c>
      <c r="O17" s="491" t="str">
        <f t="shared" si="2"/>
        <v>LONDRINA [ETAPA 01 - CONDOMINIO ARAÇARI]VENDA</v>
      </c>
      <c r="P17" s="492" t="str">
        <f t="shared" si="3"/>
        <v>VENDADistratoLONDRINA [ETAPA 01 - CONDOMINIO ARAÇARI]</v>
      </c>
      <c r="Q17" s="485"/>
      <c r="R17" s="456" t="s">
        <v>612</v>
      </c>
      <c r="S17" s="314">
        <f t="shared" si="6"/>
        <v>29</v>
      </c>
      <c r="T17" s="43">
        <f t="shared" si="7"/>
        <v>7534.9000000000015</v>
      </c>
      <c r="U17" s="43">
        <f t="shared" si="8"/>
        <v>4200334.2223213995</v>
      </c>
      <c r="V17" s="64">
        <f t="shared" si="9"/>
        <v>557.45055970502574</v>
      </c>
      <c r="Y17" s="410"/>
    </row>
    <row r="18" spans="1:41">
      <c r="A18" s="61" t="str">
        <f t="shared" si="0"/>
        <v>LONDRINA [ETAPA 01 - CONDOMINIO ARAÇARI]XXII33</v>
      </c>
      <c r="B18" s="41" t="s">
        <v>34</v>
      </c>
      <c r="C18" s="42" t="s">
        <v>506</v>
      </c>
      <c r="D18" s="45">
        <v>33</v>
      </c>
      <c r="E18" s="64">
        <v>266.81</v>
      </c>
      <c r="F18" s="243"/>
      <c r="G18" s="41"/>
      <c r="H18" s="204"/>
      <c r="I18" s="259" t="str">
        <f t="shared" si="5"/>
        <v>LONDRINA [ETAPA 01 - CONDOMINIO ARAÇARI]1/1900</v>
      </c>
      <c r="J18" s="53" t="str">
        <f t="shared" si="4"/>
        <v>Distrato1/1900</v>
      </c>
      <c r="K18" s="43"/>
      <c r="L18" s="43" t="s">
        <v>570</v>
      </c>
      <c r="M18" s="334">
        <v>193914.57309000002</v>
      </c>
      <c r="N18" s="494" t="str">
        <f t="shared" si="1"/>
        <v>VGV</v>
      </c>
      <c r="O18" s="491" t="str">
        <f t="shared" si="2"/>
        <v>LONDRINA [ETAPA 01 - CONDOMINIO ARAÇARI]VGV</v>
      </c>
      <c r="P18" s="492" t="str">
        <f t="shared" si="3"/>
        <v>VGVDistratoLONDRINA [ETAPA 01 - CONDOMINIO ARAÇARI]</v>
      </c>
      <c r="Q18" s="485"/>
      <c r="R18" s="496"/>
      <c r="S18" s="457"/>
      <c r="T18" s="458"/>
      <c r="U18" s="458"/>
      <c r="V18" s="449"/>
      <c r="Y18" s="410"/>
    </row>
    <row r="19" spans="1:41" s="118" customFormat="1">
      <c r="A19" s="61" t="str">
        <f t="shared" si="0"/>
        <v>LONDRINA [ETAPA 01 - CONDOMINIO ARAÇARI]XXII37</v>
      </c>
      <c r="B19" s="114" t="s">
        <v>34</v>
      </c>
      <c r="C19" s="327" t="s">
        <v>506</v>
      </c>
      <c r="D19" s="116">
        <v>37</v>
      </c>
      <c r="E19" s="183">
        <v>329.27</v>
      </c>
      <c r="F19" s="201"/>
      <c r="G19" s="267"/>
      <c r="H19" s="208"/>
      <c r="I19" s="259" t="str">
        <f t="shared" si="5"/>
        <v>LONDRINA [ETAPA 01 - CONDOMINIO ARAÇARI]1/1900</v>
      </c>
      <c r="J19" s="53" t="str">
        <f t="shared" si="4"/>
        <v>Distrato1/1900</v>
      </c>
      <c r="K19" s="43"/>
      <c r="L19" s="43" t="s">
        <v>570</v>
      </c>
      <c r="M19" s="334">
        <v>239309.81403000001</v>
      </c>
      <c r="N19" s="494" t="str">
        <f t="shared" si="1"/>
        <v>VGV</v>
      </c>
      <c r="O19" s="491" t="str">
        <f t="shared" si="2"/>
        <v>LONDRINA [ETAPA 01 - CONDOMINIO ARAÇARI]VGV</v>
      </c>
      <c r="P19" s="492" t="str">
        <f t="shared" si="3"/>
        <v>VGVDistratoLONDRINA [ETAPA 01 - CONDOMINIO ARAÇARI]</v>
      </c>
      <c r="Q19" s="486"/>
      <c r="R19" s="495" t="s">
        <v>571</v>
      </c>
      <c r="S19" s="48">
        <f>SUM(S10:S17)</f>
        <v>129</v>
      </c>
      <c r="T19" s="4">
        <f>SUM(T10:T17)</f>
        <v>34443.520000000004</v>
      </c>
      <c r="U19" s="4">
        <f t="shared" ref="U19:V19" si="10">SUM(U10:U17)</f>
        <v>21115507.717168715</v>
      </c>
      <c r="V19" s="48">
        <f t="shared" si="10"/>
        <v>5122.4556884304047</v>
      </c>
      <c r="Y19" s="414"/>
      <c r="Z19" s="5"/>
      <c r="AJ19" s="5"/>
      <c r="AK19" s="5"/>
      <c r="AL19" s="5"/>
      <c r="AM19" s="5"/>
      <c r="AN19" s="5"/>
      <c r="AO19" s="5"/>
    </row>
    <row r="20" spans="1:41">
      <c r="A20" s="61" t="str">
        <f t="shared" si="0"/>
        <v>LONDRINA [ETAPA 01 - CONDOMINIO ARAÇARI]XXIII17</v>
      </c>
      <c r="B20" s="41" t="s">
        <v>34</v>
      </c>
      <c r="C20" s="42" t="s">
        <v>507</v>
      </c>
      <c r="D20" s="45">
        <v>17</v>
      </c>
      <c r="E20" s="64">
        <v>322.95999999999998</v>
      </c>
      <c r="F20" s="243">
        <v>4203</v>
      </c>
      <c r="G20" s="41" t="s">
        <v>1167</v>
      </c>
      <c r="H20" s="204">
        <v>43987</v>
      </c>
      <c r="I20" s="259" t="str">
        <f t="shared" si="5"/>
        <v>LONDRINA [ETAPA 01 - CONDOMINIO ARAÇARI]6/2020</v>
      </c>
      <c r="J20" s="53" t="str">
        <f t="shared" si="4"/>
        <v>Distrato6/2020</v>
      </c>
      <c r="K20" s="43">
        <v>173900</v>
      </c>
      <c r="L20" s="43" t="s">
        <v>570</v>
      </c>
      <c r="M20" s="190">
        <v>0</v>
      </c>
      <c r="N20" s="494" t="str">
        <f t="shared" si="1"/>
        <v>VENDA</v>
      </c>
      <c r="O20" s="491" t="str">
        <f t="shared" si="2"/>
        <v>LONDRINA [ETAPA 01 - CONDOMINIO ARAÇARI]VENDA</v>
      </c>
      <c r="P20" s="492" t="str">
        <f t="shared" si="3"/>
        <v>VENDADistratoLONDRINA [ETAPA 01 - CONDOMINIO ARAÇARI]</v>
      </c>
      <c r="Q20" s="485"/>
      <c r="Y20" s="414"/>
    </row>
    <row r="21" spans="1:41">
      <c r="A21" s="61" t="str">
        <f t="shared" si="0"/>
        <v>LONDRINA [ETAPA 01 - CONDOMINIO ARAÇARI]XXIII19</v>
      </c>
      <c r="B21" s="41" t="s">
        <v>34</v>
      </c>
      <c r="C21" s="42" t="s">
        <v>507</v>
      </c>
      <c r="D21" s="45">
        <v>19</v>
      </c>
      <c r="E21" s="64">
        <v>268.58</v>
      </c>
      <c r="F21" s="243">
        <v>4672</v>
      </c>
      <c r="G21" s="41" t="s">
        <v>1256</v>
      </c>
      <c r="H21" s="204">
        <v>44054</v>
      </c>
      <c r="I21" s="259" t="str">
        <f t="shared" si="5"/>
        <v>LONDRINA [ETAPA 01 - CONDOMINIO ARAÇARI]8/2020</v>
      </c>
      <c r="J21" s="53" t="str">
        <f t="shared" si="4"/>
        <v>Distrato8/2020</v>
      </c>
      <c r="K21" s="43">
        <v>155100.6</v>
      </c>
      <c r="L21" s="43" t="s">
        <v>570</v>
      </c>
      <c r="M21" s="190">
        <v>0</v>
      </c>
      <c r="N21" s="494" t="str">
        <f t="shared" si="1"/>
        <v>VENDA</v>
      </c>
      <c r="O21" s="491" t="str">
        <f t="shared" si="2"/>
        <v>LONDRINA [ETAPA 01 - CONDOMINIO ARAÇARI]VENDA</v>
      </c>
      <c r="P21" s="492" t="str">
        <f t="shared" si="3"/>
        <v>VENDADistratoLONDRINA [ETAPA 01 - CONDOMINIO ARAÇARI]</v>
      </c>
      <c r="Q21" s="485"/>
      <c r="Y21" s="414"/>
    </row>
    <row r="22" spans="1:41">
      <c r="A22" s="61" t="str">
        <f t="shared" si="0"/>
        <v>LONDRINA [ETAPA 01 - CONDOMINIO ARAÇARI]XXIII20</v>
      </c>
      <c r="B22" s="41" t="s">
        <v>34</v>
      </c>
      <c r="C22" s="42" t="s">
        <v>507</v>
      </c>
      <c r="D22" s="45">
        <v>20</v>
      </c>
      <c r="E22" s="64">
        <v>268.58</v>
      </c>
      <c r="F22" s="243">
        <v>4668</v>
      </c>
      <c r="G22" s="41" t="s">
        <v>1257</v>
      </c>
      <c r="H22" s="204">
        <v>44050</v>
      </c>
      <c r="I22" s="259" t="str">
        <f t="shared" si="5"/>
        <v>LONDRINA [ETAPA 01 - CONDOMINIO ARAÇARI]8/2020</v>
      </c>
      <c r="J22" s="53" t="str">
        <f t="shared" si="4"/>
        <v>Distrato8/2020</v>
      </c>
      <c r="K22" s="43">
        <v>164860.60999999999</v>
      </c>
      <c r="L22" s="43" t="s">
        <v>570</v>
      </c>
      <c r="M22" s="43">
        <v>0</v>
      </c>
      <c r="N22" s="494" t="str">
        <f t="shared" si="1"/>
        <v>VENDA</v>
      </c>
      <c r="O22" s="491" t="str">
        <f t="shared" si="2"/>
        <v>LONDRINA [ETAPA 01 - CONDOMINIO ARAÇARI]VENDA</v>
      </c>
      <c r="P22" s="492" t="str">
        <f t="shared" si="3"/>
        <v>VENDADistratoLONDRINA [ETAPA 01 - CONDOMINIO ARAÇARI]</v>
      </c>
      <c r="Q22" s="485"/>
      <c r="Y22" s="414"/>
    </row>
    <row r="23" spans="1:41">
      <c r="A23" s="61" t="str">
        <f t="shared" si="0"/>
        <v>LONDRINA [ETAPA 01 - CONDOMINIO ARAÇARI]XXIII25</v>
      </c>
      <c r="B23" s="41" t="s">
        <v>34</v>
      </c>
      <c r="C23" s="42" t="s">
        <v>507</v>
      </c>
      <c r="D23" s="45">
        <v>25</v>
      </c>
      <c r="E23" s="64">
        <v>268.58</v>
      </c>
      <c r="F23" s="201"/>
      <c r="G23" s="41"/>
      <c r="H23" s="204"/>
      <c r="I23" s="259" t="str">
        <f t="shared" si="5"/>
        <v>LONDRINA [ETAPA 01 - CONDOMINIO ARAÇARI]1/1900</v>
      </c>
      <c r="J23" s="53" t="str">
        <f t="shared" si="4"/>
        <v>Distrato1/1900</v>
      </c>
      <c r="K23" s="43"/>
      <c r="L23" s="43" t="s">
        <v>570</v>
      </c>
      <c r="M23" s="334">
        <v>195200.98962000001</v>
      </c>
      <c r="N23" s="494" t="str">
        <f t="shared" si="1"/>
        <v>VGV</v>
      </c>
      <c r="O23" s="491" t="str">
        <f t="shared" si="2"/>
        <v>LONDRINA [ETAPA 01 - CONDOMINIO ARAÇARI]VGV</v>
      </c>
      <c r="P23" s="492" t="str">
        <f t="shared" si="3"/>
        <v>VGVDistratoLONDRINA [ETAPA 01 - CONDOMINIO ARAÇARI]</v>
      </c>
      <c r="Q23" s="485"/>
      <c r="S23" s="550" t="s">
        <v>576</v>
      </c>
      <c r="T23" s="551"/>
      <c r="U23" s="551"/>
      <c r="V23" s="552"/>
    </row>
    <row r="24" spans="1:41" ht="30">
      <c r="A24" s="61" t="str">
        <f t="shared" si="0"/>
        <v>LONDRINA [ETAPA 01 - CONDOMINIO ARAÇARI]XXIII30</v>
      </c>
      <c r="B24" s="93" t="s">
        <v>34</v>
      </c>
      <c r="C24" s="94" t="s">
        <v>507</v>
      </c>
      <c r="D24" s="95">
        <v>30</v>
      </c>
      <c r="E24" s="182">
        <v>268.58</v>
      </c>
      <c r="F24" s="482"/>
      <c r="G24" s="93" t="s">
        <v>639</v>
      </c>
      <c r="H24" s="205">
        <v>43272</v>
      </c>
      <c r="I24" s="259" t="str">
        <f t="shared" si="5"/>
        <v>LONDRINA [ETAPA 01 - CONDOMINIO ARAÇARI]6/2018</v>
      </c>
      <c r="J24" s="53" t="str">
        <f t="shared" si="4"/>
        <v>Remanescente6/2018</v>
      </c>
      <c r="K24" s="96">
        <v>162897.51</v>
      </c>
      <c r="L24" s="96" t="s">
        <v>539</v>
      </c>
      <c r="M24" s="96">
        <v>0</v>
      </c>
      <c r="N24" s="494" t="str">
        <f t="shared" si="1"/>
        <v>VENDA</v>
      </c>
      <c r="O24" s="491" t="str">
        <f t="shared" si="2"/>
        <v>LONDRINA [ETAPA 01 - CONDOMINIO ARAÇARI]VENDA</v>
      </c>
      <c r="P24" s="492" t="str">
        <f t="shared" si="3"/>
        <v>VENDARemanescenteLONDRINA [ETAPA 01 - CONDOMINIO ARAÇARI]</v>
      </c>
      <c r="Q24" s="485"/>
      <c r="R24" s="495" t="s">
        <v>3</v>
      </c>
      <c r="S24" s="270" t="s">
        <v>1473</v>
      </c>
      <c r="T24" s="258" t="s">
        <v>1474</v>
      </c>
      <c r="U24" s="258" t="s">
        <v>1476</v>
      </c>
      <c r="V24" s="258" t="s">
        <v>1475</v>
      </c>
      <c r="W24" s="258"/>
      <c r="Z24" s="285" t="s">
        <v>1099</v>
      </c>
      <c r="AA24" s="356" t="s">
        <v>1466</v>
      </c>
      <c r="AB24" s="356" t="s">
        <v>1467</v>
      </c>
      <c r="AC24" s="5" t="s">
        <v>1465</v>
      </c>
    </row>
    <row r="25" spans="1:41">
      <c r="A25" s="61" t="str">
        <f t="shared" si="0"/>
        <v>LONDRINA [ETAPA 01 - CONDOMINIO ARAÇARI]XXIII31</v>
      </c>
      <c r="B25" s="93" t="s">
        <v>34</v>
      </c>
      <c r="C25" s="94" t="s">
        <v>507</v>
      </c>
      <c r="D25" s="95">
        <v>31</v>
      </c>
      <c r="E25" s="182">
        <v>268.58</v>
      </c>
      <c r="F25" s="482">
        <v>2674</v>
      </c>
      <c r="G25" s="93" t="s">
        <v>857</v>
      </c>
      <c r="H25" s="205">
        <v>43419</v>
      </c>
      <c r="I25" s="259" t="str">
        <f t="shared" si="5"/>
        <v>LONDRINA [ETAPA 01 - CONDOMINIO ARAÇARI]11/2018</v>
      </c>
      <c r="J25" s="53" t="str">
        <f t="shared" si="4"/>
        <v>Remanescente11/2018</v>
      </c>
      <c r="K25" s="96">
        <v>162896.34</v>
      </c>
      <c r="L25" s="96" t="s">
        <v>539</v>
      </c>
      <c r="M25" s="96">
        <v>0</v>
      </c>
      <c r="N25" s="494" t="str">
        <f t="shared" si="1"/>
        <v>VENDA</v>
      </c>
      <c r="O25" s="491" t="str">
        <f t="shared" si="2"/>
        <v>LONDRINA [ETAPA 01 - CONDOMINIO ARAÇARI]VENDA</v>
      </c>
      <c r="P25" s="492" t="str">
        <f t="shared" si="3"/>
        <v>VENDARemanescenteLONDRINA [ETAPA 01 - CONDOMINIO ARAÇARI]</v>
      </c>
      <c r="Q25" s="485"/>
      <c r="R25" s="42" t="s">
        <v>34</v>
      </c>
      <c r="S25" s="411">
        <v>185066.53333333333</v>
      </c>
      <c r="T25" s="412">
        <v>284.87</v>
      </c>
      <c r="U25" s="412">
        <f>S25/T25</f>
        <v>649.65259007032444</v>
      </c>
      <c r="V25" s="413">
        <f>U25*T10</f>
        <v>2597856.7632768159</v>
      </c>
      <c r="W25" s="243"/>
      <c r="Z25" s="162" t="s">
        <v>34</v>
      </c>
      <c r="AA25" s="286">
        <v>185066.53333333333</v>
      </c>
      <c r="AB25" s="286">
        <v>284.87</v>
      </c>
      <c r="AC25" s="462">
        <f>AA25/AB25</f>
        <v>649.65259007032444</v>
      </c>
      <c r="AD25" s="49">
        <f>AC25*T10</f>
        <v>2597856.7632768159</v>
      </c>
      <c r="AF25" s="49">
        <f t="shared" ref="AF25:AF32" si="11">AD25/1000000</f>
        <v>2.5978567632768157</v>
      </c>
    </row>
    <row r="26" spans="1:41">
      <c r="A26" s="61" t="str">
        <f t="shared" si="0"/>
        <v>LONDRINA [ETAPA 01 - CONDOMINIO ARAÇARI]XXIII32</v>
      </c>
      <c r="B26" s="93" t="s">
        <v>34</v>
      </c>
      <c r="C26" s="94" t="s">
        <v>507</v>
      </c>
      <c r="D26" s="95">
        <v>32</v>
      </c>
      <c r="E26" s="182">
        <v>268.58</v>
      </c>
      <c r="F26" s="482"/>
      <c r="G26" s="93" t="s">
        <v>761</v>
      </c>
      <c r="H26" s="205">
        <v>43299</v>
      </c>
      <c r="I26" s="259" t="str">
        <f t="shared" si="5"/>
        <v>LONDRINA [ETAPA 01 - CONDOMINIO ARAÇARI]7/2018</v>
      </c>
      <c r="J26" s="53" t="str">
        <f t="shared" si="4"/>
        <v>Remanescente7/2018</v>
      </c>
      <c r="K26" s="96">
        <v>162897.51</v>
      </c>
      <c r="L26" s="96" t="s">
        <v>539</v>
      </c>
      <c r="M26" s="96">
        <v>0</v>
      </c>
      <c r="N26" s="494" t="str">
        <f t="shared" si="1"/>
        <v>VENDA</v>
      </c>
      <c r="O26" s="491" t="str">
        <f t="shared" si="2"/>
        <v>LONDRINA [ETAPA 01 - CONDOMINIO ARAÇARI]VENDA</v>
      </c>
      <c r="P26" s="492" t="str">
        <f t="shared" si="3"/>
        <v>VENDARemanescenteLONDRINA [ETAPA 01 - CONDOMINIO ARAÇARI]</v>
      </c>
      <c r="Q26" s="485"/>
      <c r="R26" s="42" t="s">
        <v>37</v>
      </c>
      <c r="S26" s="438">
        <v>159800.1</v>
      </c>
      <c r="T26" s="439">
        <v>252.75</v>
      </c>
      <c r="U26" s="412">
        <f t="shared" ref="U26:U32" si="12">S26/T26</f>
        <v>632.24569732937687</v>
      </c>
      <c r="V26" s="413">
        <f>U26*T11</f>
        <v>479084.17715133535</v>
      </c>
      <c r="W26" s="413">
        <f>V25+V26</f>
        <v>3076940.9404281513</v>
      </c>
      <c r="Z26" s="162" t="s">
        <v>37</v>
      </c>
      <c r="AA26" s="286">
        <v>159800.1</v>
      </c>
      <c r="AB26" s="286">
        <v>252.75</v>
      </c>
      <c r="AC26" s="462">
        <f>AA26/AB26</f>
        <v>632.24569732937687</v>
      </c>
      <c r="AD26" s="49">
        <f t="shared" ref="AD26:AD32" si="13">AC26*T11</f>
        <v>479084.17715133535</v>
      </c>
      <c r="AE26" s="49">
        <f>AD25+AD26</f>
        <v>3076940.9404281513</v>
      </c>
      <c r="AF26" s="49">
        <f t="shared" si="11"/>
        <v>0.47908417715133533</v>
      </c>
      <c r="AG26" s="49">
        <f>AF25+AF26</f>
        <v>3.0769409404281509</v>
      </c>
    </row>
    <row r="27" spans="1:41">
      <c r="A27" s="61" t="str">
        <f t="shared" si="0"/>
        <v>LONDRINA [ETAPA 01 - CONDOMINIO ARAÇARI]XXIII33</v>
      </c>
      <c r="B27" s="93" t="s">
        <v>34</v>
      </c>
      <c r="C27" s="94" t="s">
        <v>507</v>
      </c>
      <c r="D27" s="95">
        <v>33</v>
      </c>
      <c r="E27" s="182">
        <v>338.47</v>
      </c>
      <c r="F27" s="482"/>
      <c r="G27" s="93" t="s">
        <v>191</v>
      </c>
      <c r="H27" s="205">
        <v>44105</v>
      </c>
      <c r="I27" s="259" t="str">
        <f t="shared" si="5"/>
        <v>LONDRINA [ETAPA 01 - CONDOMINIO ARAÇARI]10/2020</v>
      </c>
      <c r="J27" s="53" t="str">
        <f t="shared" si="4"/>
        <v>Remanescente10/2020</v>
      </c>
      <c r="K27" s="96">
        <v>213072.4</v>
      </c>
      <c r="L27" s="96" t="s">
        <v>539</v>
      </c>
      <c r="M27" s="189">
        <v>0</v>
      </c>
      <c r="N27" s="494" t="str">
        <f t="shared" si="1"/>
        <v>VENDA</v>
      </c>
      <c r="O27" s="491" t="str">
        <f t="shared" si="2"/>
        <v>LONDRINA [ETAPA 01 - CONDOMINIO ARAÇARI]VENDA</v>
      </c>
      <c r="P27" s="492" t="str">
        <f t="shared" si="3"/>
        <v>VENDARemanescenteLONDRINA [ETAPA 01 - CONDOMINIO ARAÇARI]</v>
      </c>
      <c r="Q27" s="485"/>
      <c r="R27" s="42" t="s">
        <v>35</v>
      </c>
      <c r="S27" s="411">
        <v>183020.00666666668</v>
      </c>
      <c r="T27" s="412">
        <v>294.48333333333335</v>
      </c>
      <c r="U27" s="412">
        <f t="shared" si="12"/>
        <v>621.49529684758625</v>
      </c>
      <c r="V27" s="413">
        <f>U27*T12</f>
        <v>2467721.6555689629</v>
      </c>
      <c r="W27" s="243"/>
      <c r="Z27" s="162" t="s">
        <v>35</v>
      </c>
      <c r="AA27" s="286">
        <v>183020.00666666668</v>
      </c>
      <c r="AB27" s="286">
        <v>294.48333333333335</v>
      </c>
      <c r="AC27" s="462">
        <f t="shared" ref="AC27:AC32" si="14">AA27/AB27</f>
        <v>621.49529684758625</v>
      </c>
      <c r="AD27" s="49">
        <f t="shared" si="13"/>
        <v>2467721.6555689629</v>
      </c>
      <c r="AF27" s="49">
        <f t="shared" si="11"/>
        <v>2.4677216555689627</v>
      </c>
    </row>
    <row r="28" spans="1:41">
      <c r="A28" s="61" t="str">
        <f t="shared" si="0"/>
        <v>LONDRINA [ETAPA 01 - CONDOMINIO ARAÇARI]XXIV4</v>
      </c>
      <c r="B28" s="114" t="s">
        <v>34</v>
      </c>
      <c r="C28" s="115" t="s">
        <v>508</v>
      </c>
      <c r="D28" s="116">
        <v>4</v>
      </c>
      <c r="E28" s="154">
        <v>256.14</v>
      </c>
      <c r="F28" s="378">
        <v>4786</v>
      </c>
      <c r="G28" s="114" t="s">
        <v>1310</v>
      </c>
      <c r="H28" s="206">
        <v>44097</v>
      </c>
      <c r="I28" s="259" t="str">
        <f t="shared" si="5"/>
        <v>LONDRINA [ETAPA 01 - CONDOMINIO ARAÇARI]9/2020</v>
      </c>
      <c r="J28" s="53" t="str">
        <f t="shared" si="4"/>
        <v>Distrato9/2020</v>
      </c>
      <c r="K28" s="117">
        <v>141000</v>
      </c>
      <c r="L28" s="117" t="s">
        <v>570</v>
      </c>
      <c r="M28" s="188">
        <v>0</v>
      </c>
      <c r="N28" s="494" t="str">
        <f t="shared" si="1"/>
        <v>VENDA</v>
      </c>
      <c r="O28" s="491" t="str">
        <f t="shared" si="2"/>
        <v>LONDRINA [ETAPA 01 - CONDOMINIO ARAÇARI]VENDA</v>
      </c>
      <c r="P28" s="492" t="str">
        <f t="shared" si="3"/>
        <v>VENDADistratoLONDRINA [ETAPA 01 - CONDOMINIO ARAÇARI]</v>
      </c>
      <c r="Q28" s="485"/>
      <c r="R28" s="42" t="s">
        <v>38</v>
      </c>
      <c r="S28" s="438"/>
      <c r="T28" s="439"/>
      <c r="U28" s="412"/>
      <c r="V28" s="413"/>
      <c r="W28" s="413">
        <f>V27+V28</f>
        <v>2467721.6555689629</v>
      </c>
      <c r="Z28" s="162" t="s">
        <v>33</v>
      </c>
      <c r="AA28" s="286">
        <v>172085.29190476192</v>
      </c>
      <c r="AB28" s="286">
        <v>280.67857142857144</v>
      </c>
      <c r="AC28" s="462">
        <f t="shared" si="14"/>
        <v>613.10448827246898</v>
      </c>
      <c r="AD28" s="49">
        <f t="shared" si="13"/>
        <v>775117.34929846891</v>
      </c>
      <c r="AE28" s="49">
        <f>AD27+AD28</f>
        <v>3242839.0048674317</v>
      </c>
      <c r="AF28" s="49">
        <f t="shared" si="11"/>
        <v>0.77511734929846887</v>
      </c>
      <c r="AG28" s="49">
        <f>AF27+AF28</f>
        <v>3.2428390048674318</v>
      </c>
    </row>
    <row r="29" spans="1:41">
      <c r="A29" s="61" t="str">
        <f t="shared" si="0"/>
        <v>LONDRINA [ETAPA 01 - CONDOMINIO ARAÇARI]XXIV6</v>
      </c>
      <c r="B29" s="114" t="s">
        <v>34</v>
      </c>
      <c r="C29" s="115" t="s">
        <v>508</v>
      </c>
      <c r="D29" s="116">
        <v>6</v>
      </c>
      <c r="E29" s="183">
        <v>256.14</v>
      </c>
      <c r="F29" s="201"/>
      <c r="G29" s="114" t="s">
        <v>1137</v>
      </c>
      <c r="H29" s="206">
        <v>43866</v>
      </c>
      <c r="I29" s="259" t="str">
        <f t="shared" si="5"/>
        <v>LONDRINA [ETAPA 01 - CONDOMINIO ARAÇARI]2/2020</v>
      </c>
      <c r="J29" s="53" t="str">
        <f t="shared" si="4"/>
        <v>Distrato2/2020</v>
      </c>
      <c r="K29" s="117">
        <v>156980</v>
      </c>
      <c r="L29" s="117" t="s">
        <v>570</v>
      </c>
      <c r="M29" s="188">
        <v>0</v>
      </c>
      <c r="N29" s="494" t="str">
        <f t="shared" si="1"/>
        <v>VENDA</v>
      </c>
      <c r="O29" s="491" t="str">
        <f t="shared" si="2"/>
        <v>LONDRINA [ETAPA 01 - CONDOMINIO ARAÇARI]VENDA</v>
      </c>
      <c r="P29" s="492" t="str">
        <f t="shared" si="3"/>
        <v>VENDADistratoLONDRINA [ETAPA 01 - CONDOMINIO ARAÇARI]</v>
      </c>
      <c r="Q29" s="485"/>
      <c r="R29" s="42" t="s">
        <v>33</v>
      </c>
      <c r="S29" s="411">
        <v>172085.29190476192</v>
      </c>
      <c r="T29" s="412">
        <v>280.67857142857144</v>
      </c>
      <c r="U29" s="412">
        <f t="shared" si="12"/>
        <v>613.10448827246898</v>
      </c>
      <c r="V29" s="413">
        <f t="shared" ref="V29:V32" si="15">U29*T14</f>
        <v>1166382.2405793106</v>
      </c>
      <c r="W29" s="243"/>
      <c r="Z29" s="162" t="s">
        <v>36</v>
      </c>
      <c r="AA29" s="286">
        <v>153570.37799999997</v>
      </c>
      <c r="AB29" s="286">
        <v>254.1</v>
      </c>
      <c r="AC29" s="462">
        <f t="shared" si="14"/>
        <v>604.36984651711919</v>
      </c>
      <c r="AD29" s="49">
        <f t="shared" si="13"/>
        <v>1149765.2834110979</v>
      </c>
      <c r="AF29" s="49">
        <f t="shared" si="11"/>
        <v>1.1497652834110978</v>
      </c>
    </row>
    <row r="30" spans="1:41">
      <c r="A30" s="61" t="str">
        <f t="shared" si="0"/>
        <v>LONDRINA [ETAPA 01 - CONDOMINIO ARAÇARI]XXIV9</v>
      </c>
      <c r="B30" s="93" t="s">
        <v>34</v>
      </c>
      <c r="C30" s="94" t="s">
        <v>508</v>
      </c>
      <c r="D30" s="95">
        <v>9</v>
      </c>
      <c r="E30" s="182">
        <v>256.14</v>
      </c>
      <c r="F30" s="243">
        <v>5049</v>
      </c>
      <c r="G30" s="93" t="s">
        <v>1478</v>
      </c>
      <c r="H30" s="205">
        <v>44242</v>
      </c>
      <c r="I30" s="259" t="str">
        <f t="shared" si="5"/>
        <v>LONDRINA [ETAPA 01 - CONDOMINIO ARAÇARI]2/2021</v>
      </c>
      <c r="J30" s="53" t="str">
        <f t="shared" si="4"/>
        <v>Remanescente2/2021</v>
      </c>
      <c r="K30" s="96">
        <v>164500.1</v>
      </c>
      <c r="L30" s="96" t="s">
        <v>539</v>
      </c>
      <c r="M30" s="316">
        <v>0</v>
      </c>
      <c r="N30" s="494" t="str">
        <f t="shared" si="1"/>
        <v>VENDA</v>
      </c>
      <c r="O30" s="491" t="str">
        <f t="shared" si="2"/>
        <v>LONDRINA [ETAPA 01 - CONDOMINIO ARAÇARI]VENDA</v>
      </c>
      <c r="P30" s="492" t="str">
        <f t="shared" si="3"/>
        <v>VENDARemanescenteLONDRINA [ETAPA 01 - CONDOMINIO ARAÇARI]</v>
      </c>
      <c r="Q30" s="485"/>
      <c r="R30" s="42" t="s">
        <v>36</v>
      </c>
      <c r="S30" s="438">
        <v>153570.37799999997</v>
      </c>
      <c r="T30" s="439">
        <v>254.1</v>
      </c>
      <c r="U30" s="412">
        <f t="shared" si="12"/>
        <v>604.36984651711919</v>
      </c>
      <c r="V30" s="413">
        <f t="shared" si="15"/>
        <v>816298.17689681216</v>
      </c>
      <c r="W30" s="413">
        <f>V29+V30</f>
        <v>1982680.4174761227</v>
      </c>
      <c r="Z30" s="162" t="s">
        <v>878</v>
      </c>
      <c r="AA30" s="286">
        <v>147726.47950000002</v>
      </c>
      <c r="AB30" s="286">
        <v>267.91299999999995</v>
      </c>
      <c r="AC30" s="462">
        <f t="shared" si="14"/>
        <v>551.39720543609326</v>
      </c>
      <c r="AD30" s="49">
        <f t="shared" si="13"/>
        <v>744750.14949431363</v>
      </c>
      <c r="AE30" s="49">
        <f>AD29+AD30</f>
        <v>1894515.4329054116</v>
      </c>
      <c r="AF30" s="49">
        <f t="shared" si="11"/>
        <v>0.74475014949431362</v>
      </c>
      <c r="AG30" s="49">
        <f>AF29+AF30</f>
        <v>1.8945154329054115</v>
      </c>
    </row>
    <row r="31" spans="1:41" s="335" customFormat="1">
      <c r="A31" s="61" t="str">
        <f t="shared" si="0"/>
        <v>LONDRINA [ETAPA 01 - CONDOMINIO ARAÇARI]XXV4</v>
      </c>
      <c r="B31" s="114" t="s">
        <v>34</v>
      </c>
      <c r="C31" s="115" t="s">
        <v>509</v>
      </c>
      <c r="D31" s="331">
        <v>4</v>
      </c>
      <c r="E31" s="332">
        <v>260</v>
      </c>
      <c r="F31" s="383"/>
      <c r="G31" s="114"/>
      <c r="H31" s="206"/>
      <c r="I31" s="259" t="str">
        <f t="shared" si="5"/>
        <v>LONDRINA [ETAPA 01 - CONDOMINIO ARAÇARI]1/1900</v>
      </c>
      <c r="J31" s="53" t="str">
        <f t="shared" si="4"/>
        <v>Distrato1/1900</v>
      </c>
      <c r="K31" s="206"/>
      <c r="L31" s="334" t="s">
        <v>570</v>
      </c>
      <c r="M31" s="334">
        <v>92038.41</v>
      </c>
      <c r="N31" s="494" t="str">
        <f t="shared" si="1"/>
        <v>VGV</v>
      </c>
      <c r="O31" s="491" t="str">
        <f t="shared" si="2"/>
        <v>LONDRINA [ETAPA 01 - CONDOMINIO ARAÇARI]VGV</v>
      </c>
      <c r="P31" s="492" t="str">
        <f t="shared" si="3"/>
        <v>VGVDistratoLONDRINA [ETAPA 01 - CONDOMINIO ARAÇARI]</v>
      </c>
      <c r="R31" s="42" t="s">
        <v>878</v>
      </c>
      <c r="S31" s="411">
        <v>147726.47950000002</v>
      </c>
      <c r="T31" s="412">
        <v>267.91299999999995</v>
      </c>
      <c r="U31" s="412">
        <f t="shared" si="12"/>
        <v>551.39720543609326</v>
      </c>
      <c r="V31" s="413">
        <f t="shared" si="15"/>
        <v>7534335.5268552145</v>
      </c>
      <c r="W31" s="336"/>
      <c r="Z31" s="162" t="s">
        <v>612</v>
      </c>
      <c r="AA31" s="286">
        <v>131406.34000000003</v>
      </c>
      <c r="AB31" s="286">
        <v>256.78200000000004</v>
      </c>
      <c r="AC31" s="462">
        <f t="shared" si="14"/>
        <v>511.74280128669454</v>
      </c>
      <c r="AD31" s="49">
        <f t="shared" si="13"/>
        <v>6992494.5762054985</v>
      </c>
      <c r="AF31" s="49">
        <f t="shared" si="11"/>
        <v>6.9924945762054982</v>
      </c>
      <c r="AG31" s="5"/>
      <c r="AH31" s="5"/>
      <c r="AJ31" s="5"/>
      <c r="AK31" s="5"/>
      <c r="AL31" s="5"/>
      <c r="AM31" s="5"/>
      <c r="AN31" s="5"/>
      <c r="AO31" s="5"/>
    </row>
    <row r="32" spans="1:41">
      <c r="A32" s="61" t="str">
        <f t="shared" si="0"/>
        <v>LONDRINA [ETAPA 01 - CONDOMINIO ARAÇARI]XXV10</v>
      </c>
      <c r="B32" s="114" t="s">
        <v>34</v>
      </c>
      <c r="C32" s="115" t="s">
        <v>509</v>
      </c>
      <c r="D32" s="331">
        <v>10</v>
      </c>
      <c r="E32" s="332">
        <v>260</v>
      </c>
      <c r="F32" s="383"/>
      <c r="G32" s="114"/>
      <c r="H32" s="206"/>
      <c r="I32" s="259" t="str">
        <f t="shared" si="5"/>
        <v>LONDRINA [ETAPA 01 - CONDOMINIO ARAÇARI]1/1900</v>
      </c>
      <c r="J32" s="53" t="str">
        <f t="shared" si="4"/>
        <v>Distrato1/1900</v>
      </c>
      <c r="K32" s="206"/>
      <c r="L32" s="334" t="s">
        <v>570</v>
      </c>
      <c r="M32" s="334">
        <v>188965.14</v>
      </c>
      <c r="N32" s="494" t="str">
        <f t="shared" si="1"/>
        <v>VGV</v>
      </c>
      <c r="O32" s="491" t="str">
        <f t="shared" si="2"/>
        <v>LONDRINA [ETAPA 01 - CONDOMINIO ARAÇARI]VGV</v>
      </c>
      <c r="P32" s="492" t="str">
        <f t="shared" si="3"/>
        <v>VGVDistratoLONDRINA [ETAPA 01 - CONDOMINIO ARAÇARI]</v>
      </c>
      <c r="Q32" s="487"/>
      <c r="R32" s="42" t="s">
        <v>612</v>
      </c>
      <c r="S32" s="438">
        <v>131406.34000000003</v>
      </c>
      <c r="T32" s="439">
        <v>256.78200000000004</v>
      </c>
      <c r="U32" s="412">
        <f t="shared" si="12"/>
        <v>511.74280128669454</v>
      </c>
      <c r="V32" s="413">
        <f t="shared" si="15"/>
        <v>3855930.8334151153</v>
      </c>
      <c r="W32" s="413">
        <f>V31+V32</f>
        <v>11390266.360270329</v>
      </c>
      <c r="Z32" s="162" t="s">
        <v>1101</v>
      </c>
      <c r="AA32" s="286">
        <v>153624.80495145638</v>
      </c>
      <c r="AB32" s="286">
        <v>269.88504854368921</v>
      </c>
      <c r="AC32" s="462">
        <f t="shared" si="14"/>
        <v>569.2231036154916</v>
      </c>
      <c r="AD32" s="49">
        <f t="shared" si="13"/>
        <v>4289039.1634323681</v>
      </c>
      <c r="AE32" s="49">
        <f>AD31+AD32</f>
        <v>11281533.739637867</v>
      </c>
      <c r="AF32" s="49">
        <f t="shared" si="11"/>
        <v>4.2890391634323679</v>
      </c>
      <c r="AG32" s="49">
        <f>AF31+AF32</f>
        <v>11.281533739637865</v>
      </c>
    </row>
    <row r="33" spans="1:41">
      <c r="A33" s="61" t="str">
        <f t="shared" si="0"/>
        <v>LONDRINA [ETAPA 01 - CONDOMINIO ARAÇARI]XXV12</v>
      </c>
      <c r="B33" s="114" t="s">
        <v>34</v>
      </c>
      <c r="C33" s="115" t="s">
        <v>509</v>
      </c>
      <c r="D33" s="116">
        <v>12</v>
      </c>
      <c r="E33" s="183">
        <v>260</v>
      </c>
      <c r="F33" s="243">
        <v>3817</v>
      </c>
      <c r="G33" s="114" t="s">
        <v>1145</v>
      </c>
      <c r="H33" s="206">
        <v>43906</v>
      </c>
      <c r="I33" s="259" t="str">
        <f t="shared" si="5"/>
        <v>LONDRINA [ETAPA 01 - CONDOMINIO ARAÇARI]3/2020</v>
      </c>
      <c r="J33" s="53" t="str">
        <f t="shared" si="4"/>
        <v>Distrato3/2020</v>
      </c>
      <c r="K33" s="117">
        <v>141000</v>
      </c>
      <c r="L33" s="117" t="s">
        <v>570</v>
      </c>
      <c r="M33" s="190">
        <v>0</v>
      </c>
      <c r="N33" s="494" t="str">
        <f t="shared" si="1"/>
        <v>VENDA</v>
      </c>
      <c r="O33" s="491" t="str">
        <f t="shared" si="2"/>
        <v>LONDRINA [ETAPA 01 - CONDOMINIO ARAÇARI]VENDA</v>
      </c>
      <c r="P33" s="492" t="str">
        <f t="shared" si="3"/>
        <v>VENDADistratoLONDRINA [ETAPA 01 - CONDOMINIO ARAÇARI]</v>
      </c>
      <c r="Q33" s="485"/>
      <c r="R33" s="42"/>
      <c r="S33" s="243"/>
      <c r="T33" s="243"/>
      <c r="U33" s="243"/>
      <c r="V33" s="243"/>
      <c r="W33" s="243"/>
      <c r="Z33"/>
      <c r="AA33"/>
      <c r="AB33"/>
    </row>
    <row r="34" spans="1:41">
      <c r="A34" s="61" t="str">
        <f t="shared" si="0"/>
        <v>LONDRINA [ETAPA 01 - CONDOMINIO ARAÇARI]XXV15</v>
      </c>
      <c r="B34" s="114" t="s">
        <v>34</v>
      </c>
      <c r="C34" s="115" t="s">
        <v>509</v>
      </c>
      <c r="D34" s="116">
        <v>15</v>
      </c>
      <c r="E34" s="183">
        <v>260</v>
      </c>
      <c r="F34" s="201"/>
      <c r="G34" s="114"/>
      <c r="H34" s="206"/>
      <c r="I34" s="259" t="str">
        <f t="shared" si="5"/>
        <v>LONDRINA [ETAPA 01 - CONDOMINIO ARAÇARI]1/1900</v>
      </c>
      <c r="J34" s="53" t="str">
        <f t="shared" si="4"/>
        <v>Distrato1/1900</v>
      </c>
      <c r="K34" s="117"/>
      <c r="L34" s="117" t="s">
        <v>570</v>
      </c>
      <c r="M34" s="334">
        <v>188965.14</v>
      </c>
      <c r="N34" s="494" t="str">
        <f t="shared" si="1"/>
        <v>VGV</v>
      </c>
      <c r="O34" s="491" t="str">
        <f t="shared" si="2"/>
        <v>LONDRINA [ETAPA 01 - CONDOMINIO ARAÇARI]VGV</v>
      </c>
      <c r="P34" s="492" t="str">
        <f t="shared" si="3"/>
        <v>VGVDistratoLONDRINA [ETAPA 01 - CONDOMINIO ARAÇARI]</v>
      </c>
      <c r="Q34" s="485"/>
      <c r="R34" s="42"/>
      <c r="S34" s="243"/>
      <c r="T34" s="243"/>
      <c r="U34" s="243"/>
      <c r="V34" s="243"/>
      <c r="W34" s="243"/>
    </row>
    <row r="35" spans="1:41">
      <c r="A35" s="61" t="str">
        <f t="shared" si="0"/>
        <v>LONDRINA [ETAPA 01 - CONDOMINIO ARAÇARI]XXV19</v>
      </c>
      <c r="B35" s="114" t="s">
        <v>34</v>
      </c>
      <c r="C35" s="115" t="s">
        <v>509</v>
      </c>
      <c r="D35" s="116">
        <v>19</v>
      </c>
      <c r="E35" s="183">
        <v>260</v>
      </c>
      <c r="F35" s="201"/>
      <c r="G35" s="114"/>
      <c r="H35" s="206"/>
      <c r="I35" s="259" t="str">
        <f t="shared" si="5"/>
        <v>LONDRINA [ETAPA 01 - CONDOMINIO ARAÇARI]1/1900</v>
      </c>
      <c r="J35" s="53" t="str">
        <f t="shared" si="4"/>
        <v>Distrato1/1900</v>
      </c>
      <c r="K35" s="117"/>
      <c r="L35" s="117" t="s">
        <v>570</v>
      </c>
      <c r="M35" s="316">
        <v>188965.13999999998</v>
      </c>
      <c r="N35" s="494" t="str">
        <f t="shared" si="1"/>
        <v>VGV</v>
      </c>
      <c r="O35" s="491" t="str">
        <f t="shared" si="2"/>
        <v>LONDRINA [ETAPA 01 - CONDOMINIO ARAÇARI]VGV</v>
      </c>
      <c r="P35" s="492" t="str">
        <f t="shared" si="3"/>
        <v>VGVDistratoLONDRINA [ETAPA 01 - CONDOMINIO ARAÇARI]</v>
      </c>
      <c r="Q35" s="485"/>
      <c r="R35" s="495" t="s">
        <v>1038</v>
      </c>
      <c r="S35" s="4">
        <f>SUM(S25:S34)</f>
        <v>1132675.1294047618</v>
      </c>
      <c r="T35" s="4">
        <f>SUM(T25:T34)</f>
        <v>1891.5769047619046</v>
      </c>
      <c r="U35" s="4">
        <f>SUM(U25:U34)</f>
        <v>4184.0079257596635</v>
      </c>
      <c r="V35" s="4">
        <f>SUM(V25:V34)</f>
        <v>18917609.373743564</v>
      </c>
      <c r="W35" s="244"/>
    </row>
    <row r="36" spans="1:41" ht="15.75" thickBot="1">
      <c r="A36" s="61" t="str">
        <f t="shared" si="0"/>
        <v>LONDRINA [ETAPA 01 - CONDOMINIO ARAÇARI]XXV23</v>
      </c>
      <c r="B36" s="114" t="s">
        <v>34</v>
      </c>
      <c r="C36" s="115" t="s">
        <v>509</v>
      </c>
      <c r="D36" s="73">
        <v>23</v>
      </c>
      <c r="E36" s="315">
        <v>260</v>
      </c>
      <c r="F36" s="166">
        <v>5095</v>
      </c>
      <c r="G36" s="74" t="s">
        <v>1490</v>
      </c>
      <c r="H36" s="40">
        <v>44256</v>
      </c>
      <c r="I36" s="259" t="str">
        <f t="shared" si="5"/>
        <v>LONDRINA [ETAPA 01 - CONDOMINIO ARAÇARI]3/2021</v>
      </c>
      <c r="J36" s="53" t="str">
        <f t="shared" si="4"/>
        <v>Distrato3/2021</v>
      </c>
      <c r="K36" s="35">
        <v>177627.1</v>
      </c>
      <c r="L36" s="117" t="s">
        <v>570</v>
      </c>
      <c r="M36" s="316">
        <v>0</v>
      </c>
      <c r="N36" s="494" t="str">
        <f t="shared" si="1"/>
        <v>VENDA</v>
      </c>
      <c r="O36" s="491" t="str">
        <f t="shared" si="2"/>
        <v>LONDRINA [ETAPA 01 - CONDOMINIO ARAÇARI]VENDA</v>
      </c>
      <c r="P36" s="492" t="str">
        <f t="shared" si="3"/>
        <v>VENDADistratoLONDRINA [ETAPA 01 - CONDOMINIO ARAÇARI]</v>
      </c>
      <c r="Q36" s="485"/>
      <c r="Z36" s="545" t="s">
        <v>1388</v>
      </c>
      <c r="AA36" s="545"/>
      <c r="AB36" s="545"/>
      <c r="AC36" s="545"/>
      <c r="AD36" s="545"/>
      <c r="AE36" s="545"/>
      <c r="AF36" s="545"/>
      <c r="AG36" s="545"/>
    </row>
    <row r="37" spans="1:41" ht="30">
      <c r="A37" s="61" t="str">
        <f t="shared" si="0"/>
        <v>LONDRINA [ETAPA 01 - CONDOMINIO ARAÇARI]XXV24</v>
      </c>
      <c r="B37" s="93" t="s">
        <v>34</v>
      </c>
      <c r="C37" s="94" t="s">
        <v>509</v>
      </c>
      <c r="D37" s="95">
        <v>24</v>
      </c>
      <c r="E37" s="182">
        <v>260</v>
      </c>
      <c r="F37" s="201"/>
      <c r="G37" s="93"/>
      <c r="H37" s="205"/>
      <c r="I37" s="259" t="str">
        <f t="shared" si="5"/>
        <v>LONDRINA [ETAPA 01 - CONDOMINIO ARAÇARI]1/1900</v>
      </c>
      <c r="J37" s="53" t="str">
        <f t="shared" si="4"/>
        <v>Remanescente1/1900</v>
      </c>
      <c r="K37" s="96"/>
      <c r="L37" s="96" t="s">
        <v>539</v>
      </c>
      <c r="M37" s="316">
        <v>188965.13999999998</v>
      </c>
      <c r="N37" s="494" t="str">
        <f t="shared" si="1"/>
        <v>VGV</v>
      </c>
      <c r="O37" s="491" t="str">
        <f t="shared" si="2"/>
        <v>LONDRINA [ETAPA 01 - CONDOMINIO ARAÇARI]VGV</v>
      </c>
      <c r="P37" s="492" t="str">
        <f t="shared" si="3"/>
        <v>VGVRemanescenteLONDRINA [ETAPA 01 - CONDOMINIO ARAÇARI]</v>
      </c>
      <c r="Q37" s="485"/>
      <c r="R37" s="548" t="s">
        <v>899</v>
      </c>
      <c r="S37" s="549"/>
      <c r="T37" s="549"/>
      <c r="U37" s="397"/>
      <c r="V37" s="397"/>
      <c r="W37" s="396"/>
      <c r="X37" s="396"/>
      <c r="Y37" s="396"/>
      <c r="Z37" s="1" t="s">
        <v>3</v>
      </c>
      <c r="AA37" s="2" t="s">
        <v>4</v>
      </c>
      <c r="AB37" s="2" t="s">
        <v>5</v>
      </c>
      <c r="AC37" s="4" t="s">
        <v>905</v>
      </c>
      <c r="AD37" s="200" t="s">
        <v>624</v>
      </c>
      <c r="AE37" s="1" t="s">
        <v>6</v>
      </c>
      <c r="AF37" s="3" t="s">
        <v>9</v>
      </c>
      <c r="AG37" s="4" t="s">
        <v>10</v>
      </c>
    </row>
    <row r="38" spans="1:41">
      <c r="A38" s="61" t="str">
        <f t="shared" si="0"/>
        <v>LONDRINA [ETAPA 01 - CONDOMINIO ARAÇARI]XXV-A15</v>
      </c>
      <c r="B38" s="114" t="s">
        <v>34</v>
      </c>
      <c r="C38" s="115" t="s">
        <v>538</v>
      </c>
      <c r="D38" s="116">
        <v>15</v>
      </c>
      <c r="E38" s="183">
        <v>257.62</v>
      </c>
      <c r="F38" s="201"/>
      <c r="G38" s="41"/>
      <c r="H38" s="208"/>
      <c r="I38" s="259" t="str">
        <f t="shared" si="5"/>
        <v>LONDRINA [ETAPA 01 - CONDOMINIO ARAÇARI]1/1900</v>
      </c>
      <c r="J38" s="53" t="str">
        <f t="shared" si="4"/>
        <v>Distrato1/1900</v>
      </c>
      <c r="K38" s="43"/>
      <c r="L38" s="117" t="s">
        <v>570</v>
      </c>
      <c r="M38" s="188">
        <v>95877.1</v>
      </c>
      <c r="N38" s="494" t="str">
        <f t="shared" si="1"/>
        <v>VGV</v>
      </c>
      <c r="O38" s="491" t="str">
        <f t="shared" si="2"/>
        <v>LONDRINA [ETAPA 01 - CONDOMINIO ARAÇARI]VGV</v>
      </c>
      <c r="P38" s="492" t="str">
        <f t="shared" si="3"/>
        <v>VGVDistratoLONDRINA [ETAPA 01 - CONDOMINIO ARAÇARI]</v>
      </c>
      <c r="R38" s="497"/>
      <c r="S38" s="498"/>
      <c r="T38" s="499"/>
      <c r="U38" s="399"/>
      <c r="V38" s="399"/>
      <c r="W38" s="398"/>
      <c r="X38" s="398"/>
      <c r="Y38" s="398"/>
      <c r="Z38" s="41" t="s">
        <v>37</v>
      </c>
      <c r="AA38" s="42" t="s">
        <v>532</v>
      </c>
      <c r="AB38" s="45">
        <v>25</v>
      </c>
      <c r="AC38" s="64">
        <v>252.75</v>
      </c>
      <c r="AD38" s="378">
        <v>4953</v>
      </c>
      <c r="AE38" s="41" t="s">
        <v>1394</v>
      </c>
      <c r="AF38" s="204">
        <v>44187</v>
      </c>
      <c r="AG38" s="43">
        <v>159800.1</v>
      </c>
    </row>
    <row r="39" spans="1:41">
      <c r="A39" s="61" t="str">
        <f t="shared" si="0"/>
        <v>LONDRINA [ETAPA 01 - CONDOMINIO ARAÇARI]XXV-A18</v>
      </c>
      <c r="B39" s="114" t="s">
        <v>34</v>
      </c>
      <c r="C39" s="115" t="s">
        <v>538</v>
      </c>
      <c r="D39" s="116">
        <v>18</v>
      </c>
      <c r="E39" s="183">
        <v>257.62</v>
      </c>
      <c r="F39" s="201">
        <v>4738</v>
      </c>
      <c r="G39" s="41" t="s">
        <v>1258</v>
      </c>
      <c r="H39" s="208">
        <v>44046</v>
      </c>
      <c r="I39" s="259" t="str">
        <f t="shared" si="5"/>
        <v>LONDRINA [ETAPA 01 - CONDOMINIO ARAÇARI]8/2020</v>
      </c>
      <c r="J39" s="53" t="str">
        <f t="shared" si="4"/>
        <v>Distrato8/2020</v>
      </c>
      <c r="K39" s="43">
        <v>158132.89000000001</v>
      </c>
      <c r="L39" s="117" t="s">
        <v>570</v>
      </c>
      <c r="M39" s="188">
        <v>0</v>
      </c>
      <c r="N39" s="494" t="str">
        <f t="shared" si="1"/>
        <v>VENDA</v>
      </c>
      <c r="O39" s="491" t="str">
        <f t="shared" si="2"/>
        <v>LONDRINA [ETAPA 01 - CONDOMINIO ARAÇARI]VENDA</v>
      </c>
      <c r="P39" s="492" t="str">
        <f t="shared" si="3"/>
        <v>VENDADistratoLONDRINA [ETAPA 01 - CONDOMINIO ARAÇARI]</v>
      </c>
      <c r="Q39" s="485"/>
      <c r="R39" s="500" t="s">
        <v>900</v>
      </c>
      <c r="S39" s="501" t="s">
        <v>554</v>
      </c>
      <c r="T39" s="501" t="s">
        <v>553</v>
      </c>
      <c r="U39" s="399"/>
      <c r="V39" s="399"/>
      <c r="W39" s="398"/>
      <c r="X39" s="398"/>
      <c r="Y39" s="398"/>
      <c r="Z39" s="93" t="s">
        <v>34</v>
      </c>
      <c r="AA39" s="94" t="s">
        <v>507</v>
      </c>
      <c r="AB39" s="95">
        <v>33</v>
      </c>
      <c r="AC39" s="182">
        <v>338.47</v>
      </c>
      <c r="AD39" s="482"/>
      <c r="AE39" s="93" t="s">
        <v>191</v>
      </c>
      <c r="AF39" s="205">
        <v>44105</v>
      </c>
      <c r="AG39" s="96">
        <v>213072.4</v>
      </c>
    </row>
    <row r="40" spans="1:41">
      <c r="A40" s="61" t="str">
        <f t="shared" si="0"/>
        <v>LONDRINA [ETAPA 01 - CONDOMINIO ARAÇARI]XXV-A25</v>
      </c>
      <c r="B40" s="114" t="s">
        <v>34</v>
      </c>
      <c r="C40" s="115" t="s">
        <v>538</v>
      </c>
      <c r="D40" s="116">
        <v>25</v>
      </c>
      <c r="E40" s="183">
        <v>257.62</v>
      </c>
      <c r="F40" s="201"/>
      <c r="G40" s="41"/>
      <c r="H40" s="204"/>
      <c r="I40" s="259" t="str">
        <f t="shared" si="5"/>
        <v>LONDRINA [ETAPA 01 - CONDOMINIO ARAÇARI]1/1900</v>
      </c>
      <c r="J40" s="53" t="str">
        <f t="shared" si="4"/>
        <v>Distrato1/1900</v>
      </c>
      <c r="K40" s="43"/>
      <c r="L40" s="117" t="s">
        <v>570</v>
      </c>
      <c r="M40" s="334">
        <v>187235.38218000002</v>
      </c>
      <c r="N40" s="494" t="str">
        <f t="shared" si="1"/>
        <v>VGV</v>
      </c>
      <c r="O40" s="491" t="str">
        <f t="shared" si="2"/>
        <v>LONDRINA [ETAPA 01 - CONDOMINIO ARAÇARI]VGV</v>
      </c>
      <c r="P40" s="492" t="str">
        <f t="shared" si="3"/>
        <v>VGVDistratoLONDRINA [ETAPA 01 - CONDOMINIO ARAÇARI]</v>
      </c>
      <c r="Q40" s="485"/>
      <c r="R40" s="42" t="s">
        <v>34</v>
      </c>
      <c r="S40" s="51">
        <f t="shared" ref="S40:S47" si="16">COUNTIF($O$5:$O$474,CONCATENATE(R40,"VGV"))</f>
        <v>15</v>
      </c>
      <c r="T40" s="43">
        <f t="shared" ref="T40:T47" si="17">SUMIF($O$5:$O$474,CONCATENATE(R40,"VGV"),$M$5:$M$474)</f>
        <v>2541693.2081500003</v>
      </c>
      <c r="U40" s="401"/>
      <c r="V40" s="401"/>
      <c r="W40" s="401"/>
      <c r="X40" s="401"/>
      <c r="Y40" s="401"/>
      <c r="Z40" s="93" t="s">
        <v>34</v>
      </c>
      <c r="AA40" s="94" t="s">
        <v>508</v>
      </c>
      <c r="AB40" s="95">
        <v>9</v>
      </c>
      <c r="AC40" s="182">
        <v>256.14</v>
      </c>
      <c r="AD40" s="243">
        <v>5049</v>
      </c>
      <c r="AE40" s="93" t="s">
        <v>1478</v>
      </c>
      <c r="AF40" s="205">
        <v>44242</v>
      </c>
      <c r="AG40" s="96">
        <v>164500.1</v>
      </c>
    </row>
    <row r="41" spans="1:41" s="335" customFormat="1">
      <c r="A41" s="61" t="str">
        <f t="shared" si="0"/>
        <v>LONDRINA [ETAPA 01 - CONDOMINIO ARAÇARI]XXV-A26</v>
      </c>
      <c r="B41" s="114" t="s">
        <v>34</v>
      </c>
      <c r="C41" s="115" t="s">
        <v>538</v>
      </c>
      <c r="D41" s="116">
        <v>26</v>
      </c>
      <c r="E41" s="183">
        <v>257.62</v>
      </c>
      <c r="F41" s="201"/>
      <c r="G41" s="41"/>
      <c r="H41" s="204"/>
      <c r="I41" s="259" t="str">
        <f t="shared" si="5"/>
        <v>LONDRINA [ETAPA 01 - CONDOMINIO ARAÇARI]1/1900</v>
      </c>
      <c r="J41" s="53" t="str">
        <f t="shared" si="4"/>
        <v>Distrato1/1900</v>
      </c>
      <c r="K41" s="43"/>
      <c r="L41" s="117" t="s">
        <v>570</v>
      </c>
      <c r="M41" s="334">
        <v>187235.38218000002</v>
      </c>
      <c r="N41" s="494" t="str">
        <f t="shared" si="1"/>
        <v>VGV</v>
      </c>
      <c r="O41" s="491" t="str">
        <f t="shared" si="2"/>
        <v>LONDRINA [ETAPA 01 - CONDOMINIO ARAÇARI]VGV</v>
      </c>
      <c r="P41" s="492" t="str">
        <f t="shared" si="3"/>
        <v>VGVDistratoLONDRINA [ETAPA 01 - CONDOMINIO ARAÇARI]</v>
      </c>
      <c r="Q41" s="485"/>
      <c r="R41" s="42" t="s">
        <v>37</v>
      </c>
      <c r="S41" s="51">
        <f t="shared" si="16"/>
        <v>3</v>
      </c>
      <c r="T41" s="43">
        <f t="shared" si="17"/>
        <v>550724.36475000007</v>
      </c>
      <c r="U41" s="426">
        <f>SUM(T40:T41)</f>
        <v>3092417.5729000005</v>
      </c>
      <c r="V41" s="426">
        <f>U41/1000000</f>
        <v>3.0924175729000005</v>
      </c>
      <c r="W41" s="401"/>
      <c r="X41" s="401"/>
      <c r="Y41" s="401"/>
      <c r="Z41" s="114" t="s">
        <v>34</v>
      </c>
      <c r="AA41" s="115" t="s">
        <v>509</v>
      </c>
      <c r="AB41" s="73">
        <v>23</v>
      </c>
      <c r="AC41" s="315">
        <v>260</v>
      </c>
      <c r="AD41" s="166">
        <v>5095</v>
      </c>
      <c r="AE41" s="74" t="s">
        <v>1490</v>
      </c>
      <c r="AF41" s="40">
        <v>44256</v>
      </c>
      <c r="AG41" s="35">
        <v>177627.1</v>
      </c>
      <c r="AH41" s="5"/>
      <c r="AI41" s="5"/>
      <c r="AJ41" s="5"/>
      <c r="AK41" s="5"/>
      <c r="AL41" s="5"/>
      <c r="AM41" s="5"/>
      <c r="AN41" s="5"/>
      <c r="AO41" s="5"/>
    </row>
    <row r="42" spans="1:41" s="335" customFormat="1">
      <c r="A42" s="61" t="str">
        <f t="shared" si="0"/>
        <v>LONDRINA [ETAPA 01 - CONDOMINIO ARAÇARI]XXV-A27</v>
      </c>
      <c r="B42" s="114" t="s">
        <v>34</v>
      </c>
      <c r="C42" s="115" t="s">
        <v>538</v>
      </c>
      <c r="D42" s="116">
        <v>27</v>
      </c>
      <c r="E42" s="183">
        <v>257.62</v>
      </c>
      <c r="F42" s="201"/>
      <c r="G42" s="41"/>
      <c r="H42" s="204"/>
      <c r="I42" s="259" t="str">
        <f t="shared" si="5"/>
        <v>LONDRINA [ETAPA 01 - CONDOMINIO ARAÇARI]1/1900</v>
      </c>
      <c r="J42" s="53" t="str">
        <f t="shared" si="4"/>
        <v>Distrato1/1900</v>
      </c>
      <c r="K42" s="43"/>
      <c r="L42" s="117" t="s">
        <v>570</v>
      </c>
      <c r="M42" s="334">
        <v>102919.19</v>
      </c>
      <c r="N42" s="494" t="str">
        <f t="shared" si="1"/>
        <v>VGV</v>
      </c>
      <c r="O42" s="491" t="str">
        <f t="shared" si="2"/>
        <v>LONDRINA [ETAPA 01 - CONDOMINIO ARAÇARI]VGV</v>
      </c>
      <c r="P42" s="492" t="str">
        <f t="shared" si="3"/>
        <v>VGVDistratoLONDRINA [ETAPA 01 - CONDOMINIO ARAÇARI]</v>
      </c>
      <c r="R42" s="42" t="s">
        <v>35</v>
      </c>
      <c r="S42" s="51">
        <f t="shared" si="16"/>
        <v>14</v>
      </c>
      <c r="T42" s="43">
        <f t="shared" si="17"/>
        <v>2221812.6260000002</v>
      </c>
      <c r="U42" s="401"/>
      <c r="V42" s="401"/>
      <c r="W42" s="401"/>
      <c r="X42" s="401"/>
      <c r="Y42" s="401"/>
      <c r="Z42" s="114" t="s">
        <v>35</v>
      </c>
      <c r="AA42" s="330" t="s">
        <v>513</v>
      </c>
      <c r="AB42" s="116">
        <v>23</v>
      </c>
      <c r="AC42" s="183">
        <v>355.37</v>
      </c>
      <c r="AD42" s="243">
        <v>4926</v>
      </c>
      <c r="AE42" s="267" t="s">
        <v>1387</v>
      </c>
      <c r="AF42" s="208">
        <v>44176</v>
      </c>
      <c r="AG42" s="43">
        <v>235000</v>
      </c>
      <c r="AH42" s="5"/>
      <c r="AI42" s="5"/>
      <c r="AJ42" s="5"/>
      <c r="AK42" s="5"/>
      <c r="AL42" s="5"/>
      <c r="AM42" s="5"/>
      <c r="AN42" s="5"/>
      <c r="AO42" s="5"/>
    </row>
    <row r="43" spans="1:41">
      <c r="A43" s="61" t="str">
        <f t="shared" si="0"/>
        <v>LONDRINA [ETAPA 01 - CONDOMINIO ARAÇARI]XXV-A28</v>
      </c>
      <c r="B43" s="114" t="s">
        <v>34</v>
      </c>
      <c r="C43" s="115" t="s">
        <v>538</v>
      </c>
      <c r="D43" s="116">
        <v>28</v>
      </c>
      <c r="E43" s="183">
        <v>285.25</v>
      </c>
      <c r="F43" s="201"/>
      <c r="G43" s="41"/>
      <c r="H43" s="204"/>
      <c r="I43" s="259" t="str">
        <f t="shared" si="5"/>
        <v>LONDRINA [ETAPA 01 - CONDOMINIO ARAÇARI]1/1900</v>
      </c>
      <c r="J43" s="53" t="str">
        <f t="shared" si="4"/>
        <v>Distrato1/1900</v>
      </c>
      <c r="K43" s="43"/>
      <c r="L43" s="117" t="s">
        <v>570</v>
      </c>
      <c r="M43" s="334">
        <v>115298.05</v>
      </c>
      <c r="N43" s="494" t="str">
        <f t="shared" si="1"/>
        <v>VGV</v>
      </c>
      <c r="O43" s="491" t="str">
        <f t="shared" si="2"/>
        <v>LONDRINA [ETAPA 01 - CONDOMINIO ARAÇARI]VGV</v>
      </c>
      <c r="P43" s="492" t="str">
        <f t="shared" si="3"/>
        <v>VGVDistratoLONDRINA [ETAPA 01 - CONDOMINIO ARAÇARI]</v>
      </c>
      <c r="Q43" s="335"/>
      <c r="R43" s="42" t="s">
        <v>38</v>
      </c>
      <c r="S43" s="51">
        <f t="shared" si="16"/>
        <v>5</v>
      </c>
      <c r="T43" s="43">
        <f t="shared" si="17"/>
        <v>800000</v>
      </c>
      <c r="U43" s="426">
        <f>SUM(T42:T43)</f>
        <v>3021812.6260000002</v>
      </c>
      <c r="V43" s="426">
        <f>U43/1000000</f>
        <v>3.021812626</v>
      </c>
      <c r="W43" s="401"/>
      <c r="X43" s="401"/>
      <c r="Y43" s="401"/>
      <c r="Z43" s="114" t="s">
        <v>35</v>
      </c>
      <c r="AA43" s="42" t="s">
        <v>518</v>
      </c>
      <c r="AB43" s="45">
        <v>5</v>
      </c>
      <c r="AC43" s="64">
        <v>267.12</v>
      </c>
      <c r="AD43" s="243">
        <v>4845</v>
      </c>
      <c r="AE43" s="41" t="s">
        <v>1338</v>
      </c>
      <c r="AF43" s="204">
        <v>44132</v>
      </c>
      <c r="AG43" s="43">
        <v>153877.6</v>
      </c>
    </row>
    <row r="44" spans="1:41">
      <c r="A44" s="61" t="str">
        <f t="shared" si="0"/>
        <v>LONDRINA [ETAPA 02 - AREAS EXTERNAS G2 - G6]VIII12</v>
      </c>
      <c r="B44" s="41" t="s">
        <v>38</v>
      </c>
      <c r="C44" s="42" t="s">
        <v>533</v>
      </c>
      <c r="D44" s="45">
        <v>12</v>
      </c>
      <c r="E44" s="64">
        <v>251.25</v>
      </c>
      <c r="F44" s="201">
        <v>4782</v>
      </c>
      <c r="G44" s="41" t="s">
        <v>1322</v>
      </c>
      <c r="H44" s="208">
        <v>44085</v>
      </c>
      <c r="I44" s="259" t="str">
        <f t="shared" si="5"/>
        <v>LONDRINA [ETAPA 02 - AREAS EXTERNAS G2 - G6]9/2020</v>
      </c>
      <c r="J44" s="53" t="str">
        <f t="shared" si="4"/>
        <v>Distrato9/2020</v>
      </c>
      <c r="K44" s="43">
        <v>141000</v>
      </c>
      <c r="L44" s="43" t="s">
        <v>570</v>
      </c>
      <c r="M44" s="190">
        <v>0</v>
      </c>
      <c r="N44" s="494" t="str">
        <f t="shared" si="1"/>
        <v>VENDA</v>
      </c>
      <c r="O44" s="491" t="str">
        <f t="shared" si="2"/>
        <v>LONDRINA [ETAPA 02 - AREAS EXTERNAS G2 - G6]VENDA</v>
      </c>
      <c r="P44" s="492" t="str">
        <f t="shared" si="3"/>
        <v>VENDADistratoLONDRINA [ETAPA 02 - AREAS EXTERNAS G2 - G6]</v>
      </c>
      <c r="Q44" s="485"/>
      <c r="R44" s="42" t="s">
        <v>33</v>
      </c>
      <c r="S44" s="51">
        <f t="shared" si="16"/>
        <v>8</v>
      </c>
      <c r="T44" s="43">
        <f t="shared" si="17"/>
        <v>1386822.2201228475</v>
      </c>
      <c r="U44" s="401"/>
      <c r="V44" s="401"/>
      <c r="W44" s="401"/>
      <c r="X44" s="401"/>
      <c r="Y44" s="401"/>
      <c r="Z44" s="114" t="s">
        <v>35</v>
      </c>
      <c r="AA44" s="327" t="s">
        <v>518</v>
      </c>
      <c r="AB44" s="116">
        <v>17</v>
      </c>
      <c r="AC44" s="183">
        <v>260.95999999999998</v>
      </c>
      <c r="AD44" s="243">
        <v>4820</v>
      </c>
      <c r="AE44" s="267" t="s">
        <v>1352</v>
      </c>
      <c r="AF44" s="208">
        <v>44113</v>
      </c>
      <c r="AG44" s="43">
        <v>160182.42000000001</v>
      </c>
    </row>
    <row r="45" spans="1:41">
      <c r="A45" s="61" t="str">
        <f t="shared" si="0"/>
        <v>LONDRINA [ETAPA 02 - AREAS EXTERNAS G2 - G6]VIII14</v>
      </c>
      <c r="B45" s="41" t="s">
        <v>38</v>
      </c>
      <c r="C45" s="42" t="s">
        <v>533</v>
      </c>
      <c r="D45" s="45">
        <v>14</v>
      </c>
      <c r="E45" s="64">
        <v>251.25</v>
      </c>
      <c r="F45" s="201">
        <v>3885</v>
      </c>
      <c r="G45" s="41" t="s">
        <v>1162</v>
      </c>
      <c r="H45" s="204">
        <v>43955</v>
      </c>
      <c r="I45" s="259" t="str">
        <f t="shared" si="5"/>
        <v>LONDRINA [ETAPA 02 - AREAS EXTERNAS G2 - G6]5/2020</v>
      </c>
      <c r="J45" s="53" t="str">
        <f t="shared" si="4"/>
        <v>Distrato5/2020</v>
      </c>
      <c r="K45" s="43">
        <v>145700</v>
      </c>
      <c r="L45" s="43" t="s">
        <v>570</v>
      </c>
      <c r="M45" s="190">
        <v>0</v>
      </c>
      <c r="N45" s="494" t="str">
        <f t="shared" si="1"/>
        <v>VENDA</v>
      </c>
      <c r="O45" s="491" t="str">
        <f t="shared" si="2"/>
        <v>LONDRINA [ETAPA 02 - AREAS EXTERNAS G2 - G6]VENDA</v>
      </c>
      <c r="P45" s="492" t="str">
        <f t="shared" si="3"/>
        <v>VENDADistratoLONDRINA [ETAPA 02 - AREAS EXTERNAS G2 - G6]</v>
      </c>
      <c r="Q45" s="487"/>
      <c r="R45" s="42" t="s">
        <v>36</v>
      </c>
      <c r="S45" s="51">
        <f t="shared" si="16"/>
        <v>5</v>
      </c>
      <c r="T45" s="43">
        <f t="shared" si="17"/>
        <v>887766.48425196856</v>
      </c>
      <c r="U45" s="426">
        <f>SUM(T44:T45)</f>
        <v>2274588.7043748163</v>
      </c>
      <c r="V45" s="426">
        <f>U45/1000000</f>
        <v>2.2745887043748163</v>
      </c>
      <c r="W45" s="401"/>
      <c r="X45" s="401"/>
      <c r="Y45" s="401"/>
      <c r="Z45" s="114" t="s">
        <v>36</v>
      </c>
      <c r="AA45" s="42" t="s">
        <v>534</v>
      </c>
      <c r="AB45" s="45">
        <v>7</v>
      </c>
      <c r="AC45" s="64">
        <v>254</v>
      </c>
      <c r="AD45" s="243">
        <v>4866</v>
      </c>
      <c r="AE45" s="15" t="s">
        <v>1375</v>
      </c>
      <c r="AF45" s="204">
        <v>44153</v>
      </c>
      <c r="AG45" s="43">
        <v>149460</v>
      </c>
    </row>
    <row r="46" spans="1:41">
      <c r="A46" s="61" t="str">
        <f t="shared" si="0"/>
        <v>LONDRINA [ETAPA 02 - AREAS EXTERNAS G2 - G6]VIII26</v>
      </c>
      <c r="B46" s="41" t="s">
        <v>38</v>
      </c>
      <c r="C46" s="42" t="s">
        <v>533</v>
      </c>
      <c r="D46" s="45">
        <v>26</v>
      </c>
      <c r="E46" s="64">
        <v>251.25</v>
      </c>
      <c r="F46" s="201">
        <v>4552</v>
      </c>
      <c r="G46" s="41" t="s">
        <v>1242</v>
      </c>
      <c r="H46" s="204">
        <v>44034</v>
      </c>
      <c r="I46" s="259" t="str">
        <f t="shared" si="5"/>
        <v>LONDRINA [ETAPA 02 - AREAS EXTERNAS G2 - G6]7/2020</v>
      </c>
      <c r="J46" s="53" t="str">
        <f t="shared" si="4"/>
        <v>Distrato7/2020</v>
      </c>
      <c r="K46" s="43">
        <v>145700</v>
      </c>
      <c r="L46" s="43" t="s">
        <v>570</v>
      </c>
      <c r="M46" s="190">
        <v>0</v>
      </c>
      <c r="N46" s="494" t="str">
        <f t="shared" si="1"/>
        <v>VENDA</v>
      </c>
      <c r="O46" s="491" t="str">
        <f t="shared" si="2"/>
        <v>LONDRINA [ETAPA 02 - AREAS EXTERNAS G2 - G6]VENDA</v>
      </c>
      <c r="P46" s="492" t="str">
        <f t="shared" si="3"/>
        <v>VENDADistratoLONDRINA [ETAPA 02 - AREAS EXTERNAS G2 - G6]</v>
      </c>
      <c r="Q46" s="487"/>
      <c r="R46" s="42" t="s">
        <v>878</v>
      </c>
      <c r="S46" s="51">
        <f t="shared" si="16"/>
        <v>50</v>
      </c>
      <c r="T46" s="43">
        <f t="shared" si="17"/>
        <v>8526354.5915724989</v>
      </c>
      <c r="U46" s="401"/>
      <c r="V46" s="401"/>
      <c r="W46" s="401"/>
      <c r="X46" s="401"/>
      <c r="Y46" s="401"/>
      <c r="Z46" s="114" t="s">
        <v>36</v>
      </c>
      <c r="AA46" s="115" t="s">
        <v>534</v>
      </c>
      <c r="AB46" s="116">
        <v>23</v>
      </c>
      <c r="AC46" s="183">
        <v>254</v>
      </c>
      <c r="AD46" s="243">
        <v>5009</v>
      </c>
      <c r="AE46" s="114" t="s">
        <v>1486</v>
      </c>
      <c r="AF46" s="206">
        <v>44231</v>
      </c>
      <c r="AG46" s="117">
        <v>156509.6</v>
      </c>
    </row>
    <row r="47" spans="1:41">
      <c r="A47" s="61" t="str">
        <f t="shared" si="0"/>
        <v>LONDRINA [ETAPA 02 - AREAS EXTERNAS G2 - G6]VIII28</v>
      </c>
      <c r="B47" s="41" t="s">
        <v>38</v>
      </c>
      <c r="C47" s="42" t="s">
        <v>533</v>
      </c>
      <c r="D47" s="45">
        <v>28</v>
      </c>
      <c r="E47" s="64">
        <v>251.25</v>
      </c>
      <c r="F47" s="201"/>
      <c r="G47" s="41" t="s">
        <v>1117</v>
      </c>
      <c r="H47" s="204">
        <v>43803</v>
      </c>
      <c r="I47" s="259" t="str">
        <f t="shared" si="5"/>
        <v>LONDRINA [ETAPA 02 - AREAS EXTERNAS G2 - G6]12/2019</v>
      </c>
      <c r="J47" s="53" t="str">
        <f t="shared" si="4"/>
        <v>Distrato12/2019</v>
      </c>
      <c r="K47" s="43">
        <v>145700</v>
      </c>
      <c r="L47" s="43" t="s">
        <v>570</v>
      </c>
      <c r="M47" s="190"/>
      <c r="N47" s="494" t="str">
        <f t="shared" si="1"/>
        <v>VENDA</v>
      </c>
      <c r="O47" s="491" t="str">
        <f t="shared" si="2"/>
        <v>LONDRINA [ETAPA 02 - AREAS EXTERNAS G2 - G6]VENDA</v>
      </c>
      <c r="P47" s="492" t="str">
        <f t="shared" si="3"/>
        <v>VENDADistratoLONDRINA [ETAPA 02 - AREAS EXTERNAS G2 - G6]</v>
      </c>
      <c r="Q47" s="485"/>
      <c r="R47" s="42" t="s">
        <v>612</v>
      </c>
      <c r="S47" s="51">
        <f t="shared" si="16"/>
        <v>29</v>
      </c>
      <c r="T47" s="43">
        <f t="shared" si="17"/>
        <v>4200334.2223213995</v>
      </c>
      <c r="U47" s="426">
        <f>SUM(T46:T47)</f>
        <v>12726688.813893899</v>
      </c>
      <c r="V47" s="426">
        <f>U47/1000000</f>
        <v>12.726688813893899</v>
      </c>
      <c r="W47" s="401"/>
      <c r="X47" s="401"/>
      <c r="Y47" s="401"/>
      <c r="Z47" s="114" t="s">
        <v>36</v>
      </c>
      <c r="AA47" s="42" t="s">
        <v>534</v>
      </c>
      <c r="AB47" s="45">
        <v>24</v>
      </c>
      <c r="AC47" s="64">
        <v>254</v>
      </c>
      <c r="AD47" s="243">
        <v>5011</v>
      </c>
      <c r="AE47" s="41" t="s">
        <v>1487</v>
      </c>
      <c r="AF47" s="204">
        <v>44231</v>
      </c>
      <c r="AG47" s="43">
        <v>156933</v>
      </c>
    </row>
    <row r="48" spans="1:41">
      <c r="A48" s="61" t="str">
        <f t="shared" si="0"/>
        <v>LONDRINA [ETAPA 02 - AREAS EXTERNAS G2 - G6]XII19</v>
      </c>
      <c r="B48" s="114" t="s">
        <v>38</v>
      </c>
      <c r="C48" s="327" t="s">
        <v>510</v>
      </c>
      <c r="D48" s="116">
        <v>19</v>
      </c>
      <c r="E48" s="183">
        <v>252.75</v>
      </c>
      <c r="F48" s="201"/>
      <c r="G48" s="267"/>
      <c r="H48" s="208"/>
      <c r="I48" s="259" t="str">
        <f t="shared" si="5"/>
        <v>LONDRINA [ETAPA 02 - AREAS EXTERNAS G2 - G6]1/1900</v>
      </c>
      <c r="J48" s="53" t="str">
        <f t="shared" si="4"/>
        <v>Distrato1/1900</v>
      </c>
      <c r="K48" s="43"/>
      <c r="L48" s="43" t="s">
        <v>570</v>
      </c>
      <c r="M48" s="316">
        <v>160000</v>
      </c>
      <c r="N48" s="494" t="str">
        <f t="shared" si="1"/>
        <v>VGV</v>
      </c>
      <c r="O48" s="491" t="str">
        <f t="shared" si="2"/>
        <v>LONDRINA [ETAPA 02 - AREAS EXTERNAS G2 - G6]VGV</v>
      </c>
      <c r="P48" s="492" t="str">
        <f t="shared" si="3"/>
        <v>VGVDistratoLONDRINA [ETAPA 02 - AREAS EXTERNAS G2 - G6]</v>
      </c>
      <c r="Q48" s="485"/>
      <c r="R48" s="495" t="s">
        <v>571</v>
      </c>
      <c r="S48" s="502">
        <f>SUM(S40:S47)</f>
        <v>129</v>
      </c>
      <c r="T48" s="503">
        <f>SUM(T40:T47)</f>
        <v>21115507.717168715</v>
      </c>
      <c r="U48" s="401"/>
      <c r="V48" s="401"/>
      <c r="W48" s="401"/>
      <c r="X48" s="401"/>
      <c r="Y48" s="401"/>
      <c r="Z48" s="114" t="s">
        <v>36</v>
      </c>
      <c r="AA48" s="42" t="s">
        <v>521</v>
      </c>
      <c r="AB48" s="45">
        <v>25</v>
      </c>
      <c r="AC48" s="64">
        <v>250.75</v>
      </c>
      <c r="AD48" s="243">
        <v>4949</v>
      </c>
      <c r="AE48" s="41" t="s">
        <v>1395</v>
      </c>
      <c r="AF48" s="204">
        <v>44168</v>
      </c>
      <c r="AG48" s="43">
        <v>145700.1</v>
      </c>
    </row>
    <row r="49" spans="1:33">
      <c r="A49" s="61" t="str">
        <f t="shared" si="0"/>
        <v>LONDRINA [ETAPA 02 - AREAS EXTERNAS G2 - G6]XII21</v>
      </c>
      <c r="B49" s="114" t="s">
        <v>38</v>
      </c>
      <c r="C49" s="42" t="s">
        <v>510</v>
      </c>
      <c r="D49" s="45">
        <v>21</v>
      </c>
      <c r="E49" s="64">
        <v>252.75</v>
      </c>
      <c r="F49" s="201"/>
      <c r="G49" s="41"/>
      <c r="H49" s="208"/>
      <c r="I49" s="259" t="str">
        <f t="shared" si="5"/>
        <v>LONDRINA [ETAPA 02 - AREAS EXTERNAS G2 - G6]1/1900</v>
      </c>
      <c r="J49" s="53" t="str">
        <f t="shared" si="4"/>
        <v>Distrato1/1900</v>
      </c>
      <c r="K49" s="43"/>
      <c r="L49" s="43" t="s">
        <v>570</v>
      </c>
      <c r="M49" s="334">
        <v>160000</v>
      </c>
      <c r="N49" s="494" t="str">
        <f t="shared" si="1"/>
        <v>VGV</v>
      </c>
      <c r="O49" s="491" t="str">
        <f t="shared" si="2"/>
        <v>LONDRINA [ETAPA 02 - AREAS EXTERNAS G2 - G6]VGV</v>
      </c>
      <c r="P49" s="492" t="str">
        <f t="shared" si="3"/>
        <v>VGVDistratoLONDRINA [ETAPA 02 - AREAS EXTERNAS G2 - G6]</v>
      </c>
      <c r="Q49" s="485"/>
      <c r="R49" s="397"/>
      <c r="S49" s="402"/>
      <c r="T49" s="402"/>
      <c r="U49" s="402"/>
      <c r="V49" s="402"/>
      <c r="W49" s="402"/>
      <c r="X49" s="402"/>
      <c r="Y49" s="402"/>
      <c r="Z49" s="114" t="s">
        <v>36</v>
      </c>
      <c r="AA49" s="42" t="s">
        <v>522</v>
      </c>
      <c r="AB49" s="45">
        <v>15</v>
      </c>
      <c r="AC49" s="64">
        <v>257.75</v>
      </c>
      <c r="AD49" s="243">
        <v>4975</v>
      </c>
      <c r="AE49" s="41" t="s">
        <v>1422</v>
      </c>
      <c r="AF49" s="204">
        <v>44211</v>
      </c>
      <c r="AG49" s="43">
        <v>159249.19</v>
      </c>
    </row>
    <row r="50" spans="1:33">
      <c r="A50" s="61" t="str">
        <f t="shared" si="0"/>
        <v>LONDRINA [ETAPA 02 - AREAS EXTERNAS G2 - G6]XII29</v>
      </c>
      <c r="B50" s="329" t="s">
        <v>38</v>
      </c>
      <c r="C50" s="330" t="s">
        <v>510</v>
      </c>
      <c r="D50" s="331">
        <v>29</v>
      </c>
      <c r="E50" s="332">
        <v>252.75</v>
      </c>
      <c r="F50" s="201"/>
      <c r="G50" s="329"/>
      <c r="H50" s="333"/>
      <c r="I50" s="259" t="str">
        <f t="shared" si="5"/>
        <v>LONDRINA [ETAPA 02 - AREAS EXTERNAS G2 - G6]1/1900</v>
      </c>
      <c r="J50" s="53" t="str">
        <f t="shared" si="4"/>
        <v>Distrato1/1900</v>
      </c>
      <c r="K50" s="334"/>
      <c r="L50" s="334" t="s">
        <v>570</v>
      </c>
      <c r="M50" s="316">
        <v>160000</v>
      </c>
      <c r="N50" s="494" t="str">
        <f t="shared" si="1"/>
        <v>VGV</v>
      </c>
      <c r="O50" s="491" t="str">
        <f t="shared" si="2"/>
        <v>LONDRINA [ETAPA 02 - AREAS EXTERNAS G2 - G6]VGV</v>
      </c>
      <c r="P50" s="492" t="str">
        <f t="shared" si="3"/>
        <v>VGVDistratoLONDRINA [ETAPA 02 - AREAS EXTERNAS G2 - G6]</v>
      </c>
      <c r="Q50" s="485"/>
      <c r="R50" s="396"/>
      <c r="S50" s="396"/>
      <c r="T50" s="396"/>
      <c r="U50" s="396"/>
      <c r="V50" s="396"/>
      <c r="W50" s="396"/>
      <c r="X50" s="396"/>
      <c r="Y50" s="396"/>
      <c r="Z50" s="114" t="s">
        <v>33</v>
      </c>
      <c r="AA50" s="327" t="s">
        <v>523</v>
      </c>
      <c r="AB50" s="116">
        <v>8</v>
      </c>
      <c r="AC50" s="183">
        <v>277.37</v>
      </c>
      <c r="AD50" s="243">
        <v>4870</v>
      </c>
      <c r="AE50" s="267" t="s">
        <v>1373</v>
      </c>
      <c r="AF50" s="208">
        <v>44155</v>
      </c>
      <c r="AG50" s="43">
        <v>168260.04</v>
      </c>
    </row>
    <row r="51" spans="1:33">
      <c r="A51" s="61" t="str">
        <f t="shared" si="0"/>
        <v>LONDRINA [ETAPA 02 - AREAS EXTERNAS G2 - G6]XII30</v>
      </c>
      <c r="B51" s="329" t="s">
        <v>38</v>
      </c>
      <c r="C51" s="330" t="s">
        <v>510</v>
      </c>
      <c r="D51" s="331">
        <v>30</v>
      </c>
      <c r="E51" s="332">
        <v>252.75</v>
      </c>
      <c r="F51" s="201"/>
      <c r="G51" s="329" t="s">
        <v>1120</v>
      </c>
      <c r="H51" s="333">
        <v>43866</v>
      </c>
      <c r="I51" s="259" t="str">
        <f t="shared" si="5"/>
        <v>LONDRINA [ETAPA 02 - AREAS EXTERNAS G2 - G6]2/2020</v>
      </c>
      <c r="J51" s="53" t="str">
        <f t="shared" si="4"/>
        <v>Remanescente2/2020</v>
      </c>
      <c r="K51" s="334">
        <v>136300</v>
      </c>
      <c r="L51" s="334" t="s">
        <v>539</v>
      </c>
      <c r="M51" s="316">
        <v>0</v>
      </c>
      <c r="N51" s="494" t="str">
        <f t="shared" si="1"/>
        <v>VENDA</v>
      </c>
      <c r="O51" s="491" t="str">
        <f t="shared" si="2"/>
        <v>LONDRINA [ETAPA 02 - AREAS EXTERNAS G2 - G6]VENDA</v>
      </c>
      <c r="P51" s="492" t="str">
        <f t="shared" si="3"/>
        <v>VENDARemanescenteLONDRINA [ETAPA 02 - AREAS EXTERNAS G2 - G6]</v>
      </c>
      <c r="Q51" s="485"/>
      <c r="R51" s="396"/>
      <c r="S51" s="546"/>
      <c r="T51" s="546"/>
      <c r="U51" s="546"/>
      <c r="V51" s="546"/>
      <c r="Z51" s="114" t="s">
        <v>33</v>
      </c>
      <c r="AA51" s="42" t="s">
        <v>523</v>
      </c>
      <c r="AB51" s="45">
        <v>17</v>
      </c>
      <c r="AC51" s="64">
        <v>354.59</v>
      </c>
      <c r="AD51" s="201">
        <v>5120</v>
      </c>
      <c r="AE51" s="41" t="s">
        <v>1498</v>
      </c>
      <c r="AF51" s="204">
        <v>44260</v>
      </c>
      <c r="AG51" s="43">
        <v>208680</v>
      </c>
    </row>
    <row r="52" spans="1:33">
      <c r="A52" s="61" t="str">
        <f t="shared" si="0"/>
        <v>LONDRINA [ETAPA 02 - AREAS EXTERNAS G2 - G6]XV3</v>
      </c>
      <c r="B52" s="114" t="s">
        <v>38</v>
      </c>
      <c r="C52" s="115" t="s">
        <v>511</v>
      </c>
      <c r="D52" s="331">
        <v>3</v>
      </c>
      <c r="E52" s="332">
        <v>253</v>
      </c>
      <c r="F52" s="201"/>
      <c r="G52" s="329"/>
      <c r="H52" s="333"/>
      <c r="I52" s="259" t="str">
        <f t="shared" si="5"/>
        <v>LONDRINA [ETAPA 02 - AREAS EXTERNAS G2 - G6]1/1900</v>
      </c>
      <c r="J52" s="53" t="str">
        <f t="shared" si="4"/>
        <v>Distrato1/1900</v>
      </c>
      <c r="K52" s="334"/>
      <c r="L52" s="334" t="s">
        <v>570</v>
      </c>
      <c r="M52" s="316">
        <v>160000</v>
      </c>
      <c r="N52" s="494" t="str">
        <f t="shared" si="1"/>
        <v>VGV</v>
      </c>
      <c r="O52" s="491" t="str">
        <f t="shared" si="2"/>
        <v>LONDRINA [ETAPA 02 - AREAS EXTERNAS G2 - G6]VGV</v>
      </c>
      <c r="P52" s="492" t="str">
        <f t="shared" si="3"/>
        <v>VGVDistratoLONDRINA [ETAPA 02 - AREAS EXTERNAS G2 - G6]</v>
      </c>
      <c r="Q52" s="485"/>
      <c r="R52" s="397"/>
      <c r="S52" s="398"/>
      <c r="T52" s="399"/>
      <c r="U52" s="399"/>
      <c r="V52" s="399"/>
      <c r="Z52" s="114" t="s">
        <v>33</v>
      </c>
      <c r="AA52" s="42" t="s">
        <v>523</v>
      </c>
      <c r="AB52" s="45">
        <v>22</v>
      </c>
      <c r="AC52" s="64">
        <v>256.19</v>
      </c>
      <c r="AD52" s="243">
        <v>4978</v>
      </c>
      <c r="AE52" s="41" t="s">
        <v>1419</v>
      </c>
      <c r="AF52" s="204">
        <v>44211</v>
      </c>
      <c r="AG52" s="43">
        <v>165440</v>
      </c>
    </row>
    <row r="53" spans="1:33">
      <c r="A53" s="61" t="str">
        <f t="shared" si="0"/>
        <v>LONDRINA [ETAPA 02 - AREAS EXTERNAS G2 - G6]XV8</v>
      </c>
      <c r="B53" s="114" t="s">
        <v>38</v>
      </c>
      <c r="C53" s="115" t="s">
        <v>511</v>
      </c>
      <c r="D53" s="116">
        <v>8</v>
      </c>
      <c r="E53" s="183">
        <v>253</v>
      </c>
      <c r="F53" s="201"/>
      <c r="G53" s="114" t="s">
        <v>1142</v>
      </c>
      <c r="H53" s="206">
        <v>43864</v>
      </c>
      <c r="I53" s="259" t="str">
        <f t="shared" si="5"/>
        <v>LONDRINA [ETAPA 02 - AREAS EXTERNAS G2 - G6]2/2020</v>
      </c>
      <c r="J53" s="53" t="str">
        <f t="shared" si="4"/>
        <v>Distrato2/2020</v>
      </c>
      <c r="K53" s="117">
        <v>122200.2</v>
      </c>
      <c r="L53" s="117" t="s">
        <v>570</v>
      </c>
      <c r="M53" s="117">
        <v>0</v>
      </c>
      <c r="N53" s="494" t="str">
        <f t="shared" si="1"/>
        <v>VENDA</v>
      </c>
      <c r="O53" s="491" t="str">
        <f t="shared" si="2"/>
        <v>LONDRINA [ETAPA 02 - AREAS EXTERNAS G2 - G6]VENDA</v>
      </c>
      <c r="P53" s="492" t="str">
        <f t="shared" si="3"/>
        <v>VENDADistratoLONDRINA [ETAPA 02 - AREAS EXTERNAS G2 - G6]</v>
      </c>
      <c r="Q53" s="485"/>
      <c r="R53" s="400"/>
      <c r="S53" s="401"/>
      <c r="T53" s="401"/>
      <c r="U53" s="401"/>
      <c r="V53" s="401"/>
      <c r="Z53" s="114" t="s">
        <v>33</v>
      </c>
      <c r="AA53" s="42" t="s">
        <v>523</v>
      </c>
      <c r="AB53" s="45">
        <v>30</v>
      </c>
      <c r="AC53" s="64">
        <v>277.37</v>
      </c>
      <c r="AD53" s="243">
        <v>4844</v>
      </c>
      <c r="AE53" s="41" t="s">
        <v>1346</v>
      </c>
      <c r="AF53" s="204">
        <v>44127</v>
      </c>
      <c r="AG53" s="43">
        <v>165360.18</v>
      </c>
    </row>
    <row r="54" spans="1:33">
      <c r="A54" s="61" t="str">
        <f t="shared" si="0"/>
        <v>LONDRINA [ETAPA 02 - AREAS EXTERNAS G2 - G6]XV17</v>
      </c>
      <c r="B54" s="114" t="s">
        <v>38</v>
      </c>
      <c r="C54" s="115" t="s">
        <v>511</v>
      </c>
      <c r="D54" s="116">
        <v>17</v>
      </c>
      <c r="E54" s="183">
        <v>253</v>
      </c>
      <c r="F54" s="201"/>
      <c r="G54" s="114"/>
      <c r="H54" s="206"/>
      <c r="I54" s="259" t="str">
        <f t="shared" si="5"/>
        <v>LONDRINA [ETAPA 02 - AREAS EXTERNAS G2 - G6]1/1900</v>
      </c>
      <c r="J54" s="53" t="str">
        <f t="shared" si="4"/>
        <v>Distrato1/1900</v>
      </c>
      <c r="K54" s="117"/>
      <c r="L54" s="117" t="s">
        <v>570</v>
      </c>
      <c r="M54" s="334">
        <v>160000</v>
      </c>
      <c r="N54" s="494" t="str">
        <f t="shared" si="1"/>
        <v>VGV</v>
      </c>
      <c r="O54" s="491" t="str">
        <f t="shared" si="2"/>
        <v>LONDRINA [ETAPA 02 - AREAS EXTERNAS G2 - G6]VGV</v>
      </c>
      <c r="P54" s="492" t="str">
        <f t="shared" si="3"/>
        <v>VGVDistratoLONDRINA [ETAPA 02 - AREAS EXTERNAS G2 - G6]</v>
      </c>
      <c r="Q54" s="485"/>
      <c r="R54" s="400"/>
      <c r="S54" s="401"/>
      <c r="T54" s="401"/>
      <c r="U54" s="401"/>
      <c r="V54" s="401"/>
      <c r="Z54" s="114" t="s">
        <v>33</v>
      </c>
      <c r="AA54" s="16" t="s">
        <v>524</v>
      </c>
      <c r="AB54" s="46">
        <v>17</v>
      </c>
      <c r="AC54" s="64">
        <v>255.46</v>
      </c>
      <c r="AD54" s="243">
        <v>4863</v>
      </c>
      <c r="AE54" s="15" t="s">
        <v>1374</v>
      </c>
      <c r="AF54" s="207">
        <v>44138</v>
      </c>
      <c r="AG54" s="18">
        <v>129531.6</v>
      </c>
    </row>
    <row r="55" spans="1:33">
      <c r="A55" s="61" t="str">
        <f t="shared" si="0"/>
        <v>LONDRINA [ETAPA 02 - AREAS EXTERNAS G2 - G6]XVIII5</v>
      </c>
      <c r="B55" s="114" t="s">
        <v>38</v>
      </c>
      <c r="C55" s="115" t="s">
        <v>512</v>
      </c>
      <c r="D55" s="116">
        <v>5</v>
      </c>
      <c r="E55" s="183">
        <v>265.02</v>
      </c>
      <c r="F55" s="201">
        <v>3919</v>
      </c>
      <c r="G55" s="114" t="s">
        <v>1175</v>
      </c>
      <c r="H55" s="206">
        <v>43985</v>
      </c>
      <c r="I55" s="259" t="str">
        <f t="shared" si="5"/>
        <v>LONDRINA [ETAPA 02 - AREAS EXTERNAS G2 - G6]6/2020</v>
      </c>
      <c r="J55" s="53" t="str">
        <f t="shared" si="4"/>
        <v>Distrato6/2020</v>
      </c>
      <c r="K55" s="117">
        <v>93060.2</v>
      </c>
      <c r="L55" s="117" t="s">
        <v>570</v>
      </c>
      <c r="M55" s="117">
        <v>0</v>
      </c>
      <c r="N55" s="494" t="str">
        <f t="shared" si="1"/>
        <v>VENDA</v>
      </c>
      <c r="O55" s="491" t="str">
        <f t="shared" si="2"/>
        <v>LONDRINA [ETAPA 02 - AREAS EXTERNAS G2 - G6]VENDA</v>
      </c>
      <c r="P55" s="492" t="str">
        <f t="shared" si="3"/>
        <v>VENDADistratoLONDRINA [ETAPA 02 - AREAS EXTERNAS G2 - G6]</v>
      </c>
      <c r="Q55" s="485"/>
      <c r="R55" s="400"/>
      <c r="S55" s="401"/>
      <c r="T55" s="401"/>
      <c r="U55" s="401"/>
      <c r="V55" s="401"/>
      <c r="Z55" s="114" t="s">
        <v>33</v>
      </c>
      <c r="AA55" s="42" t="s">
        <v>535</v>
      </c>
      <c r="AB55" s="45">
        <v>9</v>
      </c>
      <c r="AC55" s="64">
        <v>376.97</v>
      </c>
      <c r="AD55" s="201">
        <v>5110</v>
      </c>
      <c r="AE55" s="41" t="s">
        <v>1499</v>
      </c>
      <c r="AF55" s="204">
        <v>44270</v>
      </c>
      <c r="AG55" s="43">
        <v>220249.24</v>
      </c>
    </row>
    <row r="56" spans="1:33">
      <c r="A56" s="61" t="str">
        <f t="shared" si="0"/>
        <v>LONDRINA [ETAPA 02 - AREAS EXTERNAS G2 - G6]XVIII6</v>
      </c>
      <c r="B56" s="41" t="s">
        <v>38</v>
      </c>
      <c r="C56" s="42" t="s">
        <v>512</v>
      </c>
      <c r="D56" s="45">
        <v>6</v>
      </c>
      <c r="E56" s="64">
        <v>262.08</v>
      </c>
      <c r="F56" s="201"/>
      <c r="G56" s="41" t="s">
        <v>914</v>
      </c>
      <c r="H56" s="204">
        <v>43469</v>
      </c>
      <c r="I56" s="259" t="str">
        <f t="shared" si="5"/>
        <v>LONDRINA [ETAPA 02 - AREAS EXTERNAS G2 - G6]1/2019</v>
      </c>
      <c r="J56" s="53" t="str">
        <f t="shared" si="4"/>
        <v>Remanescente1/2019</v>
      </c>
      <c r="K56" s="43">
        <v>79900.009999999995</v>
      </c>
      <c r="L56" s="43" t="s">
        <v>539</v>
      </c>
      <c r="M56" s="43">
        <v>0</v>
      </c>
      <c r="N56" s="494" t="str">
        <f t="shared" si="1"/>
        <v>VENDA</v>
      </c>
      <c r="O56" s="491" t="str">
        <f t="shared" si="2"/>
        <v>LONDRINA [ETAPA 02 - AREAS EXTERNAS G2 - G6]VENDA</v>
      </c>
      <c r="P56" s="492" t="str">
        <f t="shared" si="3"/>
        <v>VENDARemanescenteLONDRINA [ETAPA 02 - AREAS EXTERNAS G2 - G6]</v>
      </c>
      <c r="Q56" s="485"/>
      <c r="R56" s="400"/>
      <c r="S56" s="401"/>
      <c r="T56" s="401"/>
      <c r="U56" s="401"/>
      <c r="V56" s="401"/>
      <c r="Z56" s="114" t="s">
        <v>33</v>
      </c>
      <c r="AA56" s="42" t="s">
        <v>527</v>
      </c>
      <c r="AB56" s="45">
        <v>12</v>
      </c>
      <c r="AC56" s="64">
        <v>250.5</v>
      </c>
      <c r="AD56" s="243">
        <v>4914</v>
      </c>
      <c r="AE56" s="41" t="s">
        <v>271</v>
      </c>
      <c r="AF56" s="204">
        <v>44166</v>
      </c>
      <c r="AG56" s="43">
        <v>159799.6</v>
      </c>
    </row>
    <row r="57" spans="1:33">
      <c r="A57" s="61" t="str">
        <f t="shared" si="0"/>
        <v>LONDRINA [ETAPA 02 - AREAS EXTERNAS G2 - G6]XVIII7</v>
      </c>
      <c r="B57" s="41" t="s">
        <v>38</v>
      </c>
      <c r="C57" s="42" t="s">
        <v>512</v>
      </c>
      <c r="D57" s="45">
        <v>7</v>
      </c>
      <c r="E57" s="64">
        <v>257.86</v>
      </c>
      <c r="F57" s="201"/>
      <c r="G57" s="41" t="s">
        <v>859</v>
      </c>
      <c r="H57" s="204">
        <v>43418</v>
      </c>
      <c r="I57" s="259" t="str">
        <f t="shared" si="5"/>
        <v>LONDRINA [ETAPA 02 - AREAS EXTERNAS G2 - G6]11/2018</v>
      </c>
      <c r="J57" s="53" t="str">
        <f t="shared" si="4"/>
        <v>Remanescente11/2018</v>
      </c>
      <c r="K57" s="43">
        <v>79900</v>
      </c>
      <c r="L57" s="43" t="s">
        <v>539</v>
      </c>
      <c r="M57" s="43">
        <v>0</v>
      </c>
      <c r="N57" s="494" t="str">
        <f t="shared" si="1"/>
        <v>VENDA</v>
      </c>
      <c r="O57" s="491" t="str">
        <f t="shared" si="2"/>
        <v>LONDRINA [ETAPA 02 - AREAS EXTERNAS G2 - G6]VENDA</v>
      </c>
      <c r="P57" s="492" t="str">
        <f t="shared" si="3"/>
        <v>VENDARemanescenteLONDRINA [ETAPA 02 - AREAS EXTERNAS G2 - G6]</v>
      </c>
      <c r="Q57" s="485"/>
      <c r="R57" s="400"/>
      <c r="S57" s="401"/>
      <c r="T57" s="401"/>
      <c r="U57" s="401"/>
      <c r="V57" s="401"/>
      <c r="Z57" s="114" t="s">
        <v>33</v>
      </c>
      <c r="AA57" s="42" t="s">
        <v>527</v>
      </c>
      <c r="AB57" s="45">
        <v>13</v>
      </c>
      <c r="AC57" s="64">
        <v>250.5</v>
      </c>
      <c r="AD57" s="243">
        <v>4813</v>
      </c>
      <c r="AE57" s="41" t="s">
        <v>1347</v>
      </c>
      <c r="AF57" s="204">
        <v>44105</v>
      </c>
      <c r="AG57" s="43">
        <v>147580.4</v>
      </c>
    </row>
    <row r="58" spans="1:33">
      <c r="A58" s="61" t="str">
        <f t="shared" si="0"/>
        <v>LONDRINA [ETAPA 02 - AREAS EXTERNAS G2 - G6]XVIII8</v>
      </c>
      <c r="B58" s="41" t="s">
        <v>38</v>
      </c>
      <c r="C58" s="42" t="s">
        <v>512</v>
      </c>
      <c r="D58" s="45">
        <v>8</v>
      </c>
      <c r="E58" s="64">
        <v>253.77</v>
      </c>
      <c r="F58" s="201"/>
      <c r="G58" s="41" t="s">
        <v>908</v>
      </c>
      <c r="H58" s="204">
        <v>43451</v>
      </c>
      <c r="I58" s="259" t="str">
        <f t="shared" si="5"/>
        <v>LONDRINA [ETAPA 02 - AREAS EXTERNAS G2 - G6]12/2018</v>
      </c>
      <c r="J58" s="53" t="str">
        <f t="shared" si="4"/>
        <v>Remanescente12/2018</v>
      </c>
      <c r="K58" s="43">
        <v>79900</v>
      </c>
      <c r="L58" s="43" t="s">
        <v>539</v>
      </c>
      <c r="M58" s="43">
        <v>0</v>
      </c>
      <c r="N58" s="494" t="str">
        <f t="shared" si="1"/>
        <v>VENDA</v>
      </c>
      <c r="O58" s="491" t="str">
        <f t="shared" si="2"/>
        <v>LONDRINA [ETAPA 02 - AREAS EXTERNAS G2 - G6]VENDA</v>
      </c>
      <c r="P58" s="492" t="str">
        <f t="shared" si="3"/>
        <v>VENDARemanescenteLONDRINA [ETAPA 02 - AREAS EXTERNAS G2 - G6]</v>
      </c>
      <c r="Q58" s="485"/>
      <c r="R58" s="400"/>
      <c r="S58" s="401"/>
      <c r="T58" s="401"/>
      <c r="U58" s="401"/>
      <c r="V58" s="401"/>
      <c r="Z58" s="114" t="s">
        <v>33</v>
      </c>
      <c r="AA58" s="42" t="s">
        <v>527</v>
      </c>
      <c r="AB58" s="45">
        <v>23</v>
      </c>
      <c r="AC58" s="64">
        <v>351.9</v>
      </c>
      <c r="AD58" s="201">
        <v>5115</v>
      </c>
      <c r="AE58" s="41" t="s">
        <v>1500</v>
      </c>
      <c r="AF58" s="204">
        <v>44271</v>
      </c>
      <c r="AG58" s="43">
        <v>214320</v>
      </c>
    </row>
    <row r="59" spans="1:33">
      <c r="A59" s="61" t="str">
        <f t="shared" si="0"/>
        <v>LONDRINA [ETAPA 02 - AREAS EXTERNAS G2 - G6]XVIII9</v>
      </c>
      <c r="B59" s="41" t="s">
        <v>38</v>
      </c>
      <c r="C59" s="42" t="s">
        <v>512</v>
      </c>
      <c r="D59" s="45">
        <v>9</v>
      </c>
      <c r="E59" s="64">
        <v>255.81</v>
      </c>
      <c r="F59" s="201"/>
      <c r="G59" s="41" t="s">
        <v>875</v>
      </c>
      <c r="H59" s="204">
        <v>43437</v>
      </c>
      <c r="I59" s="259" t="str">
        <f t="shared" si="5"/>
        <v>LONDRINA [ETAPA 02 - AREAS EXTERNAS G2 - G6]12/2018</v>
      </c>
      <c r="J59" s="53" t="str">
        <f t="shared" si="4"/>
        <v>Remanescente12/2018</v>
      </c>
      <c r="K59" s="43">
        <v>79900</v>
      </c>
      <c r="L59" s="43" t="s">
        <v>539</v>
      </c>
      <c r="M59" s="43">
        <v>0</v>
      </c>
      <c r="N59" s="494" t="str">
        <f t="shared" si="1"/>
        <v>VENDA</v>
      </c>
      <c r="O59" s="491" t="str">
        <f t="shared" si="2"/>
        <v>LONDRINA [ETAPA 02 - AREAS EXTERNAS G2 - G6]VENDA</v>
      </c>
      <c r="P59" s="492" t="str">
        <f t="shared" si="3"/>
        <v>VENDARemanescenteLONDRINA [ETAPA 02 - AREAS EXTERNAS G2 - G6]</v>
      </c>
      <c r="Q59" s="485"/>
      <c r="R59" s="400"/>
      <c r="S59" s="401"/>
      <c r="T59" s="401"/>
      <c r="U59" s="401"/>
      <c r="V59" s="401"/>
      <c r="Z59" s="114" t="s">
        <v>33</v>
      </c>
      <c r="AA59" s="42" t="s">
        <v>527</v>
      </c>
      <c r="AB59" s="45">
        <v>38</v>
      </c>
      <c r="AC59" s="64">
        <v>256.75</v>
      </c>
      <c r="AD59" s="243">
        <v>5005</v>
      </c>
      <c r="AE59" s="41" t="s">
        <v>1410</v>
      </c>
      <c r="AF59" s="204">
        <v>44222</v>
      </c>
      <c r="AG59" s="43">
        <v>187698.4</v>
      </c>
    </row>
    <row r="60" spans="1:33">
      <c r="A60" s="61" t="str">
        <f t="shared" si="0"/>
        <v>LONDRINA [ETAPA 02 - AREAS EXTERNAS G2 - G6]XVIII10</v>
      </c>
      <c r="B60" s="41" t="s">
        <v>38</v>
      </c>
      <c r="C60" s="42" t="s">
        <v>512</v>
      </c>
      <c r="D60" s="45">
        <v>10</v>
      </c>
      <c r="E60" s="64">
        <v>255.81</v>
      </c>
      <c r="F60" s="201"/>
      <c r="G60" s="41" t="s">
        <v>860</v>
      </c>
      <c r="H60" s="204">
        <v>43405</v>
      </c>
      <c r="I60" s="259" t="str">
        <f t="shared" si="5"/>
        <v>LONDRINA [ETAPA 02 - AREAS EXTERNAS G2 - G6]11/2018</v>
      </c>
      <c r="J60" s="53" t="str">
        <f t="shared" si="4"/>
        <v>Remanescente11/2018</v>
      </c>
      <c r="K60" s="43">
        <v>79900.2</v>
      </c>
      <c r="L60" s="43" t="s">
        <v>539</v>
      </c>
      <c r="M60" s="43">
        <v>0</v>
      </c>
      <c r="N60" s="494" t="str">
        <f t="shared" si="1"/>
        <v>VENDA</v>
      </c>
      <c r="O60" s="491" t="str">
        <f t="shared" si="2"/>
        <v>LONDRINA [ETAPA 02 - AREAS EXTERNAS G2 - G6]VENDA</v>
      </c>
      <c r="P60" s="492" t="str">
        <f t="shared" si="3"/>
        <v>VENDARemanescenteLONDRINA [ETAPA 02 - AREAS EXTERNAS G2 - G6]</v>
      </c>
      <c r="Q60" s="485"/>
      <c r="R60" s="400"/>
      <c r="S60" s="401"/>
      <c r="T60" s="401"/>
      <c r="U60" s="401"/>
      <c r="V60" s="401"/>
      <c r="Z60" s="114" t="s">
        <v>33</v>
      </c>
      <c r="AA60" s="42" t="s">
        <v>527</v>
      </c>
      <c r="AB60" s="45">
        <v>39</v>
      </c>
      <c r="AC60" s="64">
        <v>256.75</v>
      </c>
      <c r="AD60" s="243">
        <v>4991</v>
      </c>
      <c r="AE60" s="41" t="s">
        <v>1420</v>
      </c>
      <c r="AF60" s="204">
        <v>44218</v>
      </c>
      <c r="AG60" s="43">
        <v>177660</v>
      </c>
    </row>
    <row r="61" spans="1:33">
      <c r="A61" s="61" t="str">
        <f t="shared" si="0"/>
        <v>LONDRINA [ETAPA 02 - AREAS EXTERNAS G2 - G6]XVIII11</v>
      </c>
      <c r="B61" s="41" t="s">
        <v>38</v>
      </c>
      <c r="C61" s="42" t="s">
        <v>512</v>
      </c>
      <c r="D61" s="45">
        <v>11</v>
      </c>
      <c r="E61" s="64">
        <v>255.81</v>
      </c>
      <c r="F61" s="243">
        <v>7179</v>
      </c>
      <c r="G61" s="41" t="s">
        <v>118</v>
      </c>
      <c r="H61" s="204">
        <v>43587</v>
      </c>
      <c r="I61" s="259" t="str">
        <f t="shared" si="5"/>
        <v>LONDRINA [ETAPA 02 - AREAS EXTERNAS G2 - G6]5/2019</v>
      </c>
      <c r="J61" s="53" t="str">
        <f t="shared" si="4"/>
        <v>Remanescente5/2019</v>
      </c>
      <c r="K61" s="43">
        <v>75200</v>
      </c>
      <c r="L61" s="43" t="s">
        <v>539</v>
      </c>
      <c r="M61" s="190">
        <v>0</v>
      </c>
      <c r="N61" s="494" t="str">
        <f t="shared" si="1"/>
        <v>VENDA</v>
      </c>
      <c r="O61" s="491" t="str">
        <f t="shared" si="2"/>
        <v>LONDRINA [ETAPA 02 - AREAS EXTERNAS G2 - G6]VENDA</v>
      </c>
      <c r="P61" s="492" t="str">
        <f t="shared" si="3"/>
        <v>VENDARemanescenteLONDRINA [ETAPA 02 - AREAS EXTERNAS G2 - G6]</v>
      </c>
      <c r="Q61" s="485"/>
      <c r="R61" s="397"/>
      <c r="S61" s="402"/>
      <c r="T61" s="402"/>
      <c r="U61" s="402"/>
      <c r="V61" s="402"/>
      <c r="Z61" s="114" t="s">
        <v>33</v>
      </c>
      <c r="AA61" s="42" t="s">
        <v>528</v>
      </c>
      <c r="AB61" s="45">
        <v>16</v>
      </c>
      <c r="AC61" s="64">
        <v>251.75</v>
      </c>
      <c r="AD61" s="243">
        <v>4884</v>
      </c>
      <c r="AE61" s="41" t="s">
        <v>1367</v>
      </c>
      <c r="AF61" s="204">
        <v>44158</v>
      </c>
      <c r="AG61" s="43">
        <v>158860</v>
      </c>
    </row>
    <row r="62" spans="1:33">
      <c r="A62" s="61" t="str">
        <f t="shared" si="0"/>
        <v>LONDRINA [ETAPA 02 - AREAS EXTERNAS G2 - G6]XVIII12</v>
      </c>
      <c r="B62" s="41" t="s">
        <v>38</v>
      </c>
      <c r="C62" s="42" t="s">
        <v>512</v>
      </c>
      <c r="D62" s="45">
        <v>12</v>
      </c>
      <c r="E62" s="64">
        <v>255.81</v>
      </c>
      <c r="F62" s="201"/>
      <c r="G62" s="41" t="s">
        <v>874</v>
      </c>
      <c r="H62" s="204">
        <v>43439</v>
      </c>
      <c r="I62" s="259" t="str">
        <f t="shared" si="5"/>
        <v>LONDRINA [ETAPA 02 - AREAS EXTERNAS G2 - G6]12/2018</v>
      </c>
      <c r="J62" s="53" t="str">
        <f t="shared" si="4"/>
        <v>Remanescente12/2018</v>
      </c>
      <c r="K62" s="43">
        <v>77080</v>
      </c>
      <c r="L62" s="43" t="s">
        <v>539</v>
      </c>
      <c r="M62" s="43">
        <v>0</v>
      </c>
      <c r="N62" s="494" t="str">
        <f t="shared" si="1"/>
        <v>VENDA</v>
      </c>
      <c r="O62" s="491" t="str">
        <f t="shared" si="2"/>
        <v>LONDRINA [ETAPA 02 - AREAS EXTERNAS G2 - G6]VENDA</v>
      </c>
      <c r="P62" s="492" t="str">
        <f t="shared" si="3"/>
        <v>VENDARemanescenteLONDRINA [ETAPA 02 - AREAS EXTERNAS G2 - G6]</v>
      </c>
      <c r="Q62" s="485"/>
      <c r="Z62" s="114" t="s">
        <v>33</v>
      </c>
      <c r="AA62" s="42" t="s">
        <v>529</v>
      </c>
      <c r="AB62" s="45">
        <v>1</v>
      </c>
      <c r="AC62" s="64">
        <v>353.3</v>
      </c>
      <c r="AD62" s="243">
        <v>4980</v>
      </c>
      <c r="AE62" s="41" t="s">
        <v>1421</v>
      </c>
      <c r="AF62" s="204">
        <v>44202</v>
      </c>
      <c r="AG62" s="43">
        <v>225600</v>
      </c>
    </row>
    <row r="63" spans="1:33">
      <c r="A63" s="61" t="str">
        <f t="shared" si="0"/>
        <v>LONDRINA [ETAPA 02 - AREAS EXTERNAS G2 - G6]XVIII13</v>
      </c>
      <c r="B63" s="41" t="s">
        <v>38</v>
      </c>
      <c r="C63" s="42" t="s">
        <v>512</v>
      </c>
      <c r="D63" s="45">
        <v>13</v>
      </c>
      <c r="E63" s="64">
        <v>255.81</v>
      </c>
      <c r="F63" s="243">
        <v>3886</v>
      </c>
      <c r="G63" s="41" t="s">
        <v>1163</v>
      </c>
      <c r="H63" s="204">
        <v>43958</v>
      </c>
      <c r="I63" s="259" t="str">
        <f t="shared" si="5"/>
        <v>LONDRINA [ETAPA 02 - AREAS EXTERNAS G2 - G6]5/2020</v>
      </c>
      <c r="J63" s="53" t="str">
        <f t="shared" si="4"/>
        <v>Distrato5/2020</v>
      </c>
      <c r="K63" s="43">
        <v>94000</v>
      </c>
      <c r="L63" s="43" t="s">
        <v>570</v>
      </c>
      <c r="M63" s="188">
        <v>0</v>
      </c>
      <c r="N63" s="494" t="str">
        <f t="shared" si="1"/>
        <v>VENDA</v>
      </c>
      <c r="O63" s="491" t="str">
        <f t="shared" si="2"/>
        <v>LONDRINA [ETAPA 02 - AREAS EXTERNAS G2 - G6]VENDA</v>
      </c>
      <c r="P63" s="492" t="str">
        <f t="shared" si="3"/>
        <v>VENDADistratoLONDRINA [ETAPA 02 - AREAS EXTERNAS G2 - G6]</v>
      </c>
      <c r="Q63" s="485"/>
      <c r="Z63" s="114" t="s">
        <v>33</v>
      </c>
      <c r="AA63" s="42" t="s">
        <v>529</v>
      </c>
      <c r="AB63" s="45">
        <v>11</v>
      </c>
      <c r="AC63" s="64">
        <v>257</v>
      </c>
      <c r="AD63" s="243">
        <v>4883</v>
      </c>
      <c r="AE63" s="41" t="s">
        <v>1366</v>
      </c>
      <c r="AF63" s="204">
        <v>44158</v>
      </c>
      <c r="AG63" s="43">
        <v>161748.62</v>
      </c>
    </row>
    <row r="64" spans="1:33">
      <c r="A64" s="61" t="str">
        <f t="shared" si="0"/>
        <v>LONDRINA [ETAPA 02 - AREAS EXTERNAS G2 - G6]XVIII14</v>
      </c>
      <c r="B64" s="41" t="s">
        <v>38</v>
      </c>
      <c r="C64" s="42" t="s">
        <v>512</v>
      </c>
      <c r="D64" s="45">
        <v>14</v>
      </c>
      <c r="E64" s="64">
        <v>255.81</v>
      </c>
      <c r="F64" s="201">
        <v>6882</v>
      </c>
      <c r="G64" s="41" t="s">
        <v>919</v>
      </c>
      <c r="H64" s="204">
        <v>43488</v>
      </c>
      <c r="I64" s="259" t="str">
        <f t="shared" si="5"/>
        <v>LONDRINA [ETAPA 02 - AREAS EXTERNAS G2 - G6]1/2019</v>
      </c>
      <c r="J64" s="53" t="str">
        <f t="shared" si="4"/>
        <v>Remanescente1/2019</v>
      </c>
      <c r="K64" s="43">
        <v>77080</v>
      </c>
      <c r="L64" s="43" t="s">
        <v>539</v>
      </c>
      <c r="M64" s="191">
        <v>0</v>
      </c>
      <c r="N64" s="494" t="str">
        <f t="shared" si="1"/>
        <v>VENDA</v>
      </c>
      <c r="O64" s="491" t="str">
        <f t="shared" si="2"/>
        <v>LONDRINA [ETAPA 02 - AREAS EXTERNAS G2 - G6]VENDA</v>
      </c>
      <c r="P64" s="492" t="str">
        <f t="shared" si="3"/>
        <v>VENDARemanescenteLONDRINA [ETAPA 02 - AREAS EXTERNAS G2 - G6]</v>
      </c>
      <c r="Q64" s="485"/>
      <c r="Z64" s="114" t="s">
        <v>33</v>
      </c>
      <c r="AA64" s="42" t="s">
        <v>529</v>
      </c>
      <c r="AB64" s="45">
        <v>12</v>
      </c>
      <c r="AC64" s="64">
        <v>257</v>
      </c>
      <c r="AD64" s="243">
        <v>4836</v>
      </c>
      <c r="AE64" s="41" t="s">
        <v>1348</v>
      </c>
      <c r="AF64" s="204">
        <v>44117</v>
      </c>
      <c r="AG64" s="43">
        <v>147579.96</v>
      </c>
    </row>
    <row r="65" spans="1:33">
      <c r="A65" s="61" t="str">
        <f t="shared" si="0"/>
        <v>LONDRINA [ETAPA 02 - AREAS EXTERNAS G2 - G6]XVIII15</v>
      </c>
      <c r="B65" s="41" t="s">
        <v>38</v>
      </c>
      <c r="C65" s="42" t="s">
        <v>512</v>
      </c>
      <c r="D65" s="45">
        <v>15</v>
      </c>
      <c r="E65" s="64">
        <v>255.81</v>
      </c>
      <c r="F65" s="201"/>
      <c r="G65" s="41" t="s">
        <v>861</v>
      </c>
      <c r="H65" s="204">
        <v>43414</v>
      </c>
      <c r="I65" s="259" t="str">
        <f t="shared" si="5"/>
        <v>LONDRINA [ETAPA 02 - AREAS EXTERNAS G2 - G6]11/2018</v>
      </c>
      <c r="J65" s="53" t="str">
        <f t="shared" si="4"/>
        <v>Remanescente11/2018</v>
      </c>
      <c r="K65" s="43">
        <v>79900</v>
      </c>
      <c r="L65" s="43" t="s">
        <v>539</v>
      </c>
      <c r="M65" s="43">
        <v>0</v>
      </c>
      <c r="N65" s="494" t="str">
        <f t="shared" si="1"/>
        <v>VENDA</v>
      </c>
      <c r="O65" s="491" t="str">
        <f t="shared" si="2"/>
        <v>LONDRINA [ETAPA 02 - AREAS EXTERNAS G2 - G6]VENDA</v>
      </c>
      <c r="P65" s="492" t="str">
        <f t="shared" si="3"/>
        <v>VENDARemanescenteLONDRINA [ETAPA 02 - AREAS EXTERNAS G2 - G6]</v>
      </c>
      <c r="Q65" s="485"/>
      <c r="Z65" s="114" t="s">
        <v>33</v>
      </c>
      <c r="AA65" s="42" t="s">
        <v>529</v>
      </c>
      <c r="AB65" s="45">
        <v>21</v>
      </c>
      <c r="AC65" s="64">
        <v>338.85</v>
      </c>
      <c r="AD65" s="243">
        <v>4909</v>
      </c>
      <c r="AE65" s="41" t="s">
        <v>1385</v>
      </c>
      <c r="AF65" s="204">
        <v>44166</v>
      </c>
      <c r="AG65" s="43">
        <v>222483.99</v>
      </c>
    </row>
    <row r="66" spans="1:33">
      <c r="A66" s="61" t="str">
        <f t="shared" si="0"/>
        <v>LONDRINA [ETAPA 02 - AREAS EXTERNAS G2 - G6]XVIII16</v>
      </c>
      <c r="B66" s="41" t="s">
        <v>38</v>
      </c>
      <c r="C66" s="42" t="s">
        <v>512</v>
      </c>
      <c r="D66" s="45">
        <v>16</v>
      </c>
      <c r="E66" s="64">
        <v>253.43</v>
      </c>
      <c r="F66" s="201"/>
      <c r="G66" s="41" t="s">
        <v>904</v>
      </c>
      <c r="H66" s="204">
        <v>43472</v>
      </c>
      <c r="I66" s="259" t="str">
        <f t="shared" si="5"/>
        <v>LONDRINA [ETAPA 02 - AREAS EXTERNAS G2 - G6]1/2019</v>
      </c>
      <c r="J66" s="53" t="str">
        <f t="shared" si="4"/>
        <v>Remanescente1/2019</v>
      </c>
      <c r="K66" s="43">
        <v>79900</v>
      </c>
      <c r="L66" s="43" t="s">
        <v>539</v>
      </c>
      <c r="M66" s="43">
        <v>0</v>
      </c>
      <c r="N66" s="494" t="str">
        <f t="shared" si="1"/>
        <v>VENDA</v>
      </c>
      <c r="O66" s="491" t="str">
        <f t="shared" si="2"/>
        <v>LONDRINA [ETAPA 02 - AREAS EXTERNAS G2 - G6]VENDA</v>
      </c>
      <c r="P66" s="492" t="str">
        <f t="shared" si="3"/>
        <v>VENDARemanescenteLONDRINA [ETAPA 02 - AREAS EXTERNAS G2 - G6]</v>
      </c>
      <c r="Q66" s="485"/>
      <c r="Z66" s="114" t="s">
        <v>33</v>
      </c>
      <c r="AA66" s="42" t="s">
        <v>530</v>
      </c>
      <c r="AB66" s="45">
        <v>12</v>
      </c>
      <c r="AC66" s="64">
        <v>255.5</v>
      </c>
      <c r="AD66" s="243">
        <v>4828</v>
      </c>
      <c r="AE66" s="41" t="s">
        <v>1349</v>
      </c>
      <c r="AF66" s="204">
        <v>44106</v>
      </c>
      <c r="AG66" s="43">
        <v>152279.9</v>
      </c>
    </row>
    <row r="67" spans="1:33">
      <c r="A67" s="61" t="str">
        <f t="shared" si="0"/>
        <v>LONDRINA [ETAPA 02 - AREAS EXTERNAS G2 - G6]XVIII17</v>
      </c>
      <c r="B67" s="41" t="s">
        <v>38</v>
      </c>
      <c r="C67" s="42" t="s">
        <v>512</v>
      </c>
      <c r="D67" s="45">
        <v>17</v>
      </c>
      <c r="E67" s="64">
        <v>258.2</v>
      </c>
      <c r="F67" s="201"/>
      <c r="G67" s="41" t="s">
        <v>1059</v>
      </c>
      <c r="H67" s="204">
        <v>43727</v>
      </c>
      <c r="I67" s="259" t="str">
        <f t="shared" si="5"/>
        <v>LONDRINA [ETAPA 02 - AREAS EXTERNAS G2 - G6]9/2019</v>
      </c>
      <c r="J67" s="53" t="str">
        <f t="shared" si="4"/>
        <v>Remanescente9/2019</v>
      </c>
      <c r="K67" s="43">
        <v>93060.9</v>
      </c>
      <c r="L67" s="43" t="s">
        <v>539</v>
      </c>
      <c r="M67" s="190">
        <v>0</v>
      </c>
      <c r="N67" s="494" t="str">
        <f t="shared" si="1"/>
        <v>VENDA</v>
      </c>
      <c r="O67" s="491" t="str">
        <f t="shared" si="2"/>
        <v>LONDRINA [ETAPA 02 - AREAS EXTERNAS G2 - G6]VENDA</v>
      </c>
      <c r="P67" s="492" t="str">
        <f t="shared" si="3"/>
        <v>VENDARemanescenteLONDRINA [ETAPA 02 - AREAS EXTERNAS G2 - G6]</v>
      </c>
      <c r="Q67" s="485"/>
      <c r="Z67" s="114" t="s">
        <v>33</v>
      </c>
      <c r="AA67" s="42" t="s">
        <v>531</v>
      </c>
      <c r="AB67" s="45">
        <v>6</v>
      </c>
      <c r="AC67" s="64">
        <v>253.75</v>
      </c>
      <c r="AD67" s="243">
        <v>4827</v>
      </c>
      <c r="AE67" s="41" t="s">
        <v>1350</v>
      </c>
      <c r="AF67" s="204">
        <v>44117</v>
      </c>
      <c r="AG67" s="43">
        <v>152280</v>
      </c>
    </row>
    <row r="68" spans="1:33">
      <c r="A68" s="61" t="str">
        <f t="shared" si="0"/>
        <v>LONDRINA [ETAPA 02 - AREAS EXTERNAS G2 - G6]XVIII18</v>
      </c>
      <c r="B68" s="41" t="s">
        <v>38</v>
      </c>
      <c r="C68" s="42" t="s">
        <v>512</v>
      </c>
      <c r="D68" s="45">
        <v>18</v>
      </c>
      <c r="E68" s="64">
        <v>261.55</v>
      </c>
      <c r="F68" s="243">
        <v>4172</v>
      </c>
      <c r="G68" s="41" t="s">
        <v>1176</v>
      </c>
      <c r="H68" s="204">
        <v>43990</v>
      </c>
      <c r="I68" s="259" t="str">
        <f t="shared" si="5"/>
        <v>LONDRINA [ETAPA 02 - AREAS EXTERNAS G2 - G6]6/2020</v>
      </c>
      <c r="J68" s="53" t="str">
        <f t="shared" si="4"/>
        <v>Remanescente6/2020</v>
      </c>
      <c r="K68" s="43">
        <v>93060</v>
      </c>
      <c r="L68" s="43" t="s">
        <v>539</v>
      </c>
      <c r="M68" s="190">
        <v>0</v>
      </c>
      <c r="N68" s="494" t="str">
        <f t="shared" si="1"/>
        <v>VENDA</v>
      </c>
      <c r="O68" s="491" t="str">
        <f t="shared" si="2"/>
        <v>LONDRINA [ETAPA 02 - AREAS EXTERNAS G2 - G6]VENDA</v>
      </c>
      <c r="P68" s="492" t="str">
        <f t="shared" si="3"/>
        <v>VENDARemanescenteLONDRINA [ETAPA 02 - AREAS EXTERNAS G2 - G6]</v>
      </c>
      <c r="Q68" s="485"/>
      <c r="Z68" s="114" t="s">
        <v>33</v>
      </c>
      <c r="AA68" s="42" t="s">
        <v>531</v>
      </c>
      <c r="AB68" s="116">
        <v>15</v>
      </c>
      <c r="AC68" s="64">
        <v>253.75</v>
      </c>
      <c r="AD68" s="378">
        <v>4807</v>
      </c>
      <c r="AE68" s="114" t="s">
        <v>1351</v>
      </c>
      <c r="AF68" s="206">
        <v>44113</v>
      </c>
      <c r="AG68" s="117">
        <v>137710</v>
      </c>
    </row>
    <row r="69" spans="1:33">
      <c r="A69" s="61" t="str">
        <f t="shared" ref="A69:A132" si="18">CONCATENATE(B69,C69,D69)</f>
        <v>LONDRINA [ETAPA 02 - AREAS EXTERNAS G2 - G6]XVIII19</v>
      </c>
      <c r="B69" s="41" t="s">
        <v>38</v>
      </c>
      <c r="C69" s="42" t="s">
        <v>512</v>
      </c>
      <c r="D69" s="45">
        <v>19</v>
      </c>
      <c r="E69" s="64">
        <v>265.79000000000002</v>
      </c>
      <c r="F69" s="201"/>
      <c r="G69" s="41" t="s">
        <v>862</v>
      </c>
      <c r="H69" s="204">
        <v>43405</v>
      </c>
      <c r="I69" s="259" t="str">
        <f t="shared" si="5"/>
        <v>LONDRINA [ETAPA 02 - AREAS EXTERNAS G2 - G6]11/2018</v>
      </c>
      <c r="J69" s="53" t="str">
        <f t="shared" si="4"/>
        <v>Remanescente11/2018</v>
      </c>
      <c r="K69" s="43">
        <v>79900</v>
      </c>
      <c r="L69" s="43" t="s">
        <v>539</v>
      </c>
      <c r="M69" s="43">
        <v>0</v>
      </c>
      <c r="N69" s="494" t="str">
        <f t="shared" ref="N69:N132" si="19">IF(M69&gt;0,"VGV","VENDA")</f>
        <v>VENDA</v>
      </c>
      <c r="O69" s="491" t="str">
        <f t="shared" si="2"/>
        <v>LONDRINA [ETAPA 02 - AREAS EXTERNAS G2 - G6]VENDA</v>
      </c>
      <c r="P69" s="492" t="str">
        <f t="shared" si="3"/>
        <v>VENDARemanescenteLONDRINA [ETAPA 02 - AREAS EXTERNAS G2 - G6]</v>
      </c>
      <c r="Q69" s="485"/>
      <c r="Z69" s="114" t="s">
        <v>33</v>
      </c>
      <c r="AA69" s="42" t="s">
        <v>531</v>
      </c>
      <c r="AB69" s="45">
        <v>17</v>
      </c>
      <c r="AC69" s="64">
        <v>253.75</v>
      </c>
      <c r="AD69" s="243">
        <v>4831</v>
      </c>
      <c r="AE69" s="41" t="s">
        <v>1342</v>
      </c>
      <c r="AF69" s="204">
        <v>44113</v>
      </c>
      <c r="AG69" s="43">
        <v>137710</v>
      </c>
    </row>
    <row r="70" spans="1:33">
      <c r="A70" s="61" t="str">
        <f t="shared" si="18"/>
        <v>LONDRINA [ETAPA 02 - AREAS EXTERNAS G2 - G6]XVIII20</v>
      </c>
      <c r="B70" s="41" t="s">
        <v>38</v>
      </c>
      <c r="C70" s="42" t="s">
        <v>512</v>
      </c>
      <c r="D70" s="45">
        <v>20</v>
      </c>
      <c r="E70" s="64">
        <v>265.44</v>
      </c>
      <c r="F70" s="201"/>
      <c r="G70" s="41" t="s">
        <v>863</v>
      </c>
      <c r="H70" s="204">
        <v>43409</v>
      </c>
      <c r="I70" s="259" t="str">
        <f t="shared" si="5"/>
        <v>LONDRINA [ETAPA 02 - AREAS EXTERNAS G2 - G6]11/2018</v>
      </c>
      <c r="J70" s="53" t="str">
        <f t="shared" si="4"/>
        <v>Remanescente11/2018</v>
      </c>
      <c r="K70" s="43">
        <v>79900</v>
      </c>
      <c r="L70" s="43" t="s">
        <v>539</v>
      </c>
      <c r="M70" s="43">
        <v>0</v>
      </c>
      <c r="N70" s="494" t="str">
        <f t="shared" si="19"/>
        <v>VENDA</v>
      </c>
      <c r="O70" s="491" t="str">
        <f t="shared" ref="O70:O133" si="20">CONCATENATE(B70,N70)</f>
        <v>LONDRINA [ETAPA 02 - AREAS EXTERNAS G2 - G6]VENDA</v>
      </c>
      <c r="P70" s="492" t="str">
        <f t="shared" ref="P70:P133" si="21">CONCATENATE(N70,L70,B70)</f>
        <v>VENDARemanescenteLONDRINA [ETAPA 02 - AREAS EXTERNAS G2 - G6]</v>
      </c>
      <c r="Q70" s="485"/>
      <c r="Z70" s="114" t="s">
        <v>33</v>
      </c>
      <c r="AA70" s="42" t="s">
        <v>531</v>
      </c>
      <c r="AB70" s="45">
        <v>41</v>
      </c>
      <c r="AC70" s="64">
        <v>255.25</v>
      </c>
      <c r="AD70" s="243">
        <v>4925</v>
      </c>
      <c r="AE70" s="41" t="s">
        <v>1386</v>
      </c>
      <c r="AF70" s="204">
        <v>44175</v>
      </c>
      <c r="AG70" s="43">
        <v>172959.2</v>
      </c>
    </row>
    <row r="71" spans="1:33">
      <c r="A71" s="61" t="str">
        <f t="shared" si="18"/>
        <v>LONDRINA [ETAPA 02 - AREAS EXTERNAS G2 - G6]XVIII21</v>
      </c>
      <c r="B71" s="41" t="s">
        <v>38</v>
      </c>
      <c r="C71" s="42" t="s">
        <v>512</v>
      </c>
      <c r="D71" s="45">
        <v>21</v>
      </c>
      <c r="E71" s="64">
        <v>265.44</v>
      </c>
      <c r="F71" s="201"/>
      <c r="G71" s="41" t="s">
        <v>119</v>
      </c>
      <c r="H71" s="204">
        <v>43405</v>
      </c>
      <c r="I71" s="259" t="str">
        <f t="shared" si="5"/>
        <v>LONDRINA [ETAPA 02 - AREAS EXTERNAS G2 - G6]11/2018</v>
      </c>
      <c r="J71" s="53" t="str">
        <f t="shared" ref="J71:J134" si="22">CONCATENATE(L71,MONTH(H71),"/",YEAR(H71))</f>
        <v>Remanescente11/2018</v>
      </c>
      <c r="K71" s="43">
        <v>81999.679999999993</v>
      </c>
      <c r="L71" s="43" t="s">
        <v>539</v>
      </c>
      <c r="M71" s="43">
        <v>0</v>
      </c>
      <c r="N71" s="494" t="str">
        <f t="shared" si="19"/>
        <v>VENDA</v>
      </c>
      <c r="O71" s="491" t="str">
        <f t="shared" si="20"/>
        <v>LONDRINA [ETAPA 02 - AREAS EXTERNAS G2 - G6]VENDA</v>
      </c>
      <c r="P71" s="492" t="str">
        <f t="shared" si="21"/>
        <v>VENDARemanescenteLONDRINA [ETAPA 02 - AREAS EXTERNAS G2 - G6]</v>
      </c>
      <c r="Q71" s="485"/>
      <c r="Z71" s="114" t="s">
        <v>612</v>
      </c>
      <c r="AA71" s="42" t="s">
        <v>613</v>
      </c>
      <c r="AB71" s="45">
        <v>23</v>
      </c>
      <c r="AC71" s="64">
        <v>252.5</v>
      </c>
      <c r="AD71" s="201">
        <v>5121</v>
      </c>
      <c r="AE71" s="41" t="s">
        <v>1501</v>
      </c>
      <c r="AF71" s="208">
        <v>44271</v>
      </c>
      <c r="AG71" s="43">
        <v>143726</v>
      </c>
    </row>
    <row r="72" spans="1:33">
      <c r="A72" s="61" t="str">
        <f t="shared" si="18"/>
        <v>LONDRINA [ETAPA 02 - AREAS EXTERNAS G2 - G6]XVIII22</v>
      </c>
      <c r="B72" s="41" t="s">
        <v>38</v>
      </c>
      <c r="C72" s="42" t="s">
        <v>512</v>
      </c>
      <c r="D72" s="45">
        <v>22</v>
      </c>
      <c r="E72" s="64">
        <v>265.44</v>
      </c>
      <c r="F72" s="201"/>
      <c r="G72" s="41" t="s">
        <v>123</v>
      </c>
      <c r="H72" s="204">
        <v>43405</v>
      </c>
      <c r="I72" s="259" t="str">
        <f t="shared" ref="I72:I135" si="23">CONCATENATE(B72,MONTH(H72),"/",YEAR(H72))</f>
        <v>LONDRINA [ETAPA 02 - AREAS EXTERNAS G2 - G6]11/2018</v>
      </c>
      <c r="J72" s="53" t="str">
        <f t="shared" si="22"/>
        <v>Remanescente11/2018</v>
      </c>
      <c r="K72" s="43">
        <v>82000</v>
      </c>
      <c r="L72" s="43" t="s">
        <v>539</v>
      </c>
      <c r="M72" s="43">
        <v>0</v>
      </c>
      <c r="N72" s="494" t="str">
        <f t="shared" si="19"/>
        <v>VENDA</v>
      </c>
      <c r="O72" s="491" t="str">
        <f t="shared" si="20"/>
        <v>LONDRINA [ETAPA 02 - AREAS EXTERNAS G2 - G6]VENDA</v>
      </c>
      <c r="P72" s="492" t="str">
        <f t="shared" si="21"/>
        <v>VENDARemanescenteLONDRINA [ETAPA 02 - AREAS EXTERNAS G2 - G6]</v>
      </c>
      <c r="Q72" s="485"/>
      <c r="Z72" s="114" t="s">
        <v>612</v>
      </c>
      <c r="AA72" s="42" t="s">
        <v>613</v>
      </c>
      <c r="AB72" s="45">
        <v>24</v>
      </c>
      <c r="AC72" s="64">
        <v>252.5</v>
      </c>
      <c r="AD72" s="201">
        <v>5126</v>
      </c>
      <c r="AE72" s="41" t="s">
        <v>1488</v>
      </c>
      <c r="AF72" s="208">
        <v>44280</v>
      </c>
      <c r="AG72" s="43">
        <v>143312.4</v>
      </c>
    </row>
    <row r="73" spans="1:33">
      <c r="A73" s="61" t="str">
        <f t="shared" si="18"/>
        <v>LONDRINA [ETAPA 02 - AREAS EXTERNAS G2 - G6]XVIII24</v>
      </c>
      <c r="B73" s="41" t="s">
        <v>38</v>
      </c>
      <c r="C73" s="42" t="s">
        <v>512</v>
      </c>
      <c r="D73" s="45">
        <v>24</v>
      </c>
      <c r="E73" s="64">
        <v>258.98</v>
      </c>
      <c r="F73" s="201"/>
      <c r="G73" s="41" t="s">
        <v>864</v>
      </c>
      <c r="H73" s="204">
        <v>43412</v>
      </c>
      <c r="I73" s="259" t="str">
        <f t="shared" si="23"/>
        <v>LONDRINA [ETAPA 02 - AREAS EXTERNAS G2 - G6]11/2018</v>
      </c>
      <c r="J73" s="53" t="str">
        <f t="shared" si="22"/>
        <v>Remanescente11/2018</v>
      </c>
      <c r="K73" s="43">
        <v>75200</v>
      </c>
      <c r="L73" s="43" t="s">
        <v>539</v>
      </c>
      <c r="M73" s="43">
        <v>0</v>
      </c>
      <c r="N73" s="494" t="str">
        <f t="shared" si="19"/>
        <v>VENDA</v>
      </c>
      <c r="O73" s="491" t="str">
        <f t="shared" si="20"/>
        <v>LONDRINA [ETAPA 02 - AREAS EXTERNAS G2 - G6]VENDA</v>
      </c>
      <c r="P73" s="492" t="str">
        <f t="shared" si="21"/>
        <v>VENDARemanescenteLONDRINA [ETAPA 02 - AREAS EXTERNAS G2 - G6]</v>
      </c>
      <c r="Q73" s="485"/>
      <c r="Z73" s="114" t="s">
        <v>612</v>
      </c>
      <c r="AA73" s="42" t="s">
        <v>613</v>
      </c>
      <c r="AB73" s="45">
        <v>25</v>
      </c>
      <c r="AC73" s="64">
        <v>252.5</v>
      </c>
      <c r="AD73" s="201">
        <v>5127</v>
      </c>
      <c r="AE73" s="41" t="s">
        <v>1488</v>
      </c>
      <c r="AF73" s="208">
        <v>44280</v>
      </c>
      <c r="AG73" s="43">
        <v>143312.4</v>
      </c>
    </row>
    <row r="74" spans="1:33">
      <c r="A74" s="61" t="str">
        <f t="shared" si="18"/>
        <v>LONDRINA [ETAPA 02 - AREAS EXTERNAS G2 - G6]XVIII-A2</v>
      </c>
      <c r="B74" s="41" t="s">
        <v>38</v>
      </c>
      <c r="C74" s="42" t="s">
        <v>536</v>
      </c>
      <c r="D74" s="45">
        <v>2</v>
      </c>
      <c r="E74" s="64">
        <v>253.59</v>
      </c>
      <c r="F74" s="201"/>
      <c r="G74" s="41" t="s">
        <v>122</v>
      </c>
      <c r="H74" s="204">
        <v>43426</v>
      </c>
      <c r="I74" s="259" t="str">
        <f t="shared" si="23"/>
        <v>LONDRINA [ETAPA 02 - AREAS EXTERNAS G2 - G6]11/2018</v>
      </c>
      <c r="J74" s="53" t="str">
        <f t="shared" si="22"/>
        <v>Remanescente11/2018</v>
      </c>
      <c r="K74" s="43">
        <v>79900.100000000006</v>
      </c>
      <c r="L74" s="43" t="s">
        <v>539</v>
      </c>
      <c r="M74" s="43">
        <v>0</v>
      </c>
      <c r="N74" s="494" t="str">
        <f t="shared" si="19"/>
        <v>VENDA</v>
      </c>
      <c r="O74" s="491" t="str">
        <f t="shared" si="20"/>
        <v>LONDRINA [ETAPA 02 - AREAS EXTERNAS G2 - G6]VENDA</v>
      </c>
      <c r="P74" s="492" t="str">
        <f t="shared" si="21"/>
        <v>VENDARemanescenteLONDRINA [ETAPA 02 - AREAS EXTERNAS G2 - G6]</v>
      </c>
      <c r="Q74" s="485"/>
      <c r="Z74" s="114" t="s">
        <v>612</v>
      </c>
      <c r="AA74" s="42" t="s">
        <v>613</v>
      </c>
      <c r="AB74" s="45">
        <v>26</v>
      </c>
      <c r="AC74" s="64">
        <v>252.5</v>
      </c>
      <c r="AD74" s="201">
        <v>5128</v>
      </c>
      <c r="AE74" s="41" t="s">
        <v>1488</v>
      </c>
      <c r="AF74" s="208">
        <v>44280</v>
      </c>
      <c r="AG74" s="43">
        <v>143312.4</v>
      </c>
    </row>
    <row r="75" spans="1:33">
      <c r="A75" s="61" t="str">
        <f t="shared" si="18"/>
        <v>LONDRINA [ETAPA 02 - AREAS EXTERNAS G2 - G6]XVIII-B2</v>
      </c>
      <c r="B75" s="41" t="s">
        <v>38</v>
      </c>
      <c r="C75" s="42" t="s">
        <v>537</v>
      </c>
      <c r="D75" s="45">
        <v>2</v>
      </c>
      <c r="E75" s="64">
        <v>256.08</v>
      </c>
      <c r="F75" s="201"/>
      <c r="G75" s="41" t="s">
        <v>638</v>
      </c>
      <c r="H75" s="204">
        <v>43255</v>
      </c>
      <c r="I75" s="259" t="str">
        <f t="shared" si="23"/>
        <v>LONDRINA [ETAPA 02 - AREAS EXTERNAS G2 - G6]6/2018</v>
      </c>
      <c r="J75" s="53" t="str">
        <f t="shared" si="22"/>
        <v>Remanescente6/2018</v>
      </c>
      <c r="K75" s="43">
        <v>103400</v>
      </c>
      <c r="L75" s="43" t="s">
        <v>539</v>
      </c>
      <c r="M75" s="43">
        <v>0</v>
      </c>
      <c r="N75" s="494" t="str">
        <f t="shared" si="19"/>
        <v>VENDA</v>
      </c>
      <c r="O75" s="491" t="str">
        <f t="shared" si="20"/>
        <v>LONDRINA [ETAPA 02 - AREAS EXTERNAS G2 - G6]VENDA</v>
      </c>
      <c r="P75" s="492" t="str">
        <f t="shared" si="21"/>
        <v>VENDARemanescenteLONDRINA [ETAPA 02 - AREAS EXTERNAS G2 - G6]</v>
      </c>
      <c r="Q75" s="485"/>
      <c r="Z75" s="114" t="s">
        <v>612</v>
      </c>
      <c r="AA75" s="42" t="s">
        <v>614</v>
      </c>
      <c r="AB75" s="45">
        <v>6</v>
      </c>
      <c r="AC75" s="64">
        <v>257</v>
      </c>
      <c r="AD75" s="201">
        <v>5116</v>
      </c>
      <c r="AE75" s="41" t="s">
        <v>1502</v>
      </c>
      <c r="AF75" s="208">
        <v>44256</v>
      </c>
      <c r="AG75" s="43">
        <v>131599.9</v>
      </c>
    </row>
    <row r="76" spans="1:33">
      <c r="A76" s="61" t="str">
        <f t="shared" si="18"/>
        <v>LONDRINA [ETAPA 02 - CONDOMINIO TANGARA]XXIX14</v>
      </c>
      <c r="B76" s="114" t="s">
        <v>35</v>
      </c>
      <c r="C76" s="115" t="s">
        <v>513</v>
      </c>
      <c r="D76" s="116">
        <v>14</v>
      </c>
      <c r="E76" s="183">
        <v>257.86</v>
      </c>
      <c r="F76" s="201"/>
      <c r="G76" s="114" t="s">
        <v>808</v>
      </c>
      <c r="H76" s="206">
        <v>43344</v>
      </c>
      <c r="I76" s="259" t="str">
        <f t="shared" si="23"/>
        <v>LONDRINA [ETAPA 02 - CONDOMINIO TANGARA]9/2018</v>
      </c>
      <c r="J76" s="53" t="str">
        <f t="shared" si="22"/>
        <v>Distrato9/2018</v>
      </c>
      <c r="K76" s="117">
        <v>159354.03</v>
      </c>
      <c r="L76" s="117" t="s">
        <v>570</v>
      </c>
      <c r="M76" s="117">
        <v>0</v>
      </c>
      <c r="N76" s="494" t="str">
        <f t="shared" si="19"/>
        <v>VENDA</v>
      </c>
      <c r="O76" s="491" t="str">
        <f t="shared" si="20"/>
        <v>LONDRINA [ETAPA 02 - CONDOMINIO TANGARA]VENDA</v>
      </c>
      <c r="P76" s="492" t="str">
        <f t="shared" si="21"/>
        <v>VENDADistratoLONDRINA [ETAPA 02 - CONDOMINIO TANGARA]</v>
      </c>
      <c r="Q76" s="485"/>
      <c r="Z76" s="114" t="s">
        <v>612</v>
      </c>
      <c r="AA76" s="42" t="s">
        <v>614</v>
      </c>
      <c r="AB76" s="45">
        <v>7</v>
      </c>
      <c r="AC76" s="64">
        <v>257</v>
      </c>
      <c r="AD76" s="201">
        <v>5118</v>
      </c>
      <c r="AE76" s="41" t="s">
        <v>1502</v>
      </c>
      <c r="AF76" s="208">
        <v>44256</v>
      </c>
      <c r="AG76" s="43">
        <v>131599.9</v>
      </c>
    </row>
    <row r="77" spans="1:33">
      <c r="A77" s="61" t="str">
        <f t="shared" si="18"/>
        <v>LONDRINA [ETAPA 02 - CONDOMINIO TANGARA]XXIX23</v>
      </c>
      <c r="B77" s="114" t="s">
        <v>35</v>
      </c>
      <c r="C77" s="330" t="s">
        <v>513</v>
      </c>
      <c r="D77" s="116">
        <v>23</v>
      </c>
      <c r="E77" s="183">
        <v>355.37</v>
      </c>
      <c r="F77" s="243">
        <v>4926</v>
      </c>
      <c r="G77" s="267" t="s">
        <v>1387</v>
      </c>
      <c r="H77" s="208">
        <v>44176</v>
      </c>
      <c r="I77" s="259" t="str">
        <f t="shared" si="23"/>
        <v>LONDRINA [ETAPA 02 - CONDOMINIO TANGARA]12/2020</v>
      </c>
      <c r="J77" s="53" t="str">
        <f t="shared" si="22"/>
        <v>Distrato12/2020</v>
      </c>
      <c r="K77" s="43">
        <v>235000</v>
      </c>
      <c r="L77" s="43" t="s">
        <v>570</v>
      </c>
      <c r="M77" s="43">
        <v>0</v>
      </c>
      <c r="N77" s="494" t="str">
        <f t="shared" si="19"/>
        <v>VENDA</v>
      </c>
      <c r="O77" s="491" t="str">
        <f t="shared" si="20"/>
        <v>LONDRINA [ETAPA 02 - CONDOMINIO TANGARA]VENDA</v>
      </c>
      <c r="P77" s="492" t="str">
        <f t="shared" si="21"/>
        <v>VENDADistratoLONDRINA [ETAPA 02 - CONDOMINIO TANGARA]</v>
      </c>
      <c r="Q77" s="485"/>
      <c r="Z77" s="114" t="s">
        <v>612</v>
      </c>
      <c r="AA77" s="42" t="s">
        <v>614</v>
      </c>
      <c r="AB77" s="45">
        <v>9</v>
      </c>
      <c r="AC77" s="64">
        <v>257</v>
      </c>
      <c r="AD77" s="201">
        <v>5108</v>
      </c>
      <c r="AE77" s="41" t="s">
        <v>1503</v>
      </c>
      <c r="AF77" s="208">
        <v>44258</v>
      </c>
      <c r="AG77" s="43">
        <v>143312.4</v>
      </c>
    </row>
    <row r="78" spans="1:33">
      <c r="A78" s="61" t="str">
        <f t="shared" si="18"/>
        <v>LONDRINA [ETAPA 02 - CONDOMINIO TANGARA]XXIX44</v>
      </c>
      <c r="B78" s="114" t="s">
        <v>35</v>
      </c>
      <c r="C78" s="115" t="s">
        <v>513</v>
      </c>
      <c r="D78" s="116">
        <v>44</v>
      </c>
      <c r="E78" s="183">
        <v>258.7</v>
      </c>
      <c r="F78" s="201"/>
      <c r="G78" s="114"/>
      <c r="H78" s="206"/>
      <c r="I78" s="259" t="str">
        <f t="shared" si="23"/>
        <v>LONDRINA [ETAPA 02 - CONDOMINIO TANGARA]1/1900</v>
      </c>
      <c r="J78" s="53" t="str">
        <f t="shared" si="22"/>
        <v>Distrato1/1900</v>
      </c>
      <c r="K78" s="117"/>
      <c r="L78" s="117" t="s">
        <v>570</v>
      </c>
      <c r="M78" s="316">
        <v>172000</v>
      </c>
      <c r="N78" s="494" t="str">
        <f t="shared" si="19"/>
        <v>VGV</v>
      </c>
      <c r="O78" s="491" t="str">
        <f t="shared" si="20"/>
        <v>LONDRINA [ETAPA 02 - CONDOMINIO TANGARA]VGV</v>
      </c>
      <c r="P78" s="492" t="str">
        <f t="shared" si="21"/>
        <v>VGVDistratoLONDRINA [ETAPA 02 - CONDOMINIO TANGARA]</v>
      </c>
      <c r="Q78" s="485"/>
      <c r="Z78" s="114" t="s">
        <v>612</v>
      </c>
      <c r="AA78" s="42" t="s">
        <v>614</v>
      </c>
      <c r="AB78" s="45">
        <v>13</v>
      </c>
      <c r="AC78" s="64">
        <v>257</v>
      </c>
      <c r="AD78" s="243">
        <v>4812</v>
      </c>
      <c r="AE78" s="41" t="s">
        <v>1331</v>
      </c>
      <c r="AF78" s="208">
        <v>44111</v>
      </c>
      <c r="AG78" s="43">
        <v>112800</v>
      </c>
    </row>
    <row r="79" spans="1:33">
      <c r="A79" s="61" t="str">
        <f t="shared" si="18"/>
        <v>LONDRINA [ETAPA 02 - CONDOMINIO TANGARA]XXIX45</v>
      </c>
      <c r="B79" s="114" t="s">
        <v>35</v>
      </c>
      <c r="C79" s="94" t="s">
        <v>513</v>
      </c>
      <c r="D79" s="95">
        <v>45</v>
      </c>
      <c r="E79" s="182">
        <v>258.7</v>
      </c>
      <c r="F79" s="482"/>
      <c r="G79" s="93" t="s">
        <v>950</v>
      </c>
      <c r="H79" s="205">
        <v>43560</v>
      </c>
      <c r="I79" s="259" t="str">
        <f t="shared" si="23"/>
        <v>LONDRINA [ETAPA 02 - CONDOMINIO TANGARA]4/2019</v>
      </c>
      <c r="J79" s="53" t="str">
        <f t="shared" si="22"/>
        <v>Remanescente4/2019</v>
      </c>
      <c r="K79" s="96">
        <v>140999.9</v>
      </c>
      <c r="L79" s="96" t="s">
        <v>539</v>
      </c>
      <c r="M79" s="189">
        <v>0</v>
      </c>
      <c r="N79" s="494" t="str">
        <f t="shared" si="19"/>
        <v>VENDA</v>
      </c>
      <c r="O79" s="491" t="str">
        <f t="shared" si="20"/>
        <v>LONDRINA [ETAPA 02 - CONDOMINIO TANGARA]VENDA</v>
      </c>
      <c r="P79" s="492" t="str">
        <f t="shared" si="21"/>
        <v>VENDARemanescenteLONDRINA [ETAPA 02 - CONDOMINIO TANGARA]</v>
      </c>
      <c r="Q79" s="485"/>
      <c r="Z79" s="114" t="s">
        <v>612</v>
      </c>
      <c r="AA79" s="42" t="s">
        <v>615</v>
      </c>
      <c r="AB79" s="45">
        <v>4</v>
      </c>
      <c r="AC79" s="64">
        <v>265.01</v>
      </c>
      <c r="AD79" s="201">
        <v>5093</v>
      </c>
      <c r="AE79" s="41" t="s">
        <v>1504</v>
      </c>
      <c r="AF79" s="208">
        <v>44256</v>
      </c>
      <c r="AG79" s="43">
        <v>117453</v>
      </c>
    </row>
    <row r="80" spans="1:33">
      <c r="A80" s="61" t="str">
        <f t="shared" si="18"/>
        <v>LONDRINA [ETAPA 02 - CONDOMINIO TANGARA]XXVI3</v>
      </c>
      <c r="B80" s="114" t="s">
        <v>35</v>
      </c>
      <c r="C80" s="115" t="s">
        <v>514</v>
      </c>
      <c r="D80" s="166">
        <v>3</v>
      </c>
      <c r="E80" s="184">
        <v>264.27</v>
      </c>
      <c r="F80" s="243">
        <v>7149</v>
      </c>
      <c r="G80" s="114" t="s">
        <v>1119</v>
      </c>
      <c r="H80" s="206">
        <v>43857</v>
      </c>
      <c r="I80" s="259" t="str">
        <f t="shared" si="23"/>
        <v>LONDRINA [ETAPA 02 - CONDOMINIO TANGARA]1/2020</v>
      </c>
      <c r="J80" s="53" t="str">
        <f t="shared" si="22"/>
        <v>Distrato1/2020</v>
      </c>
      <c r="K80" s="117">
        <v>145992.79</v>
      </c>
      <c r="L80" s="117" t="s">
        <v>570</v>
      </c>
      <c r="M80" s="188">
        <v>0</v>
      </c>
      <c r="N80" s="494" t="str">
        <f t="shared" si="19"/>
        <v>VENDA</v>
      </c>
      <c r="O80" s="491" t="str">
        <f t="shared" si="20"/>
        <v>LONDRINA [ETAPA 02 - CONDOMINIO TANGARA]VENDA</v>
      </c>
      <c r="P80" s="492" t="str">
        <f t="shared" si="21"/>
        <v>VENDADistratoLONDRINA [ETAPA 02 - CONDOMINIO TANGARA]</v>
      </c>
      <c r="Q80" s="485"/>
      <c r="Z80" s="114" t="s">
        <v>612</v>
      </c>
      <c r="AA80" s="42" t="s">
        <v>615</v>
      </c>
      <c r="AB80" s="45">
        <v>14</v>
      </c>
      <c r="AC80" s="64">
        <v>264.81</v>
      </c>
      <c r="AD80" s="243">
        <v>5050</v>
      </c>
      <c r="AE80" s="41" t="s">
        <v>1485</v>
      </c>
      <c r="AF80" s="208">
        <v>44249</v>
      </c>
      <c r="AG80" s="43">
        <v>103635</v>
      </c>
    </row>
    <row r="81" spans="1:33">
      <c r="A81" s="61" t="str">
        <f t="shared" si="18"/>
        <v>LONDRINA [ETAPA 02 - CONDOMINIO TANGARA]XXVI4</v>
      </c>
      <c r="B81" s="114" t="s">
        <v>35</v>
      </c>
      <c r="C81" s="327" t="s">
        <v>514</v>
      </c>
      <c r="D81" s="116">
        <v>4</v>
      </c>
      <c r="E81" s="183">
        <v>284.83999999999997</v>
      </c>
      <c r="F81" s="201"/>
      <c r="G81" s="267"/>
      <c r="H81" s="208"/>
      <c r="I81" s="259" t="str">
        <f t="shared" si="23"/>
        <v>LONDRINA [ETAPA 02 - CONDOMINIO TANGARA]1/1900</v>
      </c>
      <c r="J81" s="53" t="str">
        <f t="shared" si="22"/>
        <v>Distrato1/1900</v>
      </c>
      <c r="K81" s="43"/>
      <c r="L81" s="43" t="s">
        <v>570</v>
      </c>
      <c r="M81" s="334">
        <v>170334.31999999998</v>
      </c>
      <c r="N81" s="494" t="str">
        <f t="shared" si="19"/>
        <v>VGV</v>
      </c>
      <c r="O81" s="491" t="str">
        <f t="shared" si="20"/>
        <v>LONDRINA [ETAPA 02 - CONDOMINIO TANGARA]VGV</v>
      </c>
      <c r="P81" s="492" t="str">
        <f t="shared" si="21"/>
        <v>VGVDistratoLONDRINA [ETAPA 02 - CONDOMINIO TANGARA]</v>
      </c>
      <c r="Q81" s="485"/>
      <c r="Z81" s="114" t="s">
        <v>878</v>
      </c>
      <c r="AA81" s="42" t="s">
        <v>621</v>
      </c>
      <c r="AB81" s="45">
        <v>1</v>
      </c>
      <c r="AC81" s="64">
        <v>382.45</v>
      </c>
      <c r="AD81" s="243">
        <v>4973</v>
      </c>
      <c r="AE81" s="41" t="s">
        <v>1411</v>
      </c>
      <c r="AF81" s="208">
        <v>44202</v>
      </c>
      <c r="AG81" s="43">
        <v>183300</v>
      </c>
    </row>
    <row r="82" spans="1:33">
      <c r="A82" s="61" t="str">
        <f t="shared" si="18"/>
        <v>LONDRINA [ETAPA 02 - CONDOMINIO TANGARA]XXVI9</v>
      </c>
      <c r="B82" s="114" t="s">
        <v>35</v>
      </c>
      <c r="C82" s="115" t="s">
        <v>514</v>
      </c>
      <c r="D82" s="166">
        <v>9</v>
      </c>
      <c r="E82" s="184">
        <v>262.81</v>
      </c>
      <c r="F82" s="201"/>
      <c r="G82" s="114" t="s">
        <v>1114</v>
      </c>
      <c r="H82" s="206">
        <v>43803</v>
      </c>
      <c r="I82" s="259" t="str">
        <f t="shared" si="23"/>
        <v>LONDRINA [ETAPA 02 - CONDOMINIO TANGARA]12/2019</v>
      </c>
      <c r="J82" s="53" t="str">
        <f t="shared" si="22"/>
        <v>Distrato12/2019</v>
      </c>
      <c r="K82" s="117">
        <v>161680</v>
      </c>
      <c r="L82" s="117" t="s">
        <v>570</v>
      </c>
      <c r="M82" s="117"/>
      <c r="N82" s="494" t="str">
        <f t="shared" si="19"/>
        <v>VENDA</v>
      </c>
      <c r="O82" s="491" t="str">
        <f t="shared" si="20"/>
        <v>LONDRINA [ETAPA 02 - CONDOMINIO TANGARA]VENDA</v>
      </c>
      <c r="P82" s="492" t="str">
        <f t="shared" si="21"/>
        <v>VENDADistratoLONDRINA [ETAPA 02 - CONDOMINIO TANGARA]</v>
      </c>
      <c r="Q82" s="485"/>
      <c r="Z82" s="114" t="s">
        <v>878</v>
      </c>
      <c r="AA82" s="42" t="s">
        <v>622</v>
      </c>
      <c r="AB82" s="45">
        <v>1</v>
      </c>
      <c r="AC82" s="64">
        <v>396.16</v>
      </c>
      <c r="AD82" s="201">
        <v>5073</v>
      </c>
      <c r="AE82" s="41" t="s">
        <v>1491</v>
      </c>
      <c r="AF82" s="208">
        <v>44256</v>
      </c>
      <c r="AG82" s="43">
        <v>218660.73</v>
      </c>
    </row>
    <row r="83" spans="1:33" ht="15" customHeight="1">
      <c r="A83" s="61" t="str">
        <f t="shared" si="18"/>
        <v>LONDRINA [ETAPA 02 - CONDOMINIO TANGARA]XXVII1</v>
      </c>
      <c r="B83" s="114" t="s">
        <v>35</v>
      </c>
      <c r="C83" s="115" t="s">
        <v>515</v>
      </c>
      <c r="D83" s="166">
        <v>1</v>
      </c>
      <c r="E83" s="184">
        <v>320.82</v>
      </c>
      <c r="F83" s="201"/>
      <c r="G83" s="114"/>
      <c r="H83" s="206"/>
      <c r="I83" s="259" t="str">
        <f t="shared" si="23"/>
        <v>LONDRINA [ETAPA 02 - CONDOMINIO TANGARA]1/1900</v>
      </c>
      <c r="J83" s="53" t="str">
        <f t="shared" si="22"/>
        <v>Distrato1/1900</v>
      </c>
      <c r="K83" s="117"/>
      <c r="L83" s="117" t="s">
        <v>570</v>
      </c>
      <c r="M83" s="334">
        <v>198138.432</v>
      </c>
      <c r="N83" s="494" t="str">
        <f t="shared" si="19"/>
        <v>VGV</v>
      </c>
      <c r="O83" s="491" t="str">
        <f t="shared" si="20"/>
        <v>LONDRINA [ETAPA 02 - CONDOMINIO TANGARA]VGV</v>
      </c>
      <c r="P83" s="492" t="str">
        <f t="shared" si="21"/>
        <v>VGVDistratoLONDRINA [ETAPA 02 - CONDOMINIO TANGARA]</v>
      </c>
      <c r="Q83" s="485"/>
      <c r="Z83" s="114" t="s">
        <v>878</v>
      </c>
      <c r="AA83" s="42" t="s">
        <v>622</v>
      </c>
      <c r="AB83" s="45">
        <v>14</v>
      </c>
      <c r="AC83" s="64">
        <v>349</v>
      </c>
      <c r="AD83" s="243">
        <v>5004</v>
      </c>
      <c r="AE83" s="41" t="s">
        <v>1413</v>
      </c>
      <c r="AF83" s="208">
        <v>44216</v>
      </c>
      <c r="AG83" s="43">
        <v>182074.2</v>
      </c>
    </row>
    <row r="84" spans="1:33">
      <c r="A84" s="61" t="str">
        <f t="shared" si="18"/>
        <v>LONDRINA [ETAPA 02 - CONDOMINIO TANGARA]XXVIII12</v>
      </c>
      <c r="B84" s="114" t="s">
        <v>35</v>
      </c>
      <c r="C84" s="115" t="s">
        <v>516</v>
      </c>
      <c r="D84" s="166">
        <v>12</v>
      </c>
      <c r="E84" s="184">
        <v>267.94</v>
      </c>
      <c r="F84" s="201"/>
      <c r="G84" s="114"/>
      <c r="H84" s="206"/>
      <c r="I84" s="259" t="str">
        <f t="shared" si="23"/>
        <v>LONDRINA [ETAPA 02 - CONDOMINIO TANGARA]1/1900</v>
      </c>
      <c r="J84" s="53" t="str">
        <f t="shared" si="22"/>
        <v>Distrato1/1900</v>
      </c>
      <c r="K84" s="117"/>
      <c r="L84" s="117" t="s">
        <v>570</v>
      </c>
      <c r="M84" s="334">
        <v>100745.44</v>
      </c>
      <c r="N84" s="494" t="str">
        <f t="shared" si="19"/>
        <v>VGV</v>
      </c>
      <c r="O84" s="491" t="str">
        <f t="shared" si="20"/>
        <v>LONDRINA [ETAPA 02 - CONDOMINIO TANGARA]VGV</v>
      </c>
      <c r="P84" s="492" t="str">
        <f t="shared" si="21"/>
        <v>VGVDistratoLONDRINA [ETAPA 02 - CONDOMINIO TANGARA]</v>
      </c>
      <c r="Q84" s="485"/>
      <c r="Z84" s="114" t="s">
        <v>878</v>
      </c>
      <c r="AA84" s="42" t="s">
        <v>623</v>
      </c>
      <c r="AB84" s="45">
        <v>2</v>
      </c>
      <c r="AC84" s="64">
        <v>254.25</v>
      </c>
      <c r="AD84" s="201"/>
      <c r="AE84" s="41" t="s">
        <v>1339</v>
      </c>
      <c r="AF84" s="208">
        <v>44111</v>
      </c>
      <c r="AG84" s="43">
        <v>147698.46</v>
      </c>
    </row>
    <row r="85" spans="1:33">
      <c r="A85" s="61" t="str">
        <f t="shared" si="18"/>
        <v>LONDRINA [ETAPA 02 - CONDOMINIO TANGARA]XXVIII17</v>
      </c>
      <c r="B85" s="114" t="s">
        <v>35</v>
      </c>
      <c r="C85" s="115" t="s">
        <v>516</v>
      </c>
      <c r="D85" s="166">
        <v>17</v>
      </c>
      <c r="E85" s="184">
        <v>476.72</v>
      </c>
      <c r="F85" s="201"/>
      <c r="G85" s="114"/>
      <c r="H85" s="206"/>
      <c r="I85" s="259" t="str">
        <f t="shared" si="23"/>
        <v>LONDRINA [ETAPA 02 - CONDOMINIO TANGARA]1/1900</v>
      </c>
      <c r="J85" s="53" t="str">
        <f t="shared" si="22"/>
        <v>Distrato1/1900</v>
      </c>
      <c r="K85" s="117"/>
      <c r="L85" s="117" t="s">
        <v>570</v>
      </c>
      <c r="M85" s="334">
        <v>294422.27200000006</v>
      </c>
      <c r="N85" s="494" t="str">
        <f t="shared" si="19"/>
        <v>VGV</v>
      </c>
      <c r="O85" s="491" t="str">
        <f t="shared" si="20"/>
        <v>LONDRINA [ETAPA 02 - CONDOMINIO TANGARA]VGV</v>
      </c>
      <c r="P85" s="492" t="str">
        <f t="shared" si="21"/>
        <v>VGVDistratoLONDRINA [ETAPA 02 - CONDOMINIO TANGARA]</v>
      </c>
      <c r="Q85" s="485"/>
      <c r="Z85" s="114" t="s">
        <v>878</v>
      </c>
      <c r="AA85" s="42" t="s">
        <v>620</v>
      </c>
      <c r="AB85" s="45">
        <v>1</v>
      </c>
      <c r="AC85" s="64">
        <v>333.9</v>
      </c>
      <c r="AD85" s="243">
        <v>5001</v>
      </c>
      <c r="AE85" s="41" t="s">
        <v>1414</v>
      </c>
      <c r="AF85" s="208">
        <v>44211</v>
      </c>
      <c r="AG85" s="43">
        <v>169200</v>
      </c>
    </row>
    <row r="86" spans="1:33">
      <c r="A86" s="61" t="str">
        <f t="shared" si="18"/>
        <v>LONDRINA [ETAPA 02 - CONDOMINIO TANGARA]XXX6</v>
      </c>
      <c r="B86" s="114" t="s">
        <v>35</v>
      </c>
      <c r="C86" s="42" t="s">
        <v>517</v>
      </c>
      <c r="D86" s="166">
        <v>6</v>
      </c>
      <c r="E86" s="184">
        <v>259.51</v>
      </c>
      <c r="F86" s="201"/>
      <c r="G86" s="114"/>
      <c r="H86" s="206"/>
      <c r="I86" s="259" t="str">
        <f t="shared" si="23"/>
        <v>LONDRINA [ETAPA 02 - CONDOMINIO TANGARA]1/1900</v>
      </c>
      <c r="J86" s="53" t="str">
        <f t="shared" si="22"/>
        <v>Distrato1/1900</v>
      </c>
      <c r="K86" s="117"/>
      <c r="L86" s="117" t="s">
        <v>570</v>
      </c>
      <c r="M86" s="334">
        <v>160273.37599999999</v>
      </c>
      <c r="N86" s="494" t="str">
        <f t="shared" si="19"/>
        <v>VGV</v>
      </c>
      <c r="O86" s="491" t="str">
        <f t="shared" si="20"/>
        <v>LONDRINA [ETAPA 02 - CONDOMINIO TANGARA]VGV</v>
      </c>
      <c r="P86" s="492" t="str">
        <f t="shared" si="21"/>
        <v>VGVDistratoLONDRINA [ETAPA 02 - CONDOMINIO TANGARA]</v>
      </c>
      <c r="Q86" s="485"/>
      <c r="Z86" s="114" t="s">
        <v>878</v>
      </c>
      <c r="AA86" s="42" t="s">
        <v>620</v>
      </c>
      <c r="AB86" s="45">
        <v>3</v>
      </c>
      <c r="AC86" s="64">
        <v>269.45999999999998</v>
      </c>
      <c r="AD86" s="201"/>
      <c r="AE86" s="41" t="s">
        <v>1340</v>
      </c>
      <c r="AF86" s="208">
        <v>44123</v>
      </c>
      <c r="AG86" s="43">
        <v>126532.68</v>
      </c>
    </row>
    <row r="87" spans="1:33">
      <c r="A87" s="61" t="str">
        <f t="shared" si="18"/>
        <v>LONDRINA [ETAPA 02 - CONDOMINIO TANGARA]XXX17</v>
      </c>
      <c r="B87" s="114" t="s">
        <v>35</v>
      </c>
      <c r="C87" s="42" t="s">
        <v>517</v>
      </c>
      <c r="D87" s="166">
        <v>17</v>
      </c>
      <c r="E87" s="184">
        <v>277.73</v>
      </c>
      <c r="F87" s="201"/>
      <c r="G87" s="114"/>
      <c r="H87" s="206"/>
      <c r="I87" s="259" t="str">
        <f t="shared" si="23"/>
        <v>LONDRINA [ETAPA 02 - CONDOMINIO TANGARA]1/1900</v>
      </c>
      <c r="J87" s="53" t="str">
        <f t="shared" si="22"/>
        <v>Distrato1/1900</v>
      </c>
      <c r="K87" s="117"/>
      <c r="L87" s="117" t="s">
        <v>570</v>
      </c>
      <c r="M87" s="334">
        <v>171526.04800000001</v>
      </c>
      <c r="N87" s="494" t="str">
        <f t="shared" si="19"/>
        <v>VGV</v>
      </c>
      <c r="O87" s="491" t="str">
        <f t="shared" si="20"/>
        <v>LONDRINA [ETAPA 02 - CONDOMINIO TANGARA]VGV</v>
      </c>
      <c r="P87" s="492" t="str">
        <f t="shared" si="21"/>
        <v>VGVDistratoLONDRINA [ETAPA 02 - CONDOMINIO TANGARA]</v>
      </c>
      <c r="Q87" s="485"/>
      <c r="Z87" s="114" t="s">
        <v>878</v>
      </c>
      <c r="AA87" s="42" t="s">
        <v>620</v>
      </c>
      <c r="AB87" s="45">
        <v>8</v>
      </c>
      <c r="AC87" s="64">
        <v>256.73</v>
      </c>
      <c r="AD87" s="201">
        <v>5096</v>
      </c>
      <c r="AE87" s="41" t="s">
        <v>1492</v>
      </c>
      <c r="AF87" s="208">
        <v>44258</v>
      </c>
      <c r="AG87" s="43">
        <v>134177.16</v>
      </c>
    </row>
    <row r="88" spans="1:33">
      <c r="A88" s="61" t="str">
        <f t="shared" si="18"/>
        <v>LONDRINA [ETAPA 02 - CONDOMINIO TANGARA]XXX22</v>
      </c>
      <c r="B88" s="114" t="s">
        <v>35</v>
      </c>
      <c r="C88" s="42" t="s">
        <v>517</v>
      </c>
      <c r="D88" s="45">
        <v>22</v>
      </c>
      <c r="E88" s="64">
        <v>277.73</v>
      </c>
      <c r="F88" s="201"/>
      <c r="G88" s="41"/>
      <c r="H88" s="204"/>
      <c r="I88" s="259" t="str">
        <f t="shared" si="23"/>
        <v>LONDRINA [ETAPA 02 - CONDOMINIO TANGARA]1/1900</v>
      </c>
      <c r="J88" s="53" t="str">
        <f t="shared" si="22"/>
        <v>Distrato1/1900</v>
      </c>
      <c r="K88" s="43"/>
      <c r="L88" s="117" t="s">
        <v>570</v>
      </c>
      <c r="M88" s="334">
        <v>171526.04800000001</v>
      </c>
      <c r="N88" s="494" t="str">
        <f t="shared" si="19"/>
        <v>VGV</v>
      </c>
      <c r="O88" s="491" t="str">
        <f t="shared" si="20"/>
        <v>LONDRINA [ETAPA 02 - CONDOMINIO TANGARA]VGV</v>
      </c>
      <c r="P88" s="492" t="str">
        <f t="shared" si="21"/>
        <v>VGVDistratoLONDRINA [ETAPA 02 - CONDOMINIO TANGARA]</v>
      </c>
      <c r="Q88" s="485"/>
      <c r="Z88" s="114" t="s">
        <v>878</v>
      </c>
      <c r="AA88" s="42" t="s">
        <v>620</v>
      </c>
      <c r="AB88" s="45">
        <v>17</v>
      </c>
      <c r="AC88" s="64">
        <v>256.73</v>
      </c>
      <c r="AD88" s="243">
        <v>4952</v>
      </c>
      <c r="AE88" s="41" t="s">
        <v>1389</v>
      </c>
      <c r="AF88" s="208">
        <v>44183</v>
      </c>
      <c r="AG88" s="43">
        <v>134176.66</v>
      </c>
    </row>
    <row r="89" spans="1:33">
      <c r="A89" s="61" t="str">
        <f t="shared" si="18"/>
        <v>LONDRINA [ETAPA 02 - CONDOMINIO TANGARA]XXX28</v>
      </c>
      <c r="B89" s="114" t="s">
        <v>35</v>
      </c>
      <c r="C89" s="42" t="s">
        <v>517</v>
      </c>
      <c r="D89" s="45">
        <v>28</v>
      </c>
      <c r="E89" s="64">
        <v>263.51</v>
      </c>
      <c r="F89" s="201"/>
      <c r="G89" s="41"/>
      <c r="H89" s="204"/>
      <c r="I89" s="259" t="str">
        <f t="shared" si="23"/>
        <v>LONDRINA [ETAPA 02 - CONDOMINIO TANGARA]1/1900</v>
      </c>
      <c r="J89" s="53" t="str">
        <f t="shared" si="22"/>
        <v>Distrato1/1900</v>
      </c>
      <c r="K89" s="43"/>
      <c r="L89" s="117" t="s">
        <v>570</v>
      </c>
      <c r="M89" s="334">
        <v>106510.74</v>
      </c>
      <c r="N89" s="494" t="str">
        <f t="shared" si="19"/>
        <v>VGV</v>
      </c>
      <c r="O89" s="491" t="str">
        <f t="shared" si="20"/>
        <v>LONDRINA [ETAPA 02 - CONDOMINIO TANGARA]VGV</v>
      </c>
      <c r="P89" s="492" t="str">
        <f t="shared" si="21"/>
        <v>VGVDistratoLONDRINA [ETAPA 02 - CONDOMINIO TANGARA]</v>
      </c>
      <c r="Q89" s="485"/>
      <c r="Z89" s="114" t="s">
        <v>878</v>
      </c>
      <c r="AA89" s="42" t="s">
        <v>620</v>
      </c>
      <c r="AB89" s="45">
        <v>34</v>
      </c>
      <c r="AC89" s="64">
        <v>274.63</v>
      </c>
      <c r="AD89" s="201"/>
      <c r="AE89" s="41" t="s">
        <v>1357</v>
      </c>
      <c r="AF89" s="208">
        <v>44113</v>
      </c>
      <c r="AG89" s="43">
        <v>119662</v>
      </c>
    </row>
    <row r="90" spans="1:33">
      <c r="A90" s="61" t="str">
        <f t="shared" si="18"/>
        <v>LONDRINA [ETAPA 02 - CONDOMINIO TANGARA]XXX37</v>
      </c>
      <c r="B90" s="114" t="s">
        <v>35</v>
      </c>
      <c r="C90" s="94" t="s">
        <v>517</v>
      </c>
      <c r="D90" s="95">
        <v>37</v>
      </c>
      <c r="E90" s="424">
        <v>250.97</v>
      </c>
      <c r="F90" s="483"/>
      <c r="G90" s="425" t="s">
        <v>1046</v>
      </c>
      <c r="H90" s="205">
        <v>43678</v>
      </c>
      <c r="I90" s="259" t="str">
        <f t="shared" si="23"/>
        <v>LONDRINA [ETAPA 02 - CONDOMINIO TANGARA]8/2019</v>
      </c>
      <c r="J90" s="53" t="str">
        <f t="shared" si="22"/>
        <v>Remanescente8/2019</v>
      </c>
      <c r="K90" s="96">
        <v>141000</v>
      </c>
      <c r="L90" s="96" t="s">
        <v>539</v>
      </c>
      <c r="M90" s="189">
        <v>0</v>
      </c>
      <c r="N90" s="494" t="str">
        <f t="shared" si="19"/>
        <v>VENDA</v>
      </c>
      <c r="O90" s="491" t="str">
        <f t="shared" si="20"/>
        <v>LONDRINA [ETAPA 02 - CONDOMINIO TANGARA]VENDA</v>
      </c>
      <c r="P90" s="492" t="str">
        <f t="shared" si="21"/>
        <v>VENDARemanescenteLONDRINA [ETAPA 02 - CONDOMINIO TANGARA]</v>
      </c>
      <c r="Q90" s="485"/>
      <c r="Z90" s="114" t="s">
        <v>878</v>
      </c>
      <c r="AA90" s="42" t="s">
        <v>616</v>
      </c>
      <c r="AB90" s="45">
        <v>1</v>
      </c>
      <c r="AC90" s="64">
        <v>274.93</v>
      </c>
      <c r="AD90" s="201">
        <v>5088</v>
      </c>
      <c r="AE90" s="41" t="s">
        <v>1493</v>
      </c>
      <c r="AF90" s="208">
        <v>44258</v>
      </c>
      <c r="AG90" s="43">
        <v>171834.46</v>
      </c>
    </row>
    <row r="91" spans="1:33">
      <c r="A91" s="61" t="str">
        <f t="shared" si="18"/>
        <v>LONDRINA [ETAPA 02 - CONDOMINIO TANGARA]XXX39</v>
      </c>
      <c r="B91" s="114" t="s">
        <v>35</v>
      </c>
      <c r="C91" s="42" t="s">
        <v>517</v>
      </c>
      <c r="D91" s="45">
        <v>39</v>
      </c>
      <c r="E91" s="64">
        <v>250.97</v>
      </c>
      <c r="F91" s="201"/>
      <c r="G91" s="41" t="s">
        <v>879</v>
      </c>
      <c r="H91" s="204">
        <v>43439</v>
      </c>
      <c r="I91" s="259" t="str">
        <f t="shared" si="23"/>
        <v>LONDRINA [ETAPA 02 - CONDOMINIO TANGARA]12/2018</v>
      </c>
      <c r="J91" s="53" t="str">
        <f t="shared" si="22"/>
        <v>Distrato12/2018</v>
      </c>
      <c r="K91" s="43">
        <v>140999.88</v>
      </c>
      <c r="L91" s="117" t="s">
        <v>570</v>
      </c>
      <c r="M91" s="117">
        <v>0</v>
      </c>
      <c r="N91" s="494" t="str">
        <f t="shared" si="19"/>
        <v>VENDA</v>
      </c>
      <c r="O91" s="491" t="str">
        <f t="shared" si="20"/>
        <v>LONDRINA [ETAPA 02 - CONDOMINIO TANGARA]VENDA</v>
      </c>
      <c r="P91" s="492" t="str">
        <f t="shared" si="21"/>
        <v>VENDADistratoLONDRINA [ETAPA 02 - CONDOMINIO TANGARA]</v>
      </c>
      <c r="Q91" s="485"/>
      <c r="Z91" s="114" t="s">
        <v>878</v>
      </c>
      <c r="AA91" s="42" t="s">
        <v>616</v>
      </c>
      <c r="AB91" s="45">
        <v>2</v>
      </c>
      <c r="AC91" s="64">
        <v>263.04000000000002</v>
      </c>
      <c r="AD91" s="243">
        <v>4993</v>
      </c>
      <c r="AE91" s="41" t="s">
        <v>1415</v>
      </c>
      <c r="AF91" s="208">
        <v>44222</v>
      </c>
      <c r="AG91" s="43">
        <v>159471.6</v>
      </c>
    </row>
    <row r="92" spans="1:33">
      <c r="A92" s="61" t="str">
        <f t="shared" si="18"/>
        <v>LONDRINA [ETAPA 02 - CONDOMINIO TANGARA]XXX43</v>
      </c>
      <c r="B92" s="114" t="s">
        <v>35</v>
      </c>
      <c r="C92" s="42" t="s">
        <v>517</v>
      </c>
      <c r="D92" s="45">
        <v>43</v>
      </c>
      <c r="E92" s="64">
        <v>250.97</v>
      </c>
      <c r="F92" s="201"/>
      <c r="G92" s="41"/>
      <c r="H92" s="204"/>
      <c r="I92" s="259" t="str">
        <f t="shared" si="23"/>
        <v>LONDRINA [ETAPA 02 - CONDOMINIO TANGARA]1/1900</v>
      </c>
      <c r="J92" s="53" t="str">
        <f t="shared" si="22"/>
        <v>Distrato1/1900</v>
      </c>
      <c r="K92" s="43"/>
      <c r="L92" s="43" t="s">
        <v>570</v>
      </c>
      <c r="M92" s="190">
        <v>96723.839999999997</v>
      </c>
      <c r="N92" s="494" t="str">
        <f t="shared" si="19"/>
        <v>VGV</v>
      </c>
      <c r="O92" s="491" t="str">
        <f t="shared" si="20"/>
        <v>LONDRINA [ETAPA 02 - CONDOMINIO TANGARA]VGV</v>
      </c>
      <c r="P92" s="492" t="str">
        <f t="shared" si="21"/>
        <v>VGVDistratoLONDRINA [ETAPA 02 - CONDOMINIO TANGARA]</v>
      </c>
      <c r="Q92" s="485"/>
      <c r="Z92" s="114" t="s">
        <v>878</v>
      </c>
      <c r="AA92" s="42" t="s">
        <v>616</v>
      </c>
      <c r="AB92" s="45">
        <v>3</v>
      </c>
      <c r="AC92" s="64">
        <v>268.16000000000003</v>
      </c>
      <c r="AD92" s="243">
        <v>5020</v>
      </c>
      <c r="AE92" s="41" t="s">
        <v>1479</v>
      </c>
      <c r="AF92" s="208">
        <v>44236</v>
      </c>
      <c r="AG92" s="43">
        <v>164500.1</v>
      </c>
    </row>
    <row r="93" spans="1:33">
      <c r="A93" s="61" t="str">
        <f t="shared" si="18"/>
        <v>LONDRINA [ETAPA 02 - CONDOMINIO TANGARA]XXX47</v>
      </c>
      <c r="B93" s="114" t="s">
        <v>35</v>
      </c>
      <c r="C93" s="42" t="s">
        <v>517</v>
      </c>
      <c r="D93" s="45">
        <v>47</v>
      </c>
      <c r="E93" s="64">
        <v>334.77</v>
      </c>
      <c r="F93" s="201"/>
      <c r="G93" s="41" t="s">
        <v>1143</v>
      </c>
      <c r="H93" s="204">
        <v>43864</v>
      </c>
      <c r="I93" s="259" t="str">
        <f t="shared" si="23"/>
        <v>LONDRINA [ETAPA 02 - CONDOMINIO TANGARA]2/2020</v>
      </c>
      <c r="J93" s="53" t="str">
        <f t="shared" si="22"/>
        <v>Distrato2/2020</v>
      </c>
      <c r="K93" s="43">
        <v>205488.41</v>
      </c>
      <c r="L93" s="43" t="s">
        <v>570</v>
      </c>
      <c r="M93" s="190">
        <v>0</v>
      </c>
      <c r="N93" s="494" t="str">
        <f t="shared" si="19"/>
        <v>VENDA</v>
      </c>
      <c r="O93" s="491" t="str">
        <f t="shared" si="20"/>
        <v>LONDRINA [ETAPA 02 - CONDOMINIO TANGARA]VENDA</v>
      </c>
      <c r="P93" s="492" t="str">
        <f t="shared" si="21"/>
        <v>VENDADistratoLONDRINA [ETAPA 02 - CONDOMINIO TANGARA]</v>
      </c>
      <c r="Q93" s="485"/>
      <c r="Z93" s="114" t="s">
        <v>878</v>
      </c>
      <c r="AA93" s="42" t="s">
        <v>616</v>
      </c>
      <c r="AB93" s="45">
        <v>5</v>
      </c>
      <c r="AC93" s="64">
        <v>268.16000000000003</v>
      </c>
      <c r="AD93" s="201">
        <v>5122</v>
      </c>
      <c r="AE93" s="41" t="s">
        <v>1506</v>
      </c>
      <c r="AF93" s="208">
        <v>44258</v>
      </c>
      <c r="AG93" s="43">
        <v>154160</v>
      </c>
    </row>
    <row r="94" spans="1:33">
      <c r="A94" s="61" t="str">
        <f t="shared" si="18"/>
        <v>LONDRINA [ETAPA 02 - CONDOMINIO TANGARA]XXXII5</v>
      </c>
      <c r="B94" s="114" t="s">
        <v>35</v>
      </c>
      <c r="C94" s="42" t="s">
        <v>518</v>
      </c>
      <c r="D94" s="45">
        <v>5</v>
      </c>
      <c r="E94" s="64">
        <v>267.12</v>
      </c>
      <c r="F94" s="243">
        <v>4845</v>
      </c>
      <c r="G94" s="41" t="s">
        <v>1338</v>
      </c>
      <c r="H94" s="204">
        <v>44132</v>
      </c>
      <c r="I94" s="259" t="str">
        <f t="shared" si="23"/>
        <v>LONDRINA [ETAPA 02 - CONDOMINIO TANGARA]10/2020</v>
      </c>
      <c r="J94" s="53" t="str">
        <f t="shared" si="22"/>
        <v>Distrato10/2020</v>
      </c>
      <c r="K94" s="43">
        <v>153877.6</v>
      </c>
      <c r="L94" s="43" t="s">
        <v>570</v>
      </c>
      <c r="M94" s="190">
        <v>0</v>
      </c>
      <c r="N94" s="494" t="str">
        <f t="shared" si="19"/>
        <v>VENDA</v>
      </c>
      <c r="O94" s="491" t="str">
        <f t="shared" si="20"/>
        <v>LONDRINA [ETAPA 02 - CONDOMINIO TANGARA]VENDA</v>
      </c>
      <c r="P94" s="492" t="str">
        <f t="shared" si="21"/>
        <v>VENDADistratoLONDRINA [ETAPA 02 - CONDOMINIO TANGARA]</v>
      </c>
      <c r="Q94" s="485"/>
      <c r="Z94" s="114" t="s">
        <v>878</v>
      </c>
      <c r="AA94" s="42" t="s">
        <v>616</v>
      </c>
      <c r="AB94" s="45">
        <v>7</v>
      </c>
      <c r="AC94" s="64">
        <v>268.16000000000003</v>
      </c>
      <c r="AD94" s="201">
        <v>5094</v>
      </c>
      <c r="AE94" s="41" t="s">
        <v>1494</v>
      </c>
      <c r="AF94" s="208">
        <v>44259</v>
      </c>
      <c r="AG94" s="43">
        <v>155100</v>
      </c>
    </row>
    <row r="95" spans="1:33">
      <c r="A95" s="61" t="str">
        <f t="shared" si="18"/>
        <v>LONDRINA [ETAPA 02 - CONDOMINIO TANGARA]XXXII10</v>
      </c>
      <c r="B95" s="114" t="s">
        <v>35</v>
      </c>
      <c r="C95" s="42" t="s">
        <v>518</v>
      </c>
      <c r="D95" s="45">
        <v>10</v>
      </c>
      <c r="E95" s="64">
        <v>267.12</v>
      </c>
      <c r="F95" s="201"/>
      <c r="G95" s="41" t="s">
        <v>978</v>
      </c>
      <c r="H95" s="204">
        <v>43635</v>
      </c>
      <c r="I95" s="259" t="str">
        <f t="shared" si="23"/>
        <v>LONDRINA [ETAPA 02 - CONDOMINIO TANGARA]6/2019</v>
      </c>
      <c r="J95" s="53" t="str">
        <f t="shared" si="22"/>
        <v>Distrato6/2019</v>
      </c>
      <c r="K95" s="43">
        <v>122200</v>
      </c>
      <c r="L95" s="43" t="s">
        <v>570</v>
      </c>
      <c r="M95" s="190">
        <v>0</v>
      </c>
      <c r="N95" s="494" t="str">
        <f t="shared" si="19"/>
        <v>VENDA</v>
      </c>
      <c r="O95" s="491" t="str">
        <f t="shared" si="20"/>
        <v>LONDRINA [ETAPA 02 - CONDOMINIO TANGARA]VENDA</v>
      </c>
      <c r="P95" s="492" t="str">
        <f t="shared" si="21"/>
        <v>VENDADistratoLONDRINA [ETAPA 02 - CONDOMINIO TANGARA]</v>
      </c>
      <c r="Q95" s="485"/>
      <c r="Z95" s="114" t="s">
        <v>878</v>
      </c>
      <c r="AA95" s="42" t="s">
        <v>616</v>
      </c>
      <c r="AB95" s="45">
        <v>8</v>
      </c>
      <c r="AC95" s="64">
        <v>268.16000000000003</v>
      </c>
      <c r="AD95" s="201">
        <v>5117</v>
      </c>
      <c r="AE95" s="41" t="s">
        <v>1495</v>
      </c>
      <c r="AF95" s="208">
        <v>44266</v>
      </c>
      <c r="AG95" s="43">
        <v>143726.1</v>
      </c>
    </row>
    <row r="96" spans="1:33">
      <c r="A96" s="61" t="str">
        <f t="shared" si="18"/>
        <v>LONDRINA [ETAPA 02 - CONDOMINIO TANGARA]XXXII14</v>
      </c>
      <c r="B96" s="114" t="s">
        <v>35</v>
      </c>
      <c r="C96" s="42" t="s">
        <v>518</v>
      </c>
      <c r="D96" s="45">
        <v>14</v>
      </c>
      <c r="E96" s="64">
        <v>267.12</v>
      </c>
      <c r="F96" s="201"/>
      <c r="G96" s="41" t="s">
        <v>979</v>
      </c>
      <c r="H96" s="204">
        <v>43635</v>
      </c>
      <c r="I96" s="259" t="str">
        <f t="shared" si="23"/>
        <v>LONDRINA [ETAPA 02 - CONDOMINIO TANGARA]6/2019</v>
      </c>
      <c r="J96" s="53" t="str">
        <f t="shared" si="22"/>
        <v>Distrato6/2019</v>
      </c>
      <c r="K96" s="43">
        <v>122200</v>
      </c>
      <c r="L96" s="43" t="s">
        <v>570</v>
      </c>
      <c r="M96" s="190">
        <v>0</v>
      </c>
      <c r="N96" s="494" t="str">
        <f t="shared" si="19"/>
        <v>VENDA</v>
      </c>
      <c r="O96" s="491" t="str">
        <f t="shared" si="20"/>
        <v>LONDRINA [ETAPA 02 - CONDOMINIO TANGARA]VENDA</v>
      </c>
      <c r="P96" s="492" t="str">
        <f t="shared" si="21"/>
        <v>VENDADistratoLONDRINA [ETAPA 02 - CONDOMINIO TANGARA]</v>
      </c>
      <c r="Q96" s="485"/>
      <c r="Z96" s="114" t="s">
        <v>878</v>
      </c>
      <c r="AA96" s="42" t="s">
        <v>616</v>
      </c>
      <c r="AB96" s="45">
        <v>12</v>
      </c>
      <c r="AC96" s="64">
        <v>268.16000000000003</v>
      </c>
      <c r="AD96" s="243">
        <v>4885</v>
      </c>
      <c r="AE96" s="41" t="s">
        <v>1368</v>
      </c>
      <c r="AF96" s="208">
        <v>44147</v>
      </c>
      <c r="AG96" s="43">
        <v>137604.69</v>
      </c>
    </row>
    <row r="97" spans="1:33">
      <c r="A97" s="61" t="str">
        <f t="shared" si="18"/>
        <v>LONDRINA [ETAPA 02 - CONDOMINIO TANGARA]XXXII17</v>
      </c>
      <c r="B97" s="114" t="s">
        <v>35</v>
      </c>
      <c r="C97" s="327" t="s">
        <v>518</v>
      </c>
      <c r="D97" s="116">
        <v>17</v>
      </c>
      <c r="E97" s="183">
        <v>260.95999999999998</v>
      </c>
      <c r="F97" s="243">
        <v>4820</v>
      </c>
      <c r="G97" s="267" t="s">
        <v>1352</v>
      </c>
      <c r="H97" s="208">
        <v>44113</v>
      </c>
      <c r="I97" s="259" t="str">
        <f t="shared" si="23"/>
        <v>LONDRINA [ETAPA 02 - CONDOMINIO TANGARA]10/2020</v>
      </c>
      <c r="J97" s="53" t="str">
        <f t="shared" si="22"/>
        <v>Distrato10/2020</v>
      </c>
      <c r="K97" s="43">
        <v>160182.42000000001</v>
      </c>
      <c r="L97" s="43" t="s">
        <v>570</v>
      </c>
      <c r="M97" s="43">
        <v>0</v>
      </c>
      <c r="N97" s="494" t="str">
        <f t="shared" si="19"/>
        <v>VENDA</v>
      </c>
      <c r="O97" s="491" t="str">
        <f t="shared" si="20"/>
        <v>LONDRINA [ETAPA 02 - CONDOMINIO TANGARA]VENDA</v>
      </c>
      <c r="P97" s="492" t="str">
        <f t="shared" si="21"/>
        <v>VENDADistratoLONDRINA [ETAPA 02 - CONDOMINIO TANGARA]</v>
      </c>
      <c r="Q97" s="485"/>
      <c r="Z97" s="114" t="s">
        <v>878</v>
      </c>
      <c r="AA97" s="42" t="s">
        <v>616</v>
      </c>
      <c r="AB97" s="45">
        <v>13</v>
      </c>
      <c r="AC97" s="64">
        <v>268.16000000000003</v>
      </c>
      <c r="AD97" s="243">
        <v>5047</v>
      </c>
      <c r="AE97" s="41" t="s">
        <v>1480</v>
      </c>
      <c r="AF97" s="208">
        <v>44235</v>
      </c>
      <c r="AG97" s="43">
        <v>138179.9</v>
      </c>
    </row>
    <row r="98" spans="1:33">
      <c r="A98" s="61" t="str">
        <f t="shared" si="18"/>
        <v>LONDRINA [ETAPA 02 - CONDOMINIO TANGARA]XXXII20</v>
      </c>
      <c r="B98" s="114" t="s">
        <v>35</v>
      </c>
      <c r="C98" s="42" t="s">
        <v>518</v>
      </c>
      <c r="D98" s="45">
        <v>20</v>
      </c>
      <c r="E98" s="64">
        <v>260.95999999999998</v>
      </c>
      <c r="F98" s="201"/>
      <c r="G98" s="41" t="s">
        <v>980</v>
      </c>
      <c r="H98" s="204">
        <v>43635</v>
      </c>
      <c r="I98" s="259" t="str">
        <f t="shared" si="23"/>
        <v>LONDRINA [ETAPA 02 - CONDOMINIO TANGARA]6/2019</v>
      </c>
      <c r="J98" s="53" t="str">
        <f t="shared" si="22"/>
        <v>Remanescente6/2019</v>
      </c>
      <c r="K98" s="43">
        <v>122199.96</v>
      </c>
      <c r="L98" s="43" t="s">
        <v>539</v>
      </c>
      <c r="M98" s="190">
        <v>0</v>
      </c>
      <c r="N98" s="494" t="str">
        <f t="shared" si="19"/>
        <v>VENDA</v>
      </c>
      <c r="O98" s="491" t="str">
        <f t="shared" si="20"/>
        <v>LONDRINA [ETAPA 02 - CONDOMINIO TANGARA]VENDA</v>
      </c>
      <c r="P98" s="492" t="str">
        <f t="shared" si="21"/>
        <v>VENDARemanescenteLONDRINA [ETAPA 02 - CONDOMINIO TANGARA]</v>
      </c>
      <c r="Q98" s="485"/>
      <c r="Z98" s="114" t="s">
        <v>878</v>
      </c>
      <c r="AA98" s="42" t="s">
        <v>616</v>
      </c>
      <c r="AB98" s="45">
        <v>19</v>
      </c>
      <c r="AC98" s="64">
        <v>295.02999999999997</v>
      </c>
      <c r="AD98" s="243">
        <v>4867</v>
      </c>
      <c r="AE98" s="41" t="s">
        <v>1369</v>
      </c>
      <c r="AF98" s="208">
        <v>44138</v>
      </c>
      <c r="AG98" s="43">
        <v>148519.79999999999</v>
      </c>
    </row>
    <row r="99" spans="1:33">
      <c r="A99" s="61" t="str">
        <f t="shared" si="18"/>
        <v>LONDRINA [ETAPA 02 - CONDOMINIO TANGARA]XXXIII8</v>
      </c>
      <c r="B99" s="114" t="s">
        <v>35</v>
      </c>
      <c r="C99" s="327" t="s">
        <v>519</v>
      </c>
      <c r="D99" s="116">
        <v>8</v>
      </c>
      <c r="E99" s="183">
        <v>257.73</v>
      </c>
      <c r="F99" s="201"/>
      <c r="G99" s="267" t="s">
        <v>1144</v>
      </c>
      <c r="H99" s="208">
        <v>43864</v>
      </c>
      <c r="I99" s="259" t="str">
        <f t="shared" si="23"/>
        <v>LONDRINA [ETAPA 02 - CONDOMINIO TANGARA]2/2020</v>
      </c>
      <c r="J99" s="53" t="str">
        <f t="shared" si="22"/>
        <v>Distrato2/2020</v>
      </c>
      <c r="K99" s="43">
        <v>157954.60999999999</v>
      </c>
      <c r="L99" s="43" t="s">
        <v>570</v>
      </c>
      <c r="M99" s="43">
        <v>0</v>
      </c>
      <c r="N99" s="494" t="str">
        <f t="shared" si="19"/>
        <v>VENDA</v>
      </c>
      <c r="O99" s="491" t="str">
        <f t="shared" si="20"/>
        <v>LONDRINA [ETAPA 02 - CONDOMINIO TANGARA]VENDA</v>
      </c>
      <c r="P99" s="492" t="str">
        <f t="shared" si="21"/>
        <v>VENDADistratoLONDRINA [ETAPA 02 - CONDOMINIO TANGARA]</v>
      </c>
      <c r="Q99" s="485"/>
      <c r="Z99" s="114" t="s">
        <v>878</v>
      </c>
      <c r="AA99" s="42" t="s">
        <v>617</v>
      </c>
      <c r="AB99" s="45">
        <v>2</v>
      </c>
      <c r="AC99" s="64">
        <v>252.75</v>
      </c>
      <c r="AD99" s="201"/>
      <c r="AE99" s="41" t="s">
        <v>1355</v>
      </c>
      <c r="AF99" s="208">
        <v>44133</v>
      </c>
      <c r="AG99" s="43">
        <v>146640</v>
      </c>
    </row>
    <row r="100" spans="1:33">
      <c r="A100" s="61" t="str">
        <f t="shared" si="18"/>
        <v>LONDRINA [ETAPA 02 - CONDOMINIO TANGARA]XXXIII12</v>
      </c>
      <c r="B100" s="114" t="s">
        <v>35</v>
      </c>
      <c r="C100" s="42" t="s">
        <v>519</v>
      </c>
      <c r="D100" s="45">
        <v>12</v>
      </c>
      <c r="E100" s="64">
        <v>257.33</v>
      </c>
      <c r="F100" s="201"/>
      <c r="G100" s="41" t="s">
        <v>1045</v>
      </c>
      <c r="H100" s="204">
        <v>43678</v>
      </c>
      <c r="I100" s="259" t="str">
        <f t="shared" si="23"/>
        <v>LONDRINA [ETAPA 02 - CONDOMINIO TANGARA]8/2019</v>
      </c>
      <c r="J100" s="53" t="str">
        <f t="shared" si="22"/>
        <v>Distrato8/2019</v>
      </c>
      <c r="K100" s="43">
        <v>150400</v>
      </c>
      <c r="L100" s="117" t="s">
        <v>570</v>
      </c>
      <c r="M100" s="188">
        <v>0</v>
      </c>
      <c r="N100" s="494" t="str">
        <f t="shared" si="19"/>
        <v>VENDA</v>
      </c>
      <c r="O100" s="491" t="str">
        <f t="shared" si="20"/>
        <v>LONDRINA [ETAPA 02 - CONDOMINIO TANGARA]VENDA</v>
      </c>
      <c r="P100" s="492" t="str">
        <f t="shared" si="21"/>
        <v>VENDADistratoLONDRINA [ETAPA 02 - CONDOMINIO TANGARA]</v>
      </c>
      <c r="Q100" s="485"/>
      <c r="Z100" s="114" t="s">
        <v>878</v>
      </c>
      <c r="AA100" s="42" t="s">
        <v>617</v>
      </c>
      <c r="AB100" s="45">
        <v>3</v>
      </c>
      <c r="AC100" s="64">
        <v>252.75</v>
      </c>
      <c r="AD100" s="243">
        <v>4912</v>
      </c>
      <c r="AE100" s="41" t="s">
        <v>1380</v>
      </c>
      <c r="AF100" s="208">
        <v>44166</v>
      </c>
      <c r="AG100" s="43">
        <v>153043.28</v>
      </c>
    </row>
    <row r="101" spans="1:33">
      <c r="A101" s="61" t="str">
        <f t="shared" si="18"/>
        <v>LONDRINA [ETAPA 02 - CONDOMINIO TANGARA]XXXIII18</v>
      </c>
      <c r="B101" s="114" t="s">
        <v>35</v>
      </c>
      <c r="C101" s="327" t="s">
        <v>519</v>
      </c>
      <c r="D101" s="116">
        <v>18</v>
      </c>
      <c r="E101" s="183">
        <v>251.98</v>
      </c>
      <c r="F101" s="201"/>
      <c r="G101" s="267"/>
      <c r="H101" s="208"/>
      <c r="I101" s="259" t="str">
        <f t="shared" si="23"/>
        <v>LONDRINA [ETAPA 02 - CONDOMINIO TANGARA]1/1900</v>
      </c>
      <c r="J101" s="53" t="str">
        <f t="shared" si="22"/>
        <v>Distrato1/1900</v>
      </c>
      <c r="K101" s="43"/>
      <c r="L101" s="43" t="s">
        <v>570</v>
      </c>
      <c r="M101" s="334">
        <v>150000</v>
      </c>
      <c r="N101" s="494" t="str">
        <f t="shared" si="19"/>
        <v>VGV</v>
      </c>
      <c r="O101" s="491" t="str">
        <f t="shared" si="20"/>
        <v>LONDRINA [ETAPA 02 - CONDOMINIO TANGARA]VGV</v>
      </c>
      <c r="P101" s="492" t="str">
        <f t="shared" si="21"/>
        <v>VGVDistratoLONDRINA [ETAPA 02 - CONDOMINIO TANGARA]</v>
      </c>
      <c r="Q101" s="485"/>
      <c r="Z101" s="114" t="s">
        <v>878</v>
      </c>
      <c r="AA101" s="42" t="s">
        <v>617</v>
      </c>
      <c r="AB101" s="45">
        <v>7</v>
      </c>
      <c r="AC101" s="64">
        <v>252.75</v>
      </c>
      <c r="AD101" s="243">
        <v>4878</v>
      </c>
      <c r="AE101" s="41" t="s">
        <v>1365</v>
      </c>
      <c r="AF101" s="208">
        <v>44162</v>
      </c>
      <c r="AG101" s="43">
        <v>141000</v>
      </c>
    </row>
    <row r="102" spans="1:33">
      <c r="A102" s="61" t="str">
        <f t="shared" si="18"/>
        <v>LONDRINA [ETAPA 02 - CONDOMINIO TANGARA]XXXIV1</v>
      </c>
      <c r="B102" s="114" t="s">
        <v>35</v>
      </c>
      <c r="C102" s="42" t="s">
        <v>520</v>
      </c>
      <c r="D102" s="45">
        <v>1</v>
      </c>
      <c r="E102" s="64">
        <v>273.17</v>
      </c>
      <c r="F102" s="201"/>
      <c r="G102" s="41"/>
      <c r="H102" s="204"/>
      <c r="I102" s="259" t="str">
        <f t="shared" si="23"/>
        <v>LONDRINA [ETAPA 02 - CONDOMINIO TANGARA]1/1900</v>
      </c>
      <c r="J102" s="53" t="str">
        <f t="shared" si="22"/>
        <v>Distrato1/1900</v>
      </c>
      <c r="K102" s="43"/>
      <c r="L102" s="117" t="s">
        <v>570</v>
      </c>
      <c r="M102" s="316">
        <v>96292.43</v>
      </c>
      <c r="N102" s="494" t="str">
        <f t="shared" si="19"/>
        <v>VGV</v>
      </c>
      <c r="O102" s="491" t="str">
        <f t="shared" si="20"/>
        <v>LONDRINA [ETAPA 02 - CONDOMINIO TANGARA]VGV</v>
      </c>
      <c r="P102" s="492" t="str">
        <f t="shared" si="21"/>
        <v>VGVDistratoLONDRINA [ETAPA 02 - CONDOMINIO TANGARA]</v>
      </c>
      <c r="Q102" s="485"/>
      <c r="Z102" s="114" t="s">
        <v>878</v>
      </c>
      <c r="AA102" s="42" t="s">
        <v>617</v>
      </c>
      <c r="AB102" s="45">
        <v>8</v>
      </c>
      <c r="AC102" s="64">
        <v>252.75</v>
      </c>
      <c r="AD102" s="243">
        <v>4879</v>
      </c>
      <c r="AE102" s="41" t="s">
        <v>1365</v>
      </c>
      <c r="AF102" s="208">
        <v>44162</v>
      </c>
      <c r="AG102" s="43">
        <v>141000</v>
      </c>
    </row>
    <row r="103" spans="1:33">
      <c r="A103" s="61" t="str">
        <f t="shared" si="18"/>
        <v>LONDRINA [ETAPA 02 - CONDOMINIO TANGARA]XXXIV10</v>
      </c>
      <c r="B103" s="114" t="s">
        <v>35</v>
      </c>
      <c r="C103" s="42" t="s">
        <v>520</v>
      </c>
      <c r="D103" s="45">
        <v>10</v>
      </c>
      <c r="E103" s="64">
        <v>253.5</v>
      </c>
      <c r="F103" s="201"/>
      <c r="G103" s="41"/>
      <c r="H103" s="204"/>
      <c r="I103" s="259" t="str">
        <f t="shared" si="23"/>
        <v>LONDRINA [ETAPA 02 - CONDOMINIO TANGARA]1/1900</v>
      </c>
      <c r="J103" s="53" t="str">
        <f t="shared" si="22"/>
        <v>Distrato1/1900</v>
      </c>
      <c r="K103" s="43"/>
      <c r="L103" s="117" t="s">
        <v>570</v>
      </c>
      <c r="M103" s="316">
        <v>166659.84</v>
      </c>
      <c r="N103" s="494" t="str">
        <f t="shared" si="19"/>
        <v>VGV</v>
      </c>
      <c r="O103" s="491" t="str">
        <f t="shared" si="20"/>
        <v>LONDRINA [ETAPA 02 - CONDOMINIO TANGARA]VGV</v>
      </c>
      <c r="P103" s="492" t="str">
        <f t="shared" si="21"/>
        <v>VGVDistratoLONDRINA [ETAPA 02 - CONDOMINIO TANGARA]</v>
      </c>
      <c r="Q103" s="485"/>
      <c r="Z103" s="114" t="s">
        <v>878</v>
      </c>
      <c r="AA103" s="42" t="s">
        <v>617</v>
      </c>
      <c r="AB103" s="45">
        <v>9</v>
      </c>
      <c r="AC103" s="64">
        <v>252.75</v>
      </c>
      <c r="AD103" s="243">
        <v>4880</v>
      </c>
      <c r="AE103" s="41" t="s">
        <v>1365</v>
      </c>
      <c r="AF103" s="208">
        <v>44162</v>
      </c>
      <c r="AG103" s="43">
        <v>141000</v>
      </c>
    </row>
    <row r="104" spans="1:33">
      <c r="A104" s="61" t="str">
        <f t="shared" si="18"/>
        <v>LONDRINA [ETAPA 02 - CONDOMINIO TANGARA]XXXIV11</v>
      </c>
      <c r="B104" s="114" t="s">
        <v>35</v>
      </c>
      <c r="C104" s="42" t="s">
        <v>520</v>
      </c>
      <c r="D104" s="45">
        <v>11</v>
      </c>
      <c r="E104" s="64">
        <v>253.5</v>
      </c>
      <c r="F104" s="243">
        <v>4517</v>
      </c>
      <c r="G104" s="41" t="s">
        <v>1243</v>
      </c>
      <c r="H104" s="204">
        <v>44020</v>
      </c>
      <c r="I104" s="259" t="str">
        <f t="shared" si="23"/>
        <v>LONDRINA [ETAPA 02 - CONDOMINIO TANGARA]7/2020</v>
      </c>
      <c r="J104" s="53" t="str">
        <f t="shared" si="22"/>
        <v>Distrato7/2020</v>
      </c>
      <c r="K104" s="43">
        <v>147580</v>
      </c>
      <c r="L104" s="117" t="s">
        <v>570</v>
      </c>
      <c r="M104" s="190">
        <v>0</v>
      </c>
      <c r="N104" s="494" t="str">
        <f t="shared" si="19"/>
        <v>VENDA</v>
      </c>
      <c r="O104" s="491" t="str">
        <f t="shared" si="20"/>
        <v>LONDRINA [ETAPA 02 - CONDOMINIO TANGARA]VENDA</v>
      </c>
      <c r="P104" s="492" t="str">
        <f t="shared" si="21"/>
        <v>VENDADistratoLONDRINA [ETAPA 02 - CONDOMINIO TANGARA]</v>
      </c>
      <c r="Q104" s="485"/>
      <c r="Z104" s="114" t="s">
        <v>878</v>
      </c>
      <c r="AA104" s="42" t="s">
        <v>617</v>
      </c>
      <c r="AB104" s="45">
        <v>10</v>
      </c>
      <c r="AC104" s="64">
        <v>252.75</v>
      </c>
      <c r="AD104" s="243">
        <v>4882</v>
      </c>
      <c r="AE104" s="41" t="s">
        <v>1365</v>
      </c>
      <c r="AF104" s="208">
        <v>44162</v>
      </c>
      <c r="AG104" s="43">
        <v>141000</v>
      </c>
    </row>
    <row r="105" spans="1:33">
      <c r="A105" s="61" t="str">
        <f t="shared" si="18"/>
        <v>LONDRINA [ETAPA 02 - CONDOMINIO TANGARA]XXXIV12</v>
      </c>
      <c r="B105" s="114" t="s">
        <v>35</v>
      </c>
      <c r="C105" s="42" t="s">
        <v>520</v>
      </c>
      <c r="D105" s="45">
        <v>12</v>
      </c>
      <c r="E105" s="64">
        <v>253.5</v>
      </c>
      <c r="F105" s="201"/>
      <c r="G105" s="41"/>
      <c r="H105" s="204"/>
      <c r="I105" s="259" t="str">
        <f t="shared" si="23"/>
        <v>LONDRINA [ETAPA 02 - CONDOMINIO TANGARA]1/1900</v>
      </c>
      <c r="J105" s="53" t="str">
        <f t="shared" si="22"/>
        <v>Distrato1/1900</v>
      </c>
      <c r="K105" s="43"/>
      <c r="L105" s="117" t="s">
        <v>570</v>
      </c>
      <c r="M105" s="316">
        <v>166659.84</v>
      </c>
      <c r="N105" s="494" t="str">
        <f t="shared" si="19"/>
        <v>VGV</v>
      </c>
      <c r="O105" s="491" t="str">
        <f t="shared" si="20"/>
        <v>LONDRINA [ETAPA 02 - CONDOMINIO TANGARA]VGV</v>
      </c>
      <c r="P105" s="492" t="str">
        <f t="shared" si="21"/>
        <v>VGVDistratoLONDRINA [ETAPA 02 - CONDOMINIO TANGARA]</v>
      </c>
      <c r="Q105" s="485"/>
      <c r="Z105" s="114" t="s">
        <v>878</v>
      </c>
      <c r="AA105" s="42" t="s">
        <v>617</v>
      </c>
      <c r="AB105" s="45">
        <v>11</v>
      </c>
      <c r="AC105" s="64">
        <v>252.75</v>
      </c>
      <c r="AD105" s="243">
        <v>5003</v>
      </c>
      <c r="AE105" s="41" t="s">
        <v>1416</v>
      </c>
      <c r="AF105" s="208">
        <v>44215</v>
      </c>
      <c r="AG105" s="43">
        <v>159800</v>
      </c>
    </row>
    <row r="106" spans="1:33">
      <c r="A106" s="61" t="str">
        <f t="shared" si="18"/>
        <v>LONDRINA [ETAPA 03 - AREAS EXTERNAS G3 - G7]IX1</v>
      </c>
      <c r="B106" s="114" t="s">
        <v>36</v>
      </c>
      <c r="C106" s="42" t="s">
        <v>534</v>
      </c>
      <c r="D106" s="45">
        <v>1</v>
      </c>
      <c r="E106" s="64">
        <v>378.5</v>
      </c>
      <c r="F106" s="243">
        <v>3803</v>
      </c>
      <c r="G106" s="41" t="s">
        <v>1151</v>
      </c>
      <c r="H106" s="204">
        <v>43892</v>
      </c>
      <c r="I106" s="259" t="str">
        <f t="shared" si="23"/>
        <v>LONDRINA [ETAPA 03 - AREAS EXTERNAS G3 - G7]3/2020</v>
      </c>
      <c r="J106" s="53" t="str">
        <f t="shared" si="22"/>
        <v>Distrato3/2020</v>
      </c>
      <c r="K106" s="43">
        <v>187530</v>
      </c>
      <c r="L106" s="43" t="s">
        <v>570</v>
      </c>
      <c r="M106" s="188">
        <v>0</v>
      </c>
      <c r="N106" s="494" t="str">
        <f t="shared" si="19"/>
        <v>VENDA</v>
      </c>
      <c r="O106" s="491" t="str">
        <f t="shared" si="20"/>
        <v>LONDRINA [ETAPA 03 - AREAS EXTERNAS G3 - G7]VENDA</v>
      </c>
      <c r="P106" s="492" t="str">
        <f t="shared" si="21"/>
        <v>VENDADistratoLONDRINA [ETAPA 03 - AREAS EXTERNAS G3 - G7]</v>
      </c>
      <c r="Q106" s="485"/>
      <c r="Z106" s="114" t="s">
        <v>878</v>
      </c>
      <c r="AA106" s="42" t="s">
        <v>617</v>
      </c>
      <c r="AB106" s="45">
        <v>12</v>
      </c>
      <c r="AC106" s="64">
        <v>252.75</v>
      </c>
      <c r="AD106" s="243">
        <v>4977</v>
      </c>
      <c r="AE106" s="41" t="s">
        <v>1417</v>
      </c>
      <c r="AF106" s="208">
        <v>44208</v>
      </c>
      <c r="AG106" s="43">
        <v>160694.46</v>
      </c>
    </row>
    <row r="107" spans="1:33">
      <c r="A107" s="61" t="str">
        <f t="shared" si="18"/>
        <v>LONDRINA [ETAPA 03 - AREAS EXTERNAS G3 - G7]IX7</v>
      </c>
      <c r="B107" s="114" t="s">
        <v>36</v>
      </c>
      <c r="C107" s="42" t="s">
        <v>534</v>
      </c>
      <c r="D107" s="45">
        <v>7</v>
      </c>
      <c r="E107" s="64">
        <v>254</v>
      </c>
      <c r="F107" s="243">
        <v>4866</v>
      </c>
      <c r="G107" s="15" t="s">
        <v>1375</v>
      </c>
      <c r="H107" s="204">
        <v>44153</v>
      </c>
      <c r="I107" s="259" t="str">
        <f t="shared" si="23"/>
        <v>LONDRINA [ETAPA 03 - AREAS EXTERNAS G3 - G7]11/2020</v>
      </c>
      <c r="J107" s="53" t="str">
        <f t="shared" si="22"/>
        <v>Distrato11/2020</v>
      </c>
      <c r="K107" s="43">
        <v>149460</v>
      </c>
      <c r="L107" s="43" t="s">
        <v>570</v>
      </c>
      <c r="M107" s="188">
        <v>0</v>
      </c>
      <c r="N107" s="494" t="str">
        <f t="shared" si="19"/>
        <v>VENDA</v>
      </c>
      <c r="O107" s="491" t="str">
        <f t="shared" si="20"/>
        <v>LONDRINA [ETAPA 03 - AREAS EXTERNAS G3 - G7]VENDA</v>
      </c>
      <c r="P107" s="492" t="str">
        <f t="shared" si="21"/>
        <v>VENDADistratoLONDRINA [ETAPA 03 - AREAS EXTERNAS G3 - G7]</v>
      </c>
      <c r="Q107" s="485"/>
      <c r="Z107" s="114" t="s">
        <v>878</v>
      </c>
      <c r="AA107" s="42" t="s">
        <v>617</v>
      </c>
      <c r="AB107" s="45">
        <v>13</v>
      </c>
      <c r="AC107" s="64">
        <v>252.75</v>
      </c>
      <c r="AD107" s="243">
        <v>5008</v>
      </c>
      <c r="AE107" s="41" t="s">
        <v>1481</v>
      </c>
      <c r="AF107" s="208">
        <v>44228</v>
      </c>
      <c r="AG107" s="43">
        <v>155874.56</v>
      </c>
    </row>
    <row r="108" spans="1:33">
      <c r="A108" s="61" t="str">
        <f t="shared" si="18"/>
        <v>LONDRINA [ETAPA 03 - AREAS EXTERNAS G3 - G7]IX17</v>
      </c>
      <c r="B108" s="114" t="s">
        <v>36</v>
      </c>
      <c r="C108" s="42" t="s">
        <v>534</v>
      </c>
      <c r="D108" s="45">
        <v>17</v>
      </c>
      <c r="E108" s="64">
        <v>254</v>
      </c>
      <c r="F108" s="201"/>
      <c r="G108" s="41"/>
      <c r="H108" s="204"/>
      <c r="I108" s="259" t="str">
        <f t="shared" si="23"/>
        <v>LONDRINA [ETAPA 03 - AREAS EXTERNAS G3 - G7]1/1900</v>
      </c>
      <c r="J108" s="53" t="str">
        <f t="shared" si="22"/>
        <v>Distrato1/1900</v>
      </c>
      <c r="K108" s="43"/>
      <c r="L108" s="43" t="s">
        <v>570</v>
      </c>
      <c r="M108" s="316">
        <v>166950</v>
      </c>
      <c r="N108" s="494" t="str">
        <f t="shared" si="19"/>
        <v>VGV</v>
      </c>
      <c r="O108" s="491" t="str">
        <f t="shared" si="20"/>
        <v>LONDRINA [ETAPA 03 - AREAS EXTERNAS G3 - G7]VGV</v>
      </c>
      <c r="P108" s="492" t="str">
        <f t="shared" si="21"/>
        <v>VGVDistratoLONDRINA [ETAPA 03 - AREAS EXTERNAS G3 - G7]</v>
      </c>
      <c r="Q108" s="485"/>
      <c r="Z108" s="114" t="s">
        <v>878</v>
      </c>
      <c r="AA108" s="42" t="s">
        <v>617</v>
      </c>
      <c r="AB108" s="45">
        <v>14</v>
      </c>
      <c r="AC108" s="64">
        <v>252.75</v>
      </c>
      <c r="AD108" s="243">
        <v>5044</v>
      </c>
      <c r="AE108" s="41" t="s">
        <v>1482</v>
      </c>
      <c r="AF108" s="208">
        <v>44238</v>
      </c>
      <c r="AG108" s="43">
        <v>160694.75</v>
      </c>
    </row>
    <row r="109" spans="1:33">
      <c r="A109" s="61" t="str">
        <f t="shared" si="18"/>
        <v>LONDRINA [ETAPA 03 - AREAS EXTERNAS G3 - G7]IX23</v>
      </c>
      <c r="B109" s="114" t="s">
        <v>36</v>
      </c>
      <c r="C109" s="115" t="s">
        <v>534</v>
      </c>
      <c r="D109" s="116">
        <v>23</v>
      </c>
      <c r="E109" s="183">
        <v>254</v>
      </c>
      <c r="F109" s="243">
        <v>5009</v>
      </c>
      <c r="G109" s="114" t="s">
        <v>1486</v>
      </c>
      <c r="H109" s="206">
        <v>44231</v>
      </c>
      <c r="I109" s="259" t="str">
        <f t="shared" si="23"/>
        <v>LONDRINA [ETAPA 03 - AREAS EXTERNAS G3 - G7]2/2021</v>
      </c>
      <c r="J109" s="53" t="str">
        <f t="shared" si="22"/>
        <v>Distrato2/2021</v>
      </c>
      <c r="K109" s="117">
        <v>156509.6</v>
      </c>
      <c r="L109" s="117" t="s">
        <v>570</v>
      </c>
      <c r="M109" s="316">
        <v>0</v>
      </c>
      <c r="N109" s="494" t="str">
        <f t="shared" si="19"/>
        <v>VENDA</v>
      </c>
      <c r="O109" s="491" t="str">
        <f t="shared" si="20"/>
        <v>LONDRINA [ETAPA 03 - AREAS EXTERNAS G3 - G7]VENDA</v>
      </c>
      <c r="P109" s="492" t="str">
        <f t="shared" si="21"/>
        <v>VENDADistratoLONDRINA [ETAPA 03 - AREAS EXTERNAS G3 - G7]</v>
      </c>
      <c r="Q109" s="485"/>
      <c r="Z109" s="114" t="s">
        <v>878</v>
      </c>
      <c r="AA109" s="42" t="s">
        <v>617</v>
      </c>
      <c r="AB109" s="45">
        <v>18</v>
      </c>
      <c r="AC109" s="64">
        <v>252.75</v>
      </c>
      <c r="AD109" s="243">
        <v>5021</v>
      </c>
      <c r="AE109" s="41" t="s">
        <v>1477</v>
      </c>
      <c r="AF109" s="208">
        <v>44230</v>
      </c>
      <c r="AG109" s="43">
        <v>144625.85999999999</v>
      </c>
    </row>
    <row r="110" spans="1:33">
      <c r="A110" s="61" t="str">
        <f t="shared" si="18"/>
        <v>LONDRINA [ETAPA 03 - AREAS EXTERNAS G3 - G7]IX24</v>
      </c>
      <c r="B110" s="114" t="s">
        <v>36</v>
      </c>
      <c r="C110" s="42" t="s">
        <v>534</v>
      </c>
      <c r="D110" s="45">
        <v>24</v>
      </c>
      <c r="E110" s="64">
        <v>254</v>
      </c>
      <c r="F110" s="243">
        <v>5011</v>
      </c>
      <c r="G110" s="41" t="s">
        <v>1487</v>
      </c>
      <c r="H110" s="204">
        <v>44231</v>
      </c>
      <c r="I110" s="259" t="str">
        <f t="shared" si="23"/>
        <v>LONDRINA [ETAPA 03 - AREAS EXTERNAS G3 - G7]2/2021</v>
      </c>
      <c r="J110" s="53" t="str">
        <f t="shared" si="22"/>
        <v>Distrato2/2021</v>
      </c>
      <c r="K110" s="43">
        <v>156933</v>
      </c>
      <c r="L110" s="43" t="s">
        <v>570</v>
      </c>
      <c r="M110" s="316">
        <v>0</v>
      </c>
      <c r="N110" s="494" t="str">
        <f t="shared" si="19"/>
        <v>VENDA</v>
      </c>
      <c r="O110" s="491" t="str">
        <f t="shared" si="20"/>
        <v>LONDRINA [ETAPA 03 - AREAS EXTERNAS G3 - G7]VENDA</v>
      </c>
      <c r="P110" s="492" t="str">
        <f t="shared" si="21"/>
        <v>VENDADistratoLONDRINA [ETAPA 03 - AREAS EXTERNAS G3 - G7]</v>
      </c>
      <c r="Q110" s="485"/>
      <c r="Z110" s="114" t="s">
        <v>878</v>
      </c>
      <c r="AA110" s="42" t="s">
        <v>617</v>
      </c>
      <c r="AB110" s="45">
        <v>21</v>
      </c>
      <c r="AC110" s="64">
        <v>252.75</v>
      </c>
      <c r="AD110" s="243">
        <v>5046</v>
      </c>
      <c r="AE110" s="41" t="s">
        <v>1483</v>
      </c>
      <c r="AF110" s="208">
        <v>44245</v>
      </c>
      <c r="AG110" s="43">
        <v>156039.79999999999</v>
      </c>
    </row>
    <row r="111" spans="1:33">
      <c r="A111" s="61" t="str">
        <f t="shared" si="18"/>
        <v>LONDRINA [ETAPA 03 - AREAS EXTERNAS G3 - G7]IX31</v>
      </c>
      <c r="B111" s="114" t="s">
        <v>36</v>
      </c>
      <c r="C111" s="42" t="s">
        <v>534</v>
      </c>
      <c r="D111" s="45">
        <v>31</v>
      </c>
      <c r="E111" s="64">
        <v>254</v>
      </c>
      <c r="F111" s="243">
        <v>4780</v>
      </c>
      <c r="G111" s="41" t="s">
        <v>1323</v>
      </c>
      <c r="H111" s="204">
        <v>44078</v>
      </c>
      <c r="I111" s="259" t="str">
        <f t="shared" si="23"/>
        <v>LONDRINA [ETAPA 03 - AREAS EXTERNAS G3 - G7]9/2020</v>
      </c>
      <c r="J111" s="53" t="str">
        <f t="shared" si="22"/>
        <v>Distrato9/2020</v>
      </c>
      <c r="K111" s="43">
        <v>133950.1</v>
      </c>
      <c r="L111" s="43" t="s">
        <v>570</v>
      </c>
      <c r="M111" s="188">
        <v>0</v>
      </c>
      <c r="N111" s="494" t="str">
        <f t="shared" si="19"/>
        <v>VENDA</v>
      </c>
      <c r="O111" s="491" t="str">
        <f t="shared" si="20"/>
        <v>LONDRINA [ETAPA 03 - AREAS EXTERNAS G3 - G7]VENDA</v>
      </c>
      <c r="P111" s="492" t="str">
        <f t="shared" si="21"/>
        <v>VENDADistratoLONDRINA [ETAPA 03 - AREAS EXTERNAS G3 - G7]</v>
      </c>
      <c r="Q111" s="485"/>
      <c r="Z111" s="114" t="s">
        <v>878</v>
      </c>
      <c r="AA111" s="42" t="s">
        <v>617</v>
      </c>
      <c r="AB111" s="45">
        <v>22</v>
      </c>
      <c r="AC111" s="64">
        <v>252.75</v>
      </c>
      <c r="AD111" s="201">
        <v>5119</v>
      </c>
      <c r="AE111" s="41" t="s">
        <v>1488</v>
      </c>
      <c r="AF111" s="208">
        <v>44273</v>
      </c>
      <c r="AG111" s="43">
        <v>199751.74</v>
      </c>
    </row>
    <row r="112" spans="1:33">
      <c r="A112" s="61" t="str">
        <f t="shared" si="18"/>
        <v>LONDRINA [ETAPA 03 - AREAS EXTERNAS G3 - G7]XIII4</v>
      </c>
      <c r="B112" s="114" t="s">
        <v>36</v>
      </c>
      <c r="C112" s="42" t="s">
        <v>521</v>
      </c>
      <c r="D112" s="45">
        <v>4</v>
      </c>
      <c r="E112" s="64">
        <v>250.75</v>
      </c>
      <c r="F112" s="201"/>
      <c r="G112" s="41"/>
      <c r="H112" s="204"/>
      <c r="I112" s="259" t="str">
        <f t="shared" si="23"/>
        <v>LONDRINA [ETAPA 03 - AREAS EXTERNAS G3 - G7]1/1900</v>
      </c>
      <c r="J112" s="53" t="str">
        <f t="shared" si="22"/>
        <v>Distrato1/1900</v>
      </c>
      <c r="K112" s="43"/>
      <c r="L112" s="43" t="s">
        <v>570</v>
      </c>
      <c r="M112" s="316">
        <v>164813.82874015751</v>
      </c>
      <c r="N112" s="494" t="str">
        <f t="shared" si="19"/>
        <v>VGV</v>
      </c>
      <c r="O112" s="491" t="str">
        <f t="shared" si="20"/>
        <v>LONDRINA [ETAPA 03 - AREAS EXTERNAS G3 - G7]VGV</v>
      </c>
      <c r="P112" s="492" t="str">
        <f t="shared" si="21"/>
        <v>VGVDistratoLONDRINA [ETAPA 03 - AREAS EXTERNAS G3 - G7]</v>
      </c>
      <c r="Q112" s="485"/>
      <c r="Z112" s="114" t="s">
        <v>878</v>
      </c>
      <c r="AA112" s="42" t="s">
        <v>618</v>
      </c>
      <c r="AB112" s="45">
        <v>1</v>
      </c>
      <c r="AC112" s="64">
        <v>351.33</v>
      </c>
      <c r="AD112" s="201">
        <v>5109</v>
      </c>
      <c r="AE112" s="41" t="s">
        <v>1496</v>
      </c>
      <c r="AF112" s="208">
        <v>44256</v>
      </c>
      <c r="AG112" s="43">
        <v>227157.61</v>
      </c>
    </row>
    <row r="113" spans="1:33">
      <c r="A113" s="61" t="str">
        <f t="shared" si="18"/>
        <v>LONDRINA [ETAPA 03 - AREAS EXTERNAS G3 - G7]XIII7</v>
      </c>
      <c r="B113" s="114" t="s">
        <v>36</v>
      </c>
      <c r="C113" s="42" t="s">
        <v>521</v>
      </c>
      <c r="D113" s="45">
        <v>7</v>
      </c>
      <c r="E113" s="64">
        <v>250.75</v>
      </c>
      <c r="F113" s="201"/>
      <c r="G113" s="41" t="s">
        <v>1048</v>
      </c>
      <c r="H113" s="204">
        <v>43691</v>
      </c>
      <c r="I113" s="259" t="str">
        <f t="shared" si="23"/>
        <v>LONDRINA [ETAPA 03 - AREAS EXTERNAS G3 - G7]8/2019</v>
      </c>
      <c r="J113" s="53" t="str">
        <f t="shared" si="22"/>
        <v>Distrato8/2019</v>
      </c>
      <c r="K113" s="43">
        <v>141000</v>
      </c>
      <c r="L113" s="43" t="s">
        <v>570</v>
      </c>
      <c r="M113" s="190">
        <v>0</v>
      </c>
      <c r="N113" s="494" t="str">
        <f t="shared" si="19"/>
        <v>VENDA</v>
      </c>
      <c r="O113" s="491" t="str">
        <f t="shared" si="20"/>
        <v>LONDRINA [ETAPA 03 - AREAS EXTERNAS G3 - G7]VENDA</v>
      </c>
      <c r="P113" s="492" t="str">
        <f t="shared" si="21"/>
        <v>VENDADistratoLONDRINA [ETAPA 03 - AREAS EXTERNAS G3 - G7]</v>
      </c>
      <c r="Q113" s="485"/>
      <c r="Z113" s="114" t="s">
        <v>878</v>
      </c>
      <c r="AA113" s="42" t="s">
        <v>618</v>
      </c>
      <c r="AB113" s="45">
        <v>2</v>
      </c>
      <c r="AC113" s="64">
        <v>254.34</v>
      </c>
      <c r="AD113" s="243">
        <v>4829</v>
      </c>
      <c r="AE113" s="41" t="s">
        <v>1343</v>
      </c>
      <c r="AF113" s="208">
        <v>44113</v>
      </c>
      <c r="AG113" s="43">
        <v>143312.4</v>
      </c>
    </row>
    <row r="114" spans="1:33">
      <c r="A114" s="61" t="str">
        <f t="shared" si="18"/>
        <v>LONDRINA [ETAPA 03 - AREAS EXTERNAS G3 - G7]XIII22</v>
      </c>
      <c r="B114" s="114" t="s">
        <v>36</v>
      </c>
      <c r="C114" s="42" t="s">
        <v>521</v>
      </c>
      <c r="D114" s="45">
        <v>22</v>
      </c>
      <c r="E114" s="64">
        <v>250.75</v>
      </c>
      <c r="F114" s="243">
        <v>4733</v>
      </c>
      <c r="G114" s="41" t="s">
        <v>1270</v>
      </c>
      <c r="H114" s="204">
        <v>44055</v>
      </c>
      <c r="I114" s="259" t="str">
        <f t="shared" si="23"/>
        <v>LONDRINA [ETAPA 03 - AREAS EXTERNAS G3 - G7]8/2020</v>
      </c>
      <c r="J114" s="53" t="str">
        <f t="shared" si="22"/>
        <v>Distrato8/2020</v>
      </c>
      <c r="K114" s="43">
        <v>122200</v>
      </c>
      <c r="L114" s="43" t="s">
        <v>570</v>
      </c>
      <c r="M114" s="190">
        <v>0</v>
      </c>
      <c r="N114" s="494" t="str">
        <f t="shared" si="19"/>
        <v>VENDA</v>
      </c>
      <c r="O114" s="491" t="str">
        <f t="shared" si="20"/>
        <v>LONDRINA [ETAPA 03 - AREAS EXTERNAS G3 - G7]VENDA</v>
      </c>
      <c r="P114" s="492" t="str">
        <f t="shared" si="21"/>
        <v>VENDADistratoLONDRINA [ETAPA 03 - AREAS EXTERNAS G3 - G7]</v>
      </c>
      <c r="Q114" s="485"/>
      <c r="Z114" s="114" t="s">
        <v>878</v>
      </c>
      <c r="AA114" s="42" t="s">
        <v>618</v>
      </c>
      <c r="AB114" s="45">
        <v>3</v>
      </c>
      <c r="AC114" s="64">
        <v>254.34</v>
      </c>
      <c r="AD114" s="243">
        <v>4830</v>
      </c>
      <c r="AE114" s="41" t="s">
        <v>1343</v>
      </c>
      <c r="AF114" s="208">
        <v>44113</v>
      </c>
      <c r="AG114" s="43">
        <v>143312.4</v>
      </c>
    </row>
    <row r="115" spans="1:33">
      <c r="A115" s="61" t="str">
        <f t="shared" si="18"/>
        <v>LONDRINA [ETAPA 03 - AREAS EXTERNAS G3 - G7]XIII25</v>
      </c>
      <c r="B115" s="114" t="s">
        <v>36</v>
      </c>
      <c r="C115" s="42" t="s">
        <v>521</v>
      </c>
      <c r="D115" s="45">
        <v>25</v>
      </c>
      <c r="E115" s="64">
        <v>250.75</v>
      </c>
      <c r="F115" s="243">
        <v>4949</v>
      </c>
      <c r="G115" s="41" t="s">
        <v>1395</v>
      </c>
      <c r="H115" s="204">
        <v>44168</v>
      </c>
      <c r="I115" s="259" t="str">
        <f t="shared" si="23"/>
        <v>LONDRINA [ETAPA 03 - AREAS EXTERNAS G3 - G7]12/2020</v>
      </c>
      <c r="J115" s="53" t="str">
        <f t="shared" si="22"/>
        <v>Distrato12/2020</v>
      </c>
      <c r="K115" s="43">
        <v>145700.1</v>
      </c>
      <c r="L115" s="43" t="s">
        <v>570</v>
      </c>
      <c r="M115" s="190">
        <v>0</v>
      </c>
      <c r="N115" s="494" t="str">
        <f t="shared" si="19"/>
        <v>VENDA</v>
      </c>
      <c r="O115" s="491" t="str">
        <f t="shared" si="20"/>
        <v>LONDRINA [ETAPA 03 - AREAS EXTERNAS G3 - G7]VENDA</v>
      </c>
      <c r="P115" s="492" t="str">
        <f t="shared" si="21"/>
        <v>VENDADistratoLONDRINA [ETAPA 03 - AREAS EXTERNAS G3 - G7]</v>
      </c>
      <c r="Q115" s="485"/>
      <c r="Z115" s="114" t="s">
        <v>878</v>
      </c>
      <c r="AA115" s="42" t="s">
        <v>618</v>
      </c>
      <c r="AB115" s="45">
        <v>7</v>
      </c>
      <c r="AC115" s="64">
        <v>257.64</v>
      </c>
      <c r="AD115" s="243">
        <v>4886</v>
      </c>
      <c r="AE115" s="41" t="s">
        <v>1370</v>
      </c>
      <c r="AF115" s="208">
        <v>44153</v>
      </c>
      <c r="AG115" s="43">
        <v>158648.32999999999</v>
      </c>
    </row>
    <row r="116" spans="1:33">
      <c r="A116" s="61" t="str">
        <f t="shared" si="18"/>
        <v>LONDRINA [ETAPA 03 - AREAS EXTERNAS G3 - G7]XVI3</v>
      </c>
      <c r="B116" s="114" t="s">
        <v>36</v>
      </c>
      <c r="C116" s="42" t="s">
        <v>522</v>
      </c>
      <c r="D116" s="45">
        <v>3</v>
      </c>
      <c r="E116" s="64">
        <v>257.75</v>
      </c>
      <c r="F116" s="243">
        <v>4664</v>
      </c>
      <c r="G116" s="41" t="s">
        <v>1271</v>
      </c>
      <c r="H116" s="204">
        <v>44046</v>
      </c>
      <c r="I116" s="259" t="str">
        <f t="shared" si="23"/>
        <v>LONDRINA [ETAPA 03 - AREAS EXTERNAS G3 - G7]8/2020</v>
      </c>
      <c r="J116" s="53" t="str">
        <f t="shared" si="22"/>
        <v>Distrato8/2020</v>
      </c>
      <c r="K116" s="43">
        <v>135915</v>
      </c>
      <c r="L116" s="43" t="s">
        <v>570</v>
      </c>
      <c r="M116" s="43">
        <v>0</v>
      </c>
      <c r="N116" s="494" t="str">
        <f t="shared" si="19"/>
        <v>VENDA</v>
      </c>
      <c r="O116" s="491" t="str">
        <f t="shared" si="20"/>
        <v>LONDRINA [ETAPA 03 - AREAS EXTERNAS G3 - G7]VENDA</v>
      </c>
      <c r="P116" s="492" t="str">
        <f t="shared" si="21"/>
        <v>VENDADistratoLONDRINA [ETAPA 03 - AREAS EXTERNAS G3 - G7]</v>
      </c>
      <c r="Q116" s="485"/>
      <c r="Z116" s="114" t="s">
        <v>878</v>
      </c>
      <c r="AA116" s="42" t="s">
        <v>618</v>
      </c>
      <c r="AB116" s="45">
        <v>8</v>
      </c>
      <c r="AC116" s="64">
        <v>257.64</v>
      </c>
      <c r="AD116" s="243">
        <v>4912</v>
      </c>
      <c r="AE116" s="41" t="s">
        <v>1381</v>
      </c>
      <c r="AF116" s="208">
        <v>44166</v>
      </c>
      <c r="AG116" s="43">
        <v>155100.79999999999</v>
      </c>
    </row>
    <row r="117" spans="1:33">
      <c r="A117" s="61" t="str">
        <f t="shared" si="18"/>
        <v>LONDRINA [ETAPA 03 - AREAS EXTERNAS G3 - G7]XVI9</v>
      </c>
      <c r="B117" s="114" t="s">
        <v>36</v>
      </c>
      <c r="C117" s="42" t="s">
        <v>522</v>
      </c>
      <c r="D117" s="45">
        <v>9</v>
      </c>
      <c r="E117" s="64">
        <v>257.75</v>
      </c>
      <c r="F117" s="201"/>
      <c r="G117" s="267" t="s">
        <v>628</v>
      </c>
      <c r="H117" s="204">
        <v>43230</v>
      </c>
      <c r="I117" s="259" t="str">
        <f t="shared" si="23"/>
        <v>LONDRINA [ETAPA 03 - AREAS EXTERNAS G3 - G7]5/2018</v>
      </c>
      <c r="J117" s="53" t="str">
        <f t="shared" si="22"/>
        <v>Remanescente5/2018</v>
      </c>
      <c r="K117" s="43">
        <v>126203.3</v>
      </c>
      <c r="L117" s="43" t="s">
        <v>539</v>
      </c>
      <c r="M117" s="43">
        <v>0</v>
      </c>
      <c r="N117" s="494" t="str">
        <f t="shared" si="19"/>
        <v>VENDA</v>
      </c>
      <c r="O117" s="491" t="str">
        <f t="shared" si="20"/>
        <v>LONDRINA [ETAPA 03 - AREAS EXTERNAS G3 - G7]VENDA</v>
      </c>
      <c r="P117" s="492" t="str">
        <f t="shared" si="21"/>
        <v>VENDARemanescenteLONDRINA [ETAPA 03 - AREAS EXTERNAS G3 - G7]</v>
      </c>
      <c r="Q117" s="485"/>
      <c r="Z117" s="114" t="s">
        <v>878</v>
      </c>
      <c r="AA117" s="42" t="s">
        <v>618</v>
      </c>
      <c r="AB117" s="45">
        <v>10</v>
      </c>
      <c r="AC117" s="64">
        <v>311.27999999999997</v>
      </c>
      <c r="AD117" s="243">
        <v>4924</v>
      </c>
      <c r="AE117" s="41" t="s">
        <v>1382</v>
      </c>
      <c r="AF117" s="208">
        <v>44176</v>
      </c>
      <c r="AG117" s="43">
        <v>191677.63</v>
      </c>
    </row>
    <row r="118" spans="1:33">
      <c r="A118" s="61" t="str">
        <f t="shared" si="18"/>
        <v>LONDRINA [ETAPA 03 - AREAS EXTERNAS G3 - G7]XVI11</v>
      </c>
      <c r="B118" s="114" t="s">
        <v>36</v>
      </c>
      <c r="C118" s="42" t="s">
        <v>522</v>
      </c>
      <c r="D118" s="45">
        <v>11</v>
      </c>
      <c r="E118" s="64">
        <v>257.75</v>
      </c>
      <c r="F118" s="201"/>
      <c r="G118" s="41" t="s">
        <v>934</v>
      </c>
      <c r="H118" s="204">
        <v>43514</v>
      </c>
      <c r="I118" s="259" t="str">
        <f t="shared" si="23"/>
        <v>LONDRINA [ETAPA 03 - AREAS EXTERNAS G3 - G7]2/2019</v>
      </c>
      <c r="J118" s="53" t="str">
        <f t="shared" si="22"/>
        <v>Distrato2/2019</v>
      </c>
      <c r="K118" s="43">
        <v>124729.26</v>
      </c>
      <c r="L118" s="43" t="s">
        <v>570</v>
      </c>
      <c r="M118" s="190">
        <v>0</v>
      </c>
      <c r="N118" s="494" t="str">
        <f t="shared" si="19"/>
        <v>VENDA</v>
      </c>
      <c r="O118" s="491" t="str">
        <f t="shared" si="20"/>
        <v>LONDRINA [ETAPA 03 - AREAS EXTERNAS G3 - G7]VENDA</v>
      </c>
      <c r="P118" s="492" t="str">
        <f t="shared" si="21"/>
        <v>VENDADistratoLONDRINA [ETAPA 03 - AREAS EXTERNAS G3 - G7]</v>
      </c>
      <c r="Q118" s="485"/>
      <c r="Z118" s="114" t="s">
        <v>878</v>
      </c>
      <c r="AA118" s="42" t="s">
        <v>618</v>
      </c>
      <c r="AB118" s="45">
        <v>19</v>
      </c>
      <c r="AC118" s="64">
        <v>253.57</v>
      </c>
      <c r="AD118" s="243">
        <v>4948</v>
      </c>
      <c r="AE118" s="41" t="s">
        <v>1390</v>
      </c>
      <c r="AF118" s="208">
        <v>44174</v>
      </c>
      <c r="AG118" s="43">
        <v>156141.54</v>
      </c>
    </row>
    <row r="119" spans="1:33">
      <c r="A119" s="61" t="str">
        <f t="shared" si="18"/>
        <v>LONDRINA [ETAPA 03 - AREAS EXTERNAS G3 - G7]XVI15</v>
      </c>
      <c r="B119" s="114" t="s">
        <v>36</v>
      </c>
      <c r="C119" s="42" t="s">
        <v>522</v>
      </c>
      <c r="D119" s="45">
        <v>15</v>
      </c>
      <c r="E119" s="64">
        <v>257.75</v>
      </c>
      <c r="F119" s="243">
        <v>4975</v>
      </c>
      <c r="G119" s="41" t="s">
        <v>1422</v>
      </c>
      <c r="H119" s="204">
        <v>44211</v>
      </c>
      <c r="I119" s="259" t="str">
        <f t="shared" si="23"/>
        <v>LONDRINA [ETAPA 03 - AREAS EXTERNAS G3 - G7]1/2021</v>
      </c>
      <c r="J119" s="53" t="str">
        <f t="shared" si="22"/>
        <v>Distrato1/2021</v>
      </c>
      <c r="K119" s="43">
        <v>159249.19</v>
      </c>
      <c r="L119" s="43" t="s">
        <v>570</v>
      </c>
      <c r="M119" s="190">
        <v>0</v>
      </c>
      <c r="N119" s="494" t="str">
        <f t="shared" si="19"/>
        <v>VENDA</v>
      </c>
      <c r="O119" s="491" t="str">
        <f t="shared" si="20"/>
        <v>LONDRINA [ETAPA 03 - AREAS EXTERNAS G3 - G7]VENDA</v>
      </c>
      <c r="P119" s="492" t="str">
        <f t="shared" si="21"/>
        <v>VENDADistratoLONDRINA [ETAPA 03 - AREAS EXTERNAS G3 - G7]</v>
      </c>
      <c r="Q119" s="485"/>
      <c r="Z119" s="114" t="s">
        <v>878</v>
      </c>
      <c r="AA119" s="42" t="s">
        <v>618</v>
      </c>
      <c r="AB119" s="45">
        <v>20</v>
      </c>
      <c r="AC119" s="64">
        <v>253.57</v>
      </c>
      <c r="AD119" s="243">
        <v>4913</v>
      </c>
      <c r="AE119" s="41" t="s">
        <v>1383</v>
      </c>
      <c r="AF119" s="208">
        <v>44166</v>
      </c>
      <c r="AG119" s="43">
        <v>152280</v>
      </c>
    </row>
    <row r="120" spans="1:33">
      <c r="A120" s="61" t="str">
        <f t="shared" si="18"/>
        <v>LONDRINA [ETAPA 03 - AREAS EXTERNAS G3 - G7]XVI21</v>
      </c>
      <c r="B120" s="114" t="s">
        <v>36</v>
      </c>
      <c r="C120" s="42" t="s">
        <v>522</v>
      </c>
      <c r="D120" s="45">
        <v>21</v>
      </c>
      <c r="E120" s="64">
        <v>273.33999999999997</v>
      </c>
      <c r="F120" s="201"/>
      <c r="G120" s="41" t="s">
        <v>981</v>
      </c>
      <c r="H120" s="204">
        <v>43626</v>
      </c>
      <c r="I120" s="259" t="str">
        <f t="shared" si="23"/>
        <v>LONDRINA [ETAPA 03 - AREAS EXTERNAS G3 - G7]6/2019</v>
      </c>
      <c r="J120" s="53" t="str">
        <f t="shared" si="22"/>
        <v>Remanescente6/2019</v>
      </c>
      <c r="K120" s="43">
        <v>93060</v>
      </c>
      <c r="L120" s="43" t="s">
        <v>539</v>
      </c>
      <c r="M120" s="190">
        <v>0</v>
      </c>
      <c r="N120" s="494" t="str">
        <f t="shared" si="19"/>
        <v>VENDA</v>
      </c>
      <c r="O120" s="491" t="str">
        <f t="shared" si="20"/>
        <v>LONDRINA [ETAPA 03 - AREAS EXTERNAS G3 - G7]VENDA</v>
      </c>
      <c r="P120" s="492" t="str">
        <f t="shared" si="21"/>
        <v>VENDARemanescenteLONDRINA [ETAPA 03 - AREAS EXTERNAS G3 - G7]</v>
      </c>
      <c r="Q120" s="485"/>
      <c r="Z120" s="114" t="s">
        <v>878</v>
      </c>
      <c r="AA120" s="42" t="s">
        <v>618</v>
      </c>
      <c r="AB120" s="45">
        <v>25</v>
      </c>
      <c r="AC120" s="64">
        <v>254.49</v>
      </c>
      <c r="AD120" s="243">
        <v>4811</v>
      </c>
      <c r="AE120" s="41" t="s">
        <v>1344</v>
      </c>
      <c r="AF120" s="208">
        <v>44105</v>
      </c>
      <c r="AG120" s="43">
        <v>140999.6</v>
      </c>
    </row>
    <row r="121" spans="1:33">
      <c r="A121" s="61" t="str">
        <f t="shared" si="18"/>
        <v>LONDRINA [ETAPA 03 - AREAS EXTERNAS G3 - G7]XVI22</v>
      </c>
      <c r="B121" s="114" t="s">
        <v>36</v>
      </c>
      <c r="C121" s="42" t="s">
        <v>522</v>
      </c>
      <c r="D121" s="45">
        <v>22</v>
      </c>
      <c r="E121" s="64">
        <v>273.33999999999997</v>
      </c>
      <c r="F121" s="201"/>
      <c r="G121" s="41" t="s">
        <v>1015</v>
      </c>
      <c r="H121" s="204">
        <v>43648</v>
      </c>
      <c r="I121" s="259" t="str">
        <f t="shared" si="23"/>
        <v>LONDRINA [ETAPA 03 - AREAS EXTERNAS G3 - G7]7/2019</v>
      </c>
      <c r="J121" s="53" t="str">
        <f t="shared" si="22"/>
        <v>Remanescente7/2019</v>
      </c>
      <c r="K121" s="43">
        <v>93060</v>
      </c>
      <c r="L121" s="43" t="s">
        <v>539</v>
      </c>
      <c r="M121" s="190">
        <v>0</v>
      </c>
      <c r="N121" s="494" t="str">
        <f t="shared" si="19"/>
        <v>VENDA</v>
      </c>
      <c r="O121" s="491" t="str">
        <f t="shared" si="20"/>
        <v>LONDRINA [ETAPA 03 - AREAS EXTERNAS G3 - G7]VENDA</v>
      </c>
      <c r="P121" s="492" t="str">
        <f t="shared" si="21"/>
        <v>VENDARemanescenteLONDRINA [ETAPA 03 - AREAS EXTERNAS G3 - G7]</v>
      </c>
      <c r="Q121" s="485"/>
      <c r="Z121" s="114" t="s">
        <v>878</v>
      </c>
      <c r="AA121" s="42" t="s">
        <v>619</v>
      </c>
      <c r="AB121" s="45">
        <v>10</v>
      </c>
      <c r="AC121" s="64">
        <v>256.60000000000002</v>
      </c>
      <c r="AD121" s="243">
        <v>4947</v>
      </c>
      <c r="AE121" s="41" t="s">
        <v>1391</v>
      </c>
      <c r="AF121" s="208">
        <v>44172</v>
      </c>
      <c r="AG121" s="43">
        <v>129532</v>
      </c>
    </row>
    <row r="122" spans="1:33">
      <c r="A122" s="61" t="str">
        <f t="shared" si="18"/>
        <v>LONDRINA [ETAPA 03 - AREAS EXTERNAS G3 - G7]XVI23</v>
      </c>
      <c r="B122" s="114" t="s">
        <v>36</v>
      </c>
      <c r="C122" s="42" t="s">
        <v>522</v>
      </c>
      <c r="D122" s="45">
        <v>23</v>
      </c>
      <c r="E122" s="64">
        <v>273.33999999999997</v>
      </c>
      <c r="F122" s="201"/>
      <c r="G122" s="41" t="s">
        <v>1036</v>
      </c>
      <c r="H122" s="204">
        <v>43662</v>
      </c>
      <c r="I122" s="259" t="str">
        <f t="shared" si="23"/>
        <v>LONDRINA [ETAPA 03 - AREAS EXTERNAS G3 - G7]7/2019</v>
      </c>
      <c r="J122" s="53" t="str">
        <f t="shared" si="22"/>
        <v>Remanescente7/2019</v>
      </c>
      <c r="K122" s="43">
        <v>93060.42</v>
      </c>
      <c r="L122" s="43" t="s">
        <v>539</v>
      </c>
      <c r="M122" s="190">
        <v>0</v>
      </c>
      <c r="N122" s="494" t="str">
        <f t="shared" si="19"/>
        <v>VENDA</v>
      </c>
      <c r="O122" s="491" t="str">
        <f t="shared" si="20"/>
        <v>LONDRINA [ETAPA 03 - AREAS EXTERNAS G3 - G7]VENDA</v>
      </c>
      <c r="P122" s="492" t="str">
        <f t="shared" si="21"/>
        <v>VENDARemanescenteLONDRINA [ETAPA 03 - AREAS EXTERNAS G3 - G7]</v>
      </c>
      <c r="Q122" s="485"/>
      <c r="Z122" s="114" t="s">
        <v>878</v>
      </c>
      <c r="AA122" s="42" t="s">
        <v>619</v>
      </c>
      <c r="AB122" s="45">
        <v>12</v>
      </c>
      <c r="AC122" s="64">
        <v>256.60000000000002</v>
      </c>
      <c r="AD122" s="243">
        <v>4951</v>
      </c>
      <c r="AE122" s="41" t="s">
        <v>1392</v>
      </c>
      <c r="AF122" s="208">
        <v>44179</v>
      </c>
      <c r="AG122" s="43">
        <v>130567.98</v>
      </c>
    </row>
    <row r="123" spans="1:33">
      <c r="A123" s="61" t="str">
        <f t="shared" si="18"/>
        <v>LONDRINA [ETAPA 03 - AREAS EXTERNAS G3 - G7]XVI24</v>
      </c>
      <c r="B123" s="114" t="s">
        <v>36</v>
      </c>
      <c r="C123" s="42" t="s">
        <v>522</v>
      </c>
      <c r="D123" s="45">
        <v>24</v>
      </c>
      <c r="E123" s="64">
        <v>273.33999999999997</v>
      </c>
      <c r="F123" s="201"/>
      <c r="G123" s="41" t="s">
        <v>1124</v>
      </c>
      <c r="H123" s="204">
        <v>43850</v>
      </c>
      <c r="I123" s="259" t="str">
        <f t="shared" si="23"/>
        <v>LONDRINA [ETAPA 03 - AREAS EXTERNAS G3 - G7]1/2020</v>
      </c>
      <c r="J123" s="53" t="str">
        <f t="shared" si="22"/>
        <v>Distrato1/2020</v>
      </c>
      <c r="K123" s="43">
        <v>93060</v>
      </c>
      <c r="L123" s="43" t="s">
        <v>570</v>
      </c>
      <c r="M123" s="190">
        <v>0</v>
      </c>
      <c r="N123" s="494" t="str">
        <f t="shared" si="19"/>
        <v>VENDA</v>
      </c>
      <c r="O123" s="491" t="str">
        <f t="shared" si="20"/>
        <v>LONDRINA [ETAPA 03 - AREAS EXTERNAS G3 - G7]VENDA</v>
      </c>
      <c r="P123" s="492" t="str">
        <f t="shared" si="21"/>
        <v>VENDADistratoLONDRINA [ETAPA 03 - AREAS EXTERNAS G3 - G7]</v>
      </c>
      <c r="Q123" s="485"/>
      <c r="Z123" s="114" t="s">
        <v>878</v>
      </c>
      <c r="AA123" s="42" t="s">
        <v>619</v>
      </c>
      <c r="AB123" s="45">
        <v>15</v>
      </c>
      <c r="AC123" s="64">
        <v>256.60000000000002</v>
      </c>
      <c r="AD123" s="243">
        <v>4938</v>
      </c>
      <c r="AE123" s="41" t="s">
        <v>1384</v>
      </c>
      <c r="AF123" s="208">
        <v>44176</v>
      </c>
      <c r="AG123" s="43">
        <v>129532</v>
      </c>
    </row>
    <row r="124" spans="1:33">
      <c r="A124" s="61" t="str">
        <f t="shared" si="18"/>
        <v>LONDRINA [ETAPA 03 - AREAS EXTERNAS G3 - G7]XVI25</v>
      </c>
      <c r="B124" s="114" t="s">
        <v>36</v>
      </c>
      <c r="C124" s="42" t="s">
        <v>522</v>
      </c>
      <c r="D124" s="45">
        <v>25</v>
      </c>
      <c r="E124" s="64">
        <v>273.33999999999997</v>
      </c>
      <c r="F124" s="201"/>
      <c r="G124" s="41"/>
      <c r="H124" s="204"/>
      <c r="I124" s="259" t="str">
        <f t="shared" si="23"/>
        <v>LONDRINA [ETAPA 03 - AREAS EXTERNAS G3 - G7]1/1900</v>
      </c>
      <c r="J124" s="53" t="str">
        <f t="shared" si="22"/>
        <v>Distrato1/1900</v>
      </c>
      <c r="K124" s="43"/>
      <c r="L124" s="43" t="s">
        <v>570</v>
      </c>
      <c r="M124" s="316">
        <v>179661.8622047244</v>
      </c>
      <c r="N124" s="494" t="str">
        <f t="shared" si="19"/>
        <v>VGV</v>
      </c>
      <c r="O124" s="491" t="str">
        <f t="shared" si="20"/>
        <v>LONDRINA [ETAPA 03 - AREAS EXTERNAS G3 - G7]VGV</v>
      </c>
      <c r="P124" s="492" t="str">
        <f t="shared" si="21"/>
        <v>VGVDistratoLONDRINA [ETAPA 03 - AREAS EXTERNAS G3 - G7]</v>
      </c>
      <c r="Q124" s="485"/>
      <c r="Z124" s="114" t="s">
        <v>878</v>
      </c>
      <c r="AA124" s="42" t="s">
        <v>619</v>
      </c>
      <c r="AB124" s="45">
        <v>16</v>
      </c>
      <c r="AC124" s="64">
        <v>256.60000000000002</v>
      </c>
      <c r="AD124" s="243">
        <v>4868</v>
      </c>
      <c r="AE124" s="41" t="s">
        <v>1371</v>
      </c>
      <c r="AF124" s="208">
        <v>44147</v>
      </c>
      <c r="AG124" s="43">
        <v>129532.6</v>
      </c>
    </row>
    <row r="125" spans="1:33">
      <c r="A125" s="61" t="str">
        <f t="shared" si="18"/>
        <v>LONDRINA [ETAPA 03 - AREAS EXTERNAS G3 - G7]XVI26</v>
      </c>
      <c r="B125" s="114" t="s">
        <v>36</v>
      </c>
      <c r="C125" s="42" t="s">
        <v>522</v>
      </c>
      <c r="D125" s="45">
        <v>26</v>
      </c>
      <c r="E125" s="64">
        <v>273.33999999999997</v>
      </c>
      <c r="F125" s="201"/>
      <c r="G125" s="41"/>
      <c r="H125" s="204"/>
      <c r="I125" s="259" t="str">
        <f t="shared" si="23"/>
        <v>LONDRINA [ETAPA 03 - AREAS EXTERNAS G3 - G7]1/1900</v>
      </c>
      <c r="J125" s="53" t="str">
        <f t="shared" si="22"/>
        <v>Distrato1/1900</v>
      </c>
      <c r="K125" s="43"/>
      <c r="L125" s="43" t="s">
        <v>570</v>
      </c>
      <c r="M125" s="316">
        <v>179661.8622047244</v>
      </c>
      <c r="N125" s="494" t="str">
        <f t="shared" si="19"/>
        <v>VGV</v>
      </c>
      <c r="O125" s="491" t="str">
        <f t="shared" si="20"/>
        <v>LONDRINA [ETAPA 03 - AREAS EXTERNAS G3 - G7]VGV</v>
      </c>
      <c r="P125" s="492" t="str">
        <f t="shared" si="21"/>
        <v>VGVDistratoLONDRINA [ETAPA 03 - AREAS EXTERNAS G3 - G7]</v>
      </c>
      <c r="Q125" s="485"/>
      <c r="Z125" s="114" t="s">
        <v>878</v>
      </c>
      <c r="AA125" s="42" t="s">
        <v>619</v>
      </c>
      <c r="AB125" s="45">
        <v>17</v>
      </c>
      <c r="AC125" s="64">
        <v>256.60000000000002</v>
      </c>
      <c r="AD125" s="243">
        <v>4950</v>
      </c>
      <c r="AE125" s="41" t="s">
        <v>1393</v>
      </c>
      <c r="AF125" s="208">
        <v>44174</v>
      </c>
      <c r="AG125" s="43">
        <v>129532</v>
      </c>
    </row>
    <row r="126" spans="1:33">
      <c r="A126" s="61" t="str">
        <f t="shared" si="18"/>
        <v>LONDRINA [ETAPA 03 - AREAS EXTERNAS G3 - G7]XVI27</v>
      </c>
      <c r="B126" s="114" t="s">
        <v>36</v>
      </c>
      <c r="C126" s="42" t="s">
        <v>522</v>
      </c>
      <c r="D126" s="45">
        <v>27</v>
      </c>
      <c r="E126" s="64">
        <v>273.33999999999997</v>
      </c>
      <c r="F126" s="201"/>
      <c r="G126" s="41" t="s">
        <v>1050</v>
      </c>
      <c r="H126" s="204">
        <v>43696</v>
      </c>
      <c r="I126" s="259" t="str">
        <f t="shared" si="23"/>
        <v>LONDRINA [ETAPA 03 - AREAS EXTERNAS G3 - G7]8/2019</v>
      </c>
      <c r="J126" s="53" t="str">
        <f t="shared" si="22"/>
        <v>Remanescente8/2019</v>
      </c>
      <c r="K126" s="43">
        <v>93060</v>
      </c>
      <c r="L126" s="43" t="s">
        <v>539</v>
      </c>
      <c r="M126" s="190">
        <v>0</v>
      </c>
      <c r="N126" s="494" t="str">
        <f t="shared" si="19"/>
        <v>VENDA</v>
      </c>
      <c r="O126" s="491" t="str">
        <f t="shared" si="20"/>
        <v>LONDRINA [ETAPA 03 - AREAS EXTERNAS G3 - G7]VENDA</v>
      </c>
      <c r="P126" s="492" t="str">
        <f t="shared" si="21"/>
        <v>VENDARemanescenteLONDRINA [ETAPA 03 - AREAS EXTERNAS G3 - G7]</v>
      </c>
      <c r="Q126" s="485"/>
      <c r="Z126" s="114" t="s">
        <v>878</v>
      </c>
      <c r="AA126" s="42" t="s">
        <v>619</v>
      </c>
      <c r="AB126" s="45">
        <v>18</v>
      </c>
      <c r="AC126" s="64">
        <v>256.60000000000002</v>
      </c>
      <c r="AD126" s="243">
        <v>4848</v>
      </c>
      <c r="AE126" s="41" t="s">
        <v>1356</v>
      </c>
      <c r="AF126" s="208">
        <v>44132</v>
      </c>
      <c r="AG126" s="43">
        <v>129531.9</v>
      </c>
    </row>
    <row r="127" spans="1:33">
      <c r="A127" s="61" t="str">
        <f t="shared" si="18"/>
        <v>LONDRINA [ETAPA 03 - AREAS EXTERNAS G3 - G7]XVI29</v>
      </c>
      <c r="B127" s="114" t="s">
        <v>36</v>
      </c>
      <c r="C127" s="42" t="s">
        <v>522</v>
      </c>
      <c r="D127" s="45">
        <v>29</v>
      </c>
      <c r="E127" s="64">
        <v>299.23</v>
      </c>
      <c r="F127" s="201"/>
      <c r="G127" s="41"/>
      <c r="H127" s="204"/>
      <c r="I127" s="259" t="str">
        <f t="shared" si="23"/>
        <v>LONDRINA [ETAPA 03 - AREAS EXTERNAS G3 - G7]1/1900</v>
      </c>
      <c r="J127" s="53" t="str">
        <f t="shared" si="22"/>
        <v>Distrato1/1900</v>
      </c>
      <c r="K127" s="43"/>
      <c r="L127" s="43" t="s">
        <v>570</v>
      </c>
      <c r="M127" s="316">
        <v>196678.93110236223</v>
      </c>
      <c r="N127" s="494" t="str">
        <f t="shared" si="19"/>
        <v>VGV</v>
      </c>
      <c r="O127" s="491" t="str">
        <f t="shared" si="20"/>
        <v>LONDRINA [ETAPA 03 - AREAS EXTERNAS G3 - G7]VGV</v>
      </c>
      <c r="P127" s="492" t="str">
        <f t="shared" si="21"/>
        <v>VGVDistratoLONDRINA [ETAPA 03 - AREAS EXTERNAS G3 - G7]</v>
      </c>
      <c r="Q127" s="485"/>
      <c r="Z127" s="114" t="s">
        <v>878</v>
      </c>
      <c r="AA127" s="42" t="s">
        <v>619</v>
      </c>
      <c r="AB127" s="45">
        <v>19</v>
      </c>
      <c r="AC127" s="64">
        <v>330.17</v>
      </c>
      <c r="AD127" s="243">
        <v>4974</v>
      </c>
      <c r="AE127" s="41" t="s">
        <v>1418</v>
      </c>
      <c r="AF127" s="208">
        <v>44210</v>
      </c>
      <c r="AG127" s="43">
        <v>188570.43</v>
      </c>
    </row>
    <row r="128" spans="1:33">
      <c r="A128" s="61" t="str">
        <f t="shared" si="18"/>
        <v>LONDRINA [ETAPA 03 - CONDOMINIO ARANGUA]XL5</v>
      </c>
      <c r="B128" s="114" t="s">
        <v>33</v>
      </c>
      <c r="C128" s="42" t="s">
        <v>523</v>
      </c>
      <c r="D128" s="45">
        <v>5</v>
      </c>
      <c r="E128" s="64">
        <v>272.07</v>
      </c>
      <c r="F128" s="201"/>
      <c r="G128" s="41" t="s">
        <v>550</v>
      </c>
      <c r="H128" s="204">
        <v>43150</v>
      </c>
      <c r="I128" s="259" t="str">
        <f t="shared" si="23"/>
        <v>LONDRINA [ETAPA 03 - CONDOMINIO ARANGUA]2/2018</v>
      </c>
      <c r="J128" s="53" t="str">
        <f t="shared" si="22"/>
        <v>Remanescente2/2018</v>
      </c>
      <c r="K128" s="43">
        <v>135360</v>
      </c>
      <c r="L128" s="43" t="s">
        <v>539</v>
      </c>
      <c r="M128" s="43">
        <v>0</v>
      </c>
      <c r="N128" s="494" t="str">
        <f t="shared" si="19"/>
        <v>VENDA</v>
      </c>
      <c r="O128" s="491" t="str">
        <f t="shared" si="20"/>
        <v>LONDRINA [ETAPA 03 - CONDOMINIO ARANGUA]VENDA</v>
      </c>
      <c r="P128" s="492" t="str">
        <f t="shared" si="21"/>
        <v>VENDARemanescenteLONDRINA [ETAPA 03 - CONDOMINIO ARANGUA]</v>
      </c>
      <c r="Q128" s="485"/>
      <c r="Z128" s="114" t="s">
        <v>878</v>
      </c>
      <c r="AA128" s="42" t="s">
        <v>619</v>
      </c>
      <c r="AB128" s="45">
        <v>22</v>
      </c>
      <c r="AC128" s="64">
        <v>250.07</v>
      </c>
      <c r="AD128" s="243">
        <v>4823</v>
      </c>
      <c r="AE128" s="41" t="s">
        <v>1334</v>
      </c>
      <c r="AF128" s="208">
        <v>44112</v>
      </c>
      <c r="AG128" s="43">
        <v>117500</v>
      </c>
    </row>
    <row r="129" spans="1:33">
      <c r="A129" s="61" t="str">
        <f t="shared" si="18"/>
        <v>LONDRINA [ETAPA 03 - CONDOMINIO ARANGUA]XL6</v>
      </c>
      <c r="B129" s="114" t="s">
        <v>33</v>
      </c>
      <c r="C129" s="327" t="s">
        <v>523</v>
      </c>
      <c r="D129" s="116">
        <v>6</v>
      </c>
      <c r="E129" s="183">
        <v>272.07</v>
      </c>
      <c r="F129" s="243">
        <v>4554</v>
      </c>
      <c r="G129" s="41" t="s">
        <v>1239</v>
      </c>
      <c r="H129" s="208">
        <v>44034</v>
      </c>
      <c r="I129" s="259" t="str">
        <f t="shared" si="23"/>
        <v>LONDRINA [ETAPA 03 - CONDOMINIO ARANGUA]7/2020</v>
      </c>
      <c r="J129" s="53" t="str">
        <f t="shared" si="22"/>
        <v>Distrato7/2020</v>
      </c>
      <c r="K129" s="43">
        <v>136300</v>
      </c>
      <c r="L129" s="43" t="s">
        <v>570</v>
      </c>
      <c r="M129" s="43">
        <v>0</v>
      </c>
      <c r="N129" s="494" t="str">
        <f t="shared" si="19"/>
        <v>VENDA</v>
      </c>
      <c r="O129" s="491" t="str">
        <f t="shared" si="20"/>
        <v>LONDRINA [ETAPA 03 - CONDOMINIO ARANGUA]VENDA</v>
      </c>
      <c r="P129" s="492" t="str">
        <f t="shared" si="21"/>
        <v>VENDADistratoLONDRINA [ETAPA 03 - CONDOMINIO ARANGUA]</v>
      </c>
      <c r="Q129" s="485"/>
      <c r="Z129" s="114" t="s">
        <v>878</v>
      </c>
      <c r="AA129" s="42" t="s">
        <v>619</v>
      </c>
      <c r="AB129" s="45">
        <v>23</v>
      </c>
      <c r="AC129" s="64">
        <v>250.07</v>
      </c>
      <c r="AD129" s="243">
        <v>4840</v>
      </c>
      <c r="AE129" s="41" t="s">
        <v>1337</v>
      </c>
      <c r="AF129" s="208">
        <v>44106</v>
      </c>
      <c r="AG129" s="43">
        <v>117500</v>
      </c>
    </row>
    <row r="130" spans="1:33">
      <c r="A130" s="61" t="str">
        <f t="shared" si="18"/>
        <v>LONDRINA [ETAPA 03 - CONDOMINIO ARANGUA]XL8</v>
      </c>
      <c r="B130" s="114" t="s">
        <v>33</v>
      </c>
      <c r="C130" s="327" t="s">
        <v>523</v>
      </c>
      <c r="D130" s="116">
        <v>8</v>
      </c>
      <c r="E130" s="183">
        <v>277.37</v>
      </c>
      <c r="F130" s="243">
        <v>4870</v>
      </c>
      <c r="G130" s="267" t="s">
        <v>1373</v>
      </c>
      <c r="H130" s="208">
        <v>44155</v>
      </c>
      <c r="I130" s="259" t="str">
        <f t="shared" si="23"/>
        <v>LONDRINA [ETAPA 03 - CONDOMINIO ARANGUA]11/2020</v>
      </c>
      <c r="J130" s="53" t="str">
        <f t="shared" si="22"/>
        <v>Distrato11/2020</v>
      </c>
      <c r="K130" s="43">
        <v>168260.04</v>
      </c>
      <c r="L130" s="43" t="s">
        <v>570</v>
      </c>
      <c r="M130" s="43">
        <v>0</v>
      </c>
      <c r="N130" s="494" t="str">
        <f t="shared" si="19"/>
        <v>VENDA</v>
      </c>
      <c r="O130" s="491" t="str">
        <f t="shared" si="20"/>
        <v>LONDRINA [ETAPA 03 - CONDOMINIO ARANGUA]VENDA</v>
      </c>
      <c r="P130" s="492" t="str">
        <f t="shared" si="21"/>
        <v>VENDADistratoLONDRINA [ETAPA 03 - CONDOMINIO ARANGUA]</v>
      </c>
      <c r="Q130" s="485"/>
      <c r="Z130" s="114" t="s">
        <v>878</v>
      </c>
      <c r="AA130" s="42" t="s">
        <v>619</v>
      </c>
      <c r="AB130" s="45">
        <v>24</v>
      </c>
      <c r="AC130" s="64">
        <v>250.07</v>
      </c>
      <c r="AD130" s="243">
        <v>4832</v>
      </c>
      <c r="AE130" s="41" t="s">
        <v>1336</v>
      </c>
      <c r="AF130" s="208">
        <v>44106</v>
      </c>
      <c r="AG130" s="43">
        <v>117500</v>
      </c>
    </row>
    <row r="131" spans="1:33">
      <c r="A131" s="61" t="str">
        <f t="shared" si="18"/>
        <v>LONDRINA [ETAPA 03 - CONDOMINIO ARANGUA]XL12</v>
      </c>
      <c r="B131" s="114" t="s">
        <v>33</v>
      </c>
      <c r="C131" s="115" t="s">
        <v>523</v>
      </c>
      <c r="D131" s="116">
        <v>12</v>
      </c>
      <c r="E131" s="183">
        <v>287.39999999999998</v>
      </c>
      <c r="F131" s="243">
        <v>3800</v>
      </c>
      <c r="G131" s="114" t="s">
        <v>1150</v>
      </c>
      <c r="H131" s="206">
        <v>43892</v>
      </c>
      <c r="I131" s="259" t="str">
        <f t="shared" si="23"/>
        <v>LONDRINA [ETAPA 03 - CONDOMINIO ARANGUA]3/2020</v>
      </c>
      <c r="J131" s="53" t="str">
        <f t="shared" si="22"/>
        <v>Distrato3/2020</v>
      </c>
      <c r="K131" s="117">
        <v>162093.6</v>
      </c>
      <c r="L131" s="117" t="s">
        <v>570</v>
      </c>
      <c r="M131" s="188">
        <v>0</v>
      </c>
      <c r="N131" s="494" t="str">
        <f t="shared" si="19"/>
        <v>VENDA</v>
      </c>
      <c r="O131" s="491" t="str">
        <f t="shared" si="20"/>
        <v>LONDRINA [ETAPA 03 - CONDOMINIO ARANGUA]VENDA</v>
      </c>
      <c r="P131" s="492" t="str">
        <f t="shared" si="21"/>
        <v>VENDADistratoLONDRINA [ETAPA 03 - CONDOMINIO ARANGUA]</v>
      </c>
      <c r="Q131" s="485"/>
      <c r="Z131" s="114" t="s">
        <v>878</v>
      </c>
      <c r="AA131" s="42" t="s">
        <v>619</v>
      </c>
      <c r="AB131" s="45">
        <v>25</v>
      </c>
      <c r="AC131" s="64">
        <v>250.07</v>
      </c>
      <c r="AD131" s="243">
        <v>4833</v>
      </c>
      <c r="AE131" s="41" t="s">
        <v>1336</v>
      </c>
      <c r="AF131" s="208">
        <v>44110</v>
      </c>
      <c r="AG131" s="43">
        <v>117500</v>
      </c>
    </row>
    <row r="132" spans="1:33">
      <c r="A132" s="61" t="str">
        <f t="shared" si="18"/>
        <v>LONDRINA [ETAPA 03 - CONDOMINIO ARANGUA]XL16</v>
      </c>
      <c r="B132" s="114" t="s">
        <v>33</v>
      </c>
      <c r="C132" s="42" t="s">
        <v>523</v>
      </c>
      <c r="D132" s="45">
        <v>16</v>
      </c>
      <c r="E132" s="64">
        <v>356.92</v>
      </c>
      <c r="F132" s="201"/>
      <c r="G132" s="41"/>
      <c r="H132" s="204"/>
      <c r="I132" s="259" t="str">
        <f t="shared" si="23"/>
        <v>LONDRINA [ETAPA 03 - CONDOMINIO ARANGUA]1/1900</v>
      </c>
      <c r="J132" s="53" t="str">
        <f t="shared" si="22"/>
        <v>Remanescente1/1900</v>
      </c>
      <c r="K132" s="43"/>
      <c r="L132" s="43" t="s">
        <v>539</v>
      </c>
      <c r="M132" s="316">
        <v>245169.19139999998</v>
      </c>
      <c r="N132" s="494" t="str">
        <f t="shared" si="19"/>
        <v>VGV</v>
      </c>
      <c r="O132" s="491" t="str">
        <f t="shared" si="20"/>
        <v>LONDRINA [ETAPA 03 - CONDOMINIO ARANGUA]VGV</v>
      </c>
      <c r="P132" s="492" t="str">
        <f t="shared" si="21"/>
        <v>VGVRemanescenteLONDRINA [ETAPA 03 - CONDOMINIO ARANGUA]</v>
      </c>
      <c r="Q132" s="485"/>
      <c r="Z132" s="114" t="s">
        <v>878</v>
      </c>
      <c r="AA132" s="42" t="s">
        <v>619</v>
      </c>
      <c r="AB132" s="45">
        <v>26</v>
      </c>
      <c r="AC132" s="64">
        <v>250.07</v>
      </c>
      <c r="AD132" s="243">
        <v>4835</v>
      </c>
      <c r="AE132" s="41" t="s">
        <v>1358</v>
      </c>
      <c r="AF132" s="208">
        <v>44112</v>
      </c>
      <c r="AG132" s="43">
        <v>117500</v>
      </c>
    </row>
    <row r="133" spans="1:33">
      <c r="A133" s="61" t="str">
        <f t="shared" ref="A133:A196" si="24">CONCATENATE(B133,C133,D133)</f>
        <v>LONDRINA [ETAPA 03 - CONDOMINIO ARANGUA]XL17</v>
      </c>
      <c r="B133" s="114" t="s">
        <v>33</v>
      </c>
      <c r="C133" s="42" t="s">
        <v>523</v>
      </c>
      <c r="D133" s="45">
        <v>17</v>
      </c>
      <c r="E133" s="64">
        <v>354.59</v>
      </c>
      <c r="F133" s="201">
        <v>5120</v>
      </c>
      <c r="G133" s="41" t="s">
        <v>1498</v>
      </c>
      <c r="H133" s="204">
        <v>44260</v>
      </c>
      <c r="I133" s="259" t="str">
        <f t="shared" si="23"/>
        <v>LONDRINA [ETAPA 03 - CONDOMINIO ARANGUA]3/2021</v>
      </c>
      <c r="J133" s="53" t="str">
        <f t="shared" si="22"/>
        <v>Remanescente3/2021</v>
      </c>
      <c r="K133" s="43">
        <v>208680</v>
      </c>
      <c r="L133" s="43" t="s">
        <v>539</v>
      </c>
      <c r="M133" s="316">
        <v>0</v>
      </c>
      <c r="N133" s="494" t="str">
        <f t="shared" ref="N133:N196" si="25">IF(M133&gt;0,"VGV","VENDA")</f>
        <v>VENDA</v>
      </c>
      <c r="O133" s="491" t="str">
        <f t="shared" si="20"/>
        <v>LONDRINA [ETAPA 03 - CONDOMINIO ARANGUA]VENDA</v>
      </c>
      <c r="P133" s="492" t="str">
        <f t="shared" si="21"/>
        <v>VENDARemanescenteLONDRINA [ETAPA 03 - CONDOMINIO ARANGUA]</v>
      </c>
      <c r="Q133" s="485"/>
      <c r="Z133" s="114" t="s">
        <v>878</v>
      </c>
      <c r="AA133" s="42" t="s">
        <v>619</v>
      </c>
      <c r="AB133" s="45">
        <v>27</v>
      </c>
      <c r="AC133" s="64">
        <v>250.07</v>
      </c>
      <c r="AD133" s="243">
        <v>4824</v>
      </c>
      <c r="AE133" s="41" t="s">
        <v>1358</v>
      </c>
      <c r="AF133" s="208">
        <v>44112</v>
      </c>
      <c r="AG133" s="43">
        <v>117500</v>
      </c>
    </row>
    <row r="134" spans="1:33">
      <c r="A134" s="61" t="str">
        <f t="shared" si="24"/>
        <v>LONDRINA [ETAPA 03 - CONDOMINIO ARANGUA]XL18</v>
      </c>
      <c r="B134" s="114" t="s">
        <v>33</v>
      </c>
      <c r="C134" s="42" t="s">
        <v>523</v>
      </c>
      <c r="D134" s="45">
        <v>18</v>
      </c>
      <c r="E134" s="64">
        <v>256.19</v>
      </c>
      <c r="F134" s="243">
        <v>4566</v>
      </c>
      <c r="G134" s="41" t="s">
        <v>1240</v>
      </c>
      <c r="H134" s="204">
        <v>44034</v>
      </c>
      <c r="I134" s="259" t="str">
        <f t="shared" si="23"/>
        <v>LONDRINA [ETAPA 03 - CONDOMINIO ARANGUA]7/2020</v>
      </c>
      <c r="J134" s="53" t="str">
        <f t="shared" si="22"/>
        <v>Remanescente7/2020</v>
      </c>
      <c r="K134" s="43">
        <v>135970.6</v>
      </c>
      <c r="L134" s="43" t="s">
        <v>539</v>
      </c>
      <c r="M134" s="190">
        <v>0</v>
      </c>
      <c r="N134" s="494" t="str">
        <f t="shared" si="25"/>
        <v>VENDA</v>
      </c>
      <c r="O134" s="491" t="str">
        <f t="shared" ref="O134:O197" si="26">CONCATENATE(B134,N134)</f>
        <v>LONDRINA [ETAPA 03 - CONDOMINIO ARANGUA]VENDA</v>
      </c>
      <c r="P134" s="492" t="str">
        <f t="shared" ref="P134:P197" si="27">CONCATENATE(N134,L134,B134)</f>
        <v>VENDARemanescenteLONDRINA [ETAPA 03 - CONDOMINIO ARANGUA]</v>
      </c>
      <c r="Q134" s="485"/>
      <c r="Z134" s="114" t="s">
        <v>878</v>
      </c>
      <c r="AA134" s="42" t="s">
        <v>619</v>
      </c>
      <c r="AB134" s="45">
        <v>28</v>
      </c>
      <c r="AC134" s="64">
        <v>250.07</v>
      </c>
      <c r="AD134" s="243">
        <v>4826</v>
      </c>
      <c r="AE134" s="41" t="s">
        <v>1335</v>
      </c>
      <c r="AF134" s="208">
        <v>44113</v>
      </c>
      <c r="AG134" s="43">
        <v>117500</v>
      </c>
    </row>
    <row r="135" spans="1:33">
      <c r="A135" s="61" t="str">
        <f t="shared" si="24"/>
        <v>LONDRINA [ETAPA 03 - CONDOMINIO ARANGUA]XL22</v>
      </c>
      <c r="B135" s="114" t="s">
        <v>33</v>
      </c>
      <c r="C135" s="42" t="s">
        <v>523</v>
      </c>
      <c r="D135" s="45">
        <v>22</v>
      </c>
      <c r="E135" s="64">
        <v>256.19</v>
      </c>
      <c r="F135" s="243">
        <v>4978</v>
      </c>
      <c r="G135" s="41" t="s">
        <v>1419</v>
      </c>
      <c r="H135" s="204">
        <v>44211</v>
      </c>
      <c r="I135" s="259" t="str">
        <f t="shared" si="23"/>
        <v>LONDRINA [ETAPA 03 - CONDOMINIO ARANGUA]1/2021</v>
      </c>
      <c r="J135" s="53" t="str">
        <f t="shared" ref="J135:J198" si="28">CONCATENATE(L135,MONTH(H135),"/",YEAR(H135))</f>
        <v>Distrato1/2021</v>
      </c>
      <c r="K135" s="43">
        <v>165440</v>
      </c>
      <c r="L135" s="43" t="s">
        <v>570</v>
      </c>
      <c r="M135" s="190">
        <v>0</v>
      </c>
      <c r="N135" s="494" t="str">
        <f t="shared" si="25"/>
        <v>VENDA</v>
      </c>
      <c r="O135" s="491" t="str">
        <f t="shared" si="26"/>
        <v>LONDRINA [ETAPA 03 - CONDOMINIO ARANGUA]VENDA</v>
      </c>
      <c r="P135" s="492" t="str">
        <f t="shared" si="27"/>
        <v>VENDADistratoLONDRINA [ETAPA 03 - CONDOMINIO ARANGUA]</v>
      </c>
      <c r="Q135" s="485"/>
      <c r="Z135" s="114" t="s">
        <v>878</v>
      </c>
      <c r="AA135" s="42" t="s">
        <v>619</v>
      </c>
      <c r="AB135" s="45">
        <v>29</v>
      </c>
      <c r="AC135" s="64">
        <v>250.07</v>
      </c>
      <c r="AD135" s="243">
        <v>4822</v>
      </c>
      <c r="AE135" s="41" t="s">
        <v>1333</v>
      </c>
      <c r="AF135" s="208">
        <v>44113</v>
      </c>
      <c r="AG135" s="43">
        <v>117500</v>
      </c>
    </row>
    <row r="136" spans="1:33">
      <c r="A136" s="61" t="str">
        <f t="shared" si="24"/>
        <v>LONDRINA [ETAPA 03 - CONDOMINIO ARANGUA]XL24</v>
      </c>
      <c r="B136" s="114" t="s">
        <v>33</v>
      </c>
      <c r="C136" s="42" t="s">
        <v>523</v>
      </c>
      <c r="D136" s="45">
        <v>24</v>
      </c>
      <c r="E136" s="64">
        <v>256.19</v>
      </c>
      <c r="F136" s="201">
        <v>7044</v>
      </c>
      <c r="G136" s="41" t="s">
        <v>307</v>
      </c>
      <c r="H136" s="204">
        <v>43535</v>
      </c>
      <c r="I136" s="259" t="str">
        <f t="shared" ref="I136:I199" si="29">CONCATENATE(B136,MONTH(H136),"/",YEAR(H136))</f>
        <v>LONDRINA [ETAPA 03 - CONDOMINIO ARANGUA]3/2019</v>
      </c>
      <c r="J136" s="53" t="str">
        <f t="shared" si="28"/>
        <v>Distrato3/2019</v>
      </c>
      <c r="K136" s="43">
        <v>160460.14000000001</v>
      </c>
      <c r="L136" s="43" t="s">
        <v>570</v>
      </c>
      <c r="M136" s="190">
        <v>0</v>
      </c>
      <c r="N136" s="494" t="str">
        <f t="shared" si="25"/>
        <v>VENDA</v>
      </c>
      <c r="O136" s="491" t="str">
        <f t="shared" si="26"/>
        <v>LONDRINA [ETAPA 03 - CONDOMINIO ARANGUA]VENDA</v>
      </c>
      <c r="P136" s="492" t="str">
        <f t="shared" si="27"/>
        <v>VENDADistratoLONDRINA [ETAPA 03 - CONDOMINIO ARANGUA]</v>
      </c>
      <c r="Q136" s="485"/>
      <c r="Z136" s="114" t="s">
        <v>878</v>
      </c>
      <c r="AA136" s="42" t="s">
        <v>619</v>
      </c>
      <c r="AB136" s="45">
        <v>30</v>
      </c>
      <c r="AC136" s="64">
        <v>250.07</v>
      </c>
      <c r="AD136" s="243">
        <v>4821</v>
      </c>
      <c r="AE136" s="41" t="s">
        <v>1332</v>
      </c>
      <c r="AF136" s="208">
        <v>44113</v>
      </c>
      <c r="AG136" s="43">
        <v>117500</v>
      </c>
    </row>
    <row r="137" spans="1:33">
      <c r="A137" s="61" t="str">
        <f t="shared" si="24"/>
        <v>LONDRINA [ETAPA 03 - CONDOMINIO ARANGUA]XL29</v>
      </c>
      <c r="B137" s="114" t="s">
        <v>33</v>
      </c>
      <c r="C137" s="42" t="s">
        <v>523</v>
      </c>
      <c r="D137" s="45">
        <v>29</v>
      </c>
      <c r="E137" s="64">
        <v>256.19</v>
      </c>
      <c r="F137" s="201"/>
      <c r="G137" s="41" t="s">
        <v>637</v>
      </c>
      <c r="H137" s="204">
        <v>43264</v>
      </c>
      <c r="I137" s="259" t="str">
        <f t="shared" si="29"/>
        <v>LONDRINA [ETAPA 03 - CONDOMINIO ARANGUA]6/2018</v>
      </c>
      <c r="J137" s="53" t="str">
        <f t="shared" si="28"/>
        <v>Remanescente6/2018</v>
      </c>
      <c r="K137" s="43">
        <v>131600</v>
      </c>
      <c r="L137" s="43" t="s">
        <v>539</v>
      </c>
      <c r="M137" s="43">
        <v>0</v>
      </c>
      <c r="N137" s="494" t="str">
        <f t="shared" si="25"/>
        <v>VENDA</v>
      </c>
      <c r="O137" s="491" t="str">
        <f t="shared" si="26"/>
        <v>LONDRINA [ETAPA 03 - CONDOMINIO ARANGUA]VENDA</v>
      </c>
      <c r="P137" s="492" t="str">
        <f t="shared" si="27"/>
        <v>VENDARemanescenteLONDRINA [ETAPA 03 - CONDOMINIO ARANGUA]</v>
      </c>
      <c r="Q137" s="485"/>
      <c r="Z137" s="114" t="s">
        <v>878</v>
      </c>
      <c r="AA137" s="42" t="s">
        <v>619</v>
      </c>
      <c r="AB137" s="45">
        <v>31</v>
      </c>
      <c r="AC137" s="64">
        <v>250.07</v>
      </c>
      <c r="AD137" s="243">
        <v>5014</v>
      </c>
      <c r="AE137" s="41" t="s">
        <v>1484</v>
      </c>
      <c r="AF137" s="208">
        <v>44230</v>
      </c>
      <c r="AG137" s="43">
        <v>148211.69</v>
      </c>
    </row>
    <row r="138" spans="1:33">
      <c r="A138" s="61" t="str">
        <f t="shared" si="24"/>
        <v>LONDRINA [ETAPA 03 - CONDOMINIO ARANGUA]XL30</v>
      </c>
      <c r="B138" s="114" t="s">
        <v>33</v>
      </c>
      <c r="C138" s="42" t="s">
        <v>523</v>
      </c>
      <c r="D138" s="45">
        <v>30</v>
      </c>
      <c r="E138" s="64">
        <v>277.37</v>
      </c>
      <c r="F138" s="243">
        <v>4844</v>
      </c>
      <c r="G138" s="41" t="s">
        <v>1346</v>
      </c>
      <c r="H138" s="204">
        <v>44127</v>
      </c>
      <c r="I138" s="259" t="str">
        <f t="shared" si="29"/>
        <v>LONDRINA [ETAPA 03 - CONDOMINIO ARANGUA]10/2020</v>
      </c>
      <c r="J138" s="53" t="str">
        <f t="shared" si="28"/>
        <v>Remanescente10/2020</v>
      </c>
      <c r="K138" s="43">
        <v>165360.18</v>
      </c>
      <c r="L138" s="43" t="s">
        <v>539</v>
      </c>
      <c r="M138" s="190">
        <v>0</v>
      </c>
      <c r="N138" s="494" t="str">
        <f t="shared" si="25"/>
        <v>VENDA</v>
      </c>
      <c r="O138" s="491" t="str">
        <f t="shared" si="26"/>
        <v>LONDRINA [ETAPA 03 - CONDOMINIO ARANGUA]VENDA</v>
      </c>
      <c r="P138" s="492" t="str">
        <f t="shared" si="27"/>
        <v>VENDARemanescenteLONDRINA [ETAPA 03 - CONDOMINIO ARANGUA]</v>
      </c>
      <c r="Q138" s="485"/>
      <c r="Z138" s="114" t="s">
        <v>878</v>
      </c>
      <c r="AA138" s="42" t="s">
        <v>619</v>
      </c>
      <c r="AB138" s="45">
        <v>32</v>
      </c>
      <c r="AC138" s="64">
        <v>250.07</v>
      </c>
      <c r="AD138" s="201">
        <v>5125</v>
      </c>
      <c r="AE138" s="41" t="s">
        <v>1489</v>
      </c>
      <c r="AF138" s="208">
        <v>44280</v>
      </c>
      <c r="AG138" s="43">
        <v>150000</v>
      </c>
    </row>
    <row r="139" spans="1:33">
      <c r="A139" s="61" t="str">
        <f t="shared" si="24"/>
        <v>LONDRINA [ETAPA 03 - CONDOMINIO ARANGUA]XLI1</v>
      </c>
      <c r="B139" s="114" t="s">
        <v>33</v>
      </c>
      <c r="C139" s="42" t="s">
        <v>524</v>
      </c>
      <c r="D139" s="45">
        <v>1</v>
      </c>
      <c r="E139" s="64">
        <v>370.23</v>
      </c>
      <c r="F139" s="201"/>
      <c r="G139" s="41" t="s">
        <v>911</v>
      </c>
      <c r="H139" s="204">
        <v>43439</v>
      </c>
      <c r="I139" s="259" t="str">
        <f t="shared" si="29"/>
        <v>LONDRINA [ETAPA 03 - CONDOMINIO ARANGUA]12/2018</v>
      </c>
      <c r="J139" s="53" t="str">
        <f t="shared" si="28"/>
        <v>Remanescente12/2018</v>
      </c>
      <c r="K139" s="43">
        <v>155100</v>
      </c>
      <c r="L139" s="43" t="s">
        <v>539</v>
      </c>
      <c r="M139" s="43">
        <v>0</v>
      </c>
      <c r="N139" s="494" t="str">
        <f t="shared" si="25"/>
        <v>VENDA</v>
      </c>
      <c r="O139" s="491" t="str">
        <f t="shared" si="26"/>
        <v>LONDRINA [ETAPA 03 - CONDOMINIO ARANGUA]VENDA</v>
      </c>
      <c r="P139" s="492" t="str">
        <f t="shared" si="27"/>
        <v>VENDARemanescenteLONDRINA [ETAPA 03 - CONDOMINIO ARANGUA]</v>
      </c>
      <c r="Q139" s="485"/>
      <c r="Z139" s="114" t="s">
        <v>878</v>
      </c>
      <c r="AA139" s="42" t="s">
        <v>619</v>
      </c>
      <c r="AB139" s="45">
        <v>33</v>
      </c>
      <c r="AC139" s="64">
        <v>250.07</v>
      </c>
      <c r="AD139" s="243">
        <v>4862</v>
      </c>
      <c r="AE139" s="41" t="s">
        <v>1372</v>
      </c>
      <c r="AF139" s="208">
        <v>44141</v>
      </c>
      <c r="AG139" s="43">
        <v>131599.9</v>
      </c>
    </row>
    <row r="140" spans="1:33">
      <c r="A140" s="61" t="str">
        <f t="shared" si="24"/>
        <v>LONDRINA [ETAPA 03 - CONDOMINIO ARANGUA]XLI3</v>
      </c>
      <c r="B140" s="114" t="s">
        <v>33</v>
      </c>
      <c r="C140" s="42" t="s">
        <v>524</v>
      </c>
      <c r="D140" s="45">
        <v>3</v>
      </c>
      <c r="E140" s="64">
        <v>262.42</v>
      </c>
      <c r="F140" s="201"/>
      <c r="G140" s="41" t="s">
        <v>790</v>
      </c>
      <c r="H140" s="204">
        <v>43328</v>
      </c>
      <c r="I140" s="259" t="str">
        <f t="shared" si="29"/>
        <v>LONDRINA [ETAPA 03 - CONDOMINIO ARANGUA]8/2018</v>
      </c>
      <c r="J140" s="53" t="str">
        <f t="shared" si="28"/>
        <v>Remanescente8/2018</v>
      </c>
      <c r="K140" s="43">
        <v>124456</v>
      </c>
      <c r="L140" s="43" t="s">
        <v>539</v>
      </c>
      <c r="M140" s="43">
        <v>0</v>
      </c>
      <c r="N140" s="494" t="str">
        <f t="shared" si="25"/>
        <v>VENDA</v>
      </c>
      <c r="O140" s="491" t="str">
        <f t="shared" si="26"/>
        <v>LONDRINA [ETAPA 03 - CONDOMINIO ARANGUA]VENDA</v>
      </c>
      <c r="P140" s="492" t="str">
        <f t="shared" si="27"/>
        <v>VENDARemanescenteLONDRINA [ETAPA 03 - CONDOMINIO ARANGUA]</v>
      </c>
      <c r="Q140" s="485"/>
      <c r="Z140" s="114" t="s">
        <v>878</v>
      </c>
      <c r="AA140" s="42" t="s">
        <v>619</v>
      </c>
      <c r="AB140" s="45">
        <v>36</v>
      </c>
      <c r="AC140" s="64">
        <v>254.95</v>
      </c>
      <c r="AD140" s="201">
        <v>5124</v>
      </c>
      <c r="AE140" s="41" t="s">
        <v>1497</v>
      </c>
      <c r="AF140" s="208">
        <v>44256</v>
      </c>
      <c r="AG140" s="43">
        <v>151104.97</v>
      </c>
    </row>
    <row r="141" spans="1:33">
      <c r="A141" s="61" t="str">
        <f t="shared" si="24"/>
        <v>LONDRINA [ETAPA 03 - CONDOMINIO ARANGUA]XLI4</v>
      </c>
      <c r="B141" s="114" t="s">
        <v>33</v>
      </c>
      <c r="C141" s="42" t="s">
        <v>524</v>
      </c>
      <c r="D141" s="45">
        <v>4</v>
      </c>
      <c r="E141" s="64">
        <v>262.42</v>
      </c>
      <c r="F141" s="201"/>
      <c r="G141" s="41" t="s">
        <v>791</v>
      </c>
      <c r="H141" s="204">
        <v>43313</v>
      </c>
      <c r="I141" s="259" t="str">
        <f t="shared" si="29"/>
        <v>LONDRINA [ETAPA 03 - CONDOMINIO ARANGUA]8/2018</v>
      </c>
      <c r="J141" s="53" t="str">
        <f t="shared" si="28"/>
        <v>Remanescente8/2018</v>
      </c>
      <c r="K141" s="43">
        <v>126900</v>
      </c>
      <c r="L141" s="43" t="s">
        <v>539</v>
      </c>
      <c r="M141" s="43">
        <v>0</v>
      </c>
      <c r="N141" s="494" t="str">
        <f t="shared" si="25"/>
        <v>VENDA</v>
      </c>
      <c r="O141" s="491" t="str">
        <f t="shared" si="26"/>
        <v>LONDRINA [ETAPA 03 - CONDOMINIO ARANGUA]VENDA</v>
      </c>
      <c r="P141" s="492" t="str">
        <f t="shared" si="27"/>
        <v>VENDARemanescenteLONDRINA [ETAPA 03 - CONDOMINIO ARANGUA]</v>
      </c>
      <c r="Q141" s="485"/>
    </row>
    <row r="142" spans="1:33">
      <c r="A142" s="61" t="str">
        <f t="shared" si="24"/>
        <v>LONDRINA [ETAPA 03 - CONDOMINIO ARANGUA]XLI5</v>
      </c>
      <c r="B142" s="114" t="s">
        <v>33</v>
      </c>
      <c r="C142" s="42" t="s">
        <v>524</v>
      </c>
      <c r="D142" s="45">
        <v>5</v>
      </c>
      <c r="E142" s="64">
        <v>262.42</v>
      </c>
      <c r="F142" s="201"/>
      <c r="G142" s="41" t="s">
        <v>912</v>
      </c>
      <c r="H142" s="204">
        <v>43452</v>
      </c>
      <c r="I142" s="259" t="str">
        <f t="shared" si="29"/>
        <v>LONDRINA [ETAPA 03 - CONDOMINIO ARANGUA]12/2018</v>
      </c>
      <c r="J142" s="53" t="str">
        <f t="shared" si="28"/>
        <v>Remanescente12/2018</v>
      </c>
      <c r="K142" s="43">
        <v>117500</v>
      </c>
      <c r="L142" s="43" t="s">
        <v>539</v>
      </c>
      <c r="M142" s="43">
        <v>0</v>
      </c>
      <c r="N142" s="494" t="str">
        <f t="shared" si="25"/>
        <v>VENDA</v>
      </c>
      <c r="O142" s="491" t="str">
        <f t="shared" si="26"/>
        <v>LONDRINA [ETAPA 03 - CONDOMINIO ARANGUA]VENDA</v>
      </c>
      <c r="P142" s="492" t="str">
        <f t="shared" si="27"/>
        <v>VENDARemanescenteLONDRINA [ETAPA 03 - CONDOMINIO ARANGUA]</v>
      </c>
      <c r="Q142" s="485"/>
    </row>
    <row r="143" spans="1:33">
      <c r="A143" s="61" t="str">
        <f t="shared" si="24"/>
        <v>LONDRINA [ETAPA 03 - CONDOMINIO ARANGUA]XLI6</v>
      </c>
      <c r="B143" s="114" t="s">
        <v>33</v>
      </c>
      <c r="C143" s="42" t="s">
        <v>524</v>
      </c>
      <c r="D143" s="45">
        <v>6</v>
      </c>
      <c r="E143" s="64">
        <v>262.42</v>
      </c>
      <c r="F143" s="201"/>
      <c r="G143" s="41" t="s">
        <v>792</v>
      </c>
      <c r="H143" s="204">
        <v>43336</v>
      </c>
      <c r="I143" s="259" t="str">
        <f t="shared" si="29"/>
        <v>LONDRINA [ETAPA 03 - CONDOMINIO ARANGUA]8/2018</v>
      </c>
      <c r="J143" s="53" t="str">
        <f t="shared" si="28"/>
        <v>Remanescente8/2018</v>
      </c>
      <c r="K143" s="43">
        <v>127839.43</v>
      </c>
      <c r="L143" s="43" t="s">
        <v>539</v>
      </c>
      <c r="M143" s="43">
        <v>0</v>
      </c>
      <c r="N143" s="494" t="str">
        <f t="shared" si="25"/>
        <v>VENDA</v>
      </c>
      <c r="O143" s="491" t="str">
        <f t="shared" si="26"/>
        <v>LONDRINA [ETAPA 03 - CONDOMINIO ARANGUA]VENDA</v>
      </c>
      <c r="P143" s="492" t="str">
        <f t="shared" si="27"/>
        <v>VENDARemanescenteLONDRINA [ETAPA 03 - CONDOMINIO ARANGUA]</v>
      </c>
      <c r="Q143" s="485"/>
    </row>
    <row r="144" spans="1:33">
      <c r="A144" s="61" t="str">
        <f t="shared" si="24"/>
        <v>LONDRINA [ETAPA 03 - CONDOMINIO ARANGUA]XLI6</v>
      </c>
      <c r="B144" s="114" t="s">
        <v>33</v>
      </c>
      <c r="C144" s="42" t="s">
        <v>524</v>
      </c>
      <c r="D144" s="45">
        <v>6</v>
      </c>
      <c r="E144" s="64">
        <v>262.42</v>
      </c>
      <c r="F144" s="243">
        <v>7178</v>
      </c>
      <c r="G144" s="41" t="s">
        <v>973</v>
      </c>
      <c r="H144" s="204">
        <v>43587</v>
      </c>
      <c r="I144" s="259" t="str">
        <f t="shared" si="29"/>
        <v>LONDRINA [ETAPA 03 - CONDOMINIO ARANGUA]5/2019</v>
      </c>
      <c r="J144" s="53" t="str">
        <f t="shared" si="28"/>
        <v>Distrato5/2019</v>
      </c>
      <c r="K144" s="43">
        <v>121025</v>
      </c>
      <c r="L144" s="43" t="s">
        <v>570</v>
      </c>
      <c r="M144" s="190">
        <v>0</v>
      </c>
      <c r="N144" s="494" t="str">
        <f t="shared" si="25"/>
        <v>VENDA</v>
      </c>
      <c r="O144" s="491" t="str">
        <f t="shared" si="26"/>
        <v>LONDRINA [ETAPA 03 - CONDOMINIO ARANGUA]VENDA</v>
      </c>
      <c r="P144" s="492" t="str">
        <f t="shared" si="27"/>
        <v>VENDADistratoLONDRINA [ETAPA 03 - CONDOMINIO ARANGUA]</v>
      </c>
      <c r="Q144" s="485"/>
    </row>
    <row r="145" spans="1:17">
      <c r="A145" s="61" t="str">
        <f t="shared" si="24"/>
        <v>LONDRINA [ETAPA 03 - CONDOMINIO ARANGUA]XLI7</v>
      </c>
      <c r="B145" s="114" t="s">
        <v>33</v>
      </c>
      <c r="C145" s="42" t="s">
        <v>524</v>
      </c>
      <c r="D145" s="45">
        <v>7</v>
      </c>
      <c r="E145" s="64">
        <v>262.42</v>
      </c>
      <c r="F145" s="201"/>
      <c r="G145" s="41" t="s">
        <v>1060</v>
      </c>
      <c r="H145" s="204">
        <v>43710</v>
      </c>
      <c r="I145" s="259" t="str">
        <f t="shared" si="29"/>
        <v>LONDRINA [ETAPA 03 - CONDOMINIO ARANGUA]9/2019</v>
      </c>
      <c r="J145" s="53" t="str">
        <f t="shared" si="28"/>
        <v>Remanescente9/2019</v>
      </c>
      <c r="K145" s="43">
        <v>117499.65</v>
      </c>
      <c r="L145" s="43" t="s">
        <v>539</v>
      </c>
      <c r="M145" s="190">
        <v>0</v>
      </c>
      <c r="N145" s="494" t="str">
        <f t="shared" si="25"/>
        <v>VENDA</v>
      </c>
      <c r="O145" s="491" t="str">
        <f t="shared" si="26"/>
        <v>LONDRINA [ETAPA 03 - CONDOMINIO ARANGUA]VENDA</v>
      </c>
      <c r="P145" s="492" t="str">
        <f t="shared" si="27"/>
        <v>VENDARemanescenteLONDRINA [ETAPA 03 - CONDOMINIO ARANGUA]</v>
      </c>
      <c r="Q145" s="485"/>
    </row>
    <row r="146" spans="1:17">
      <c r="A146" s="61" t="str">
        <f t="shared" si="24"/>
        <v>LONDRINA [ETAPA 03 - CONDOMINIO ARANGUA]XLI9</v>
      </c>
      <c r="B146" s="114" t="s">
        <v>33</v>
      </c>
      <c r="C146" s="42" t="s">
        <v>524</v>
      </c>
      <c r="D146" s="45">
        <v>9</v>
      </c>
      <c r="E146" s="64">
        <v>262.42</v>
      </c>
      <c r="F146" s="201"/>
      <c r="G146" s="41" t="s">
        <v>948</v>
      </c>
      <c r="H146" s="204">
        <v>43556</v>
      </c>
      <c r="I146" s="259" t="str">
        <f t="shared" si="29"/>
        <v>LONDRINA [ETAPA 03 - CONDOMINIO ARANGUA]4/2019</v>
      </c>
      <c r="J146" s="53" t="str">
        <f t="shared" si="28"/>
        <v>Remanescente4/2019</v>
      </c>
      <c r="K146" s="43">
        <v>121025.1</v>
      </c>
      <c r="L146" s="43" t="s">
        <v>539</v>
      </c>
      <c r="M146" s="190">
        <v>0</v>
      </c>
      <c r="N146" s="494" t="str">
        <f t="shared" si="25"/>
        <v>VENDA</v>
      </c>
      <c r="O146" s="491" t="str">
        <f t="shared" si="26"/>
        <v>LONDRINA [ETAPA 03 - CONDOMINIO ARANGUA]VENDA</v>
      </c>
      <c r="P146" s="492" t="str">
        <f t="shared" si="27"/>
        <v>VENDARemanescenteLONDRINA [ETAPA 03 - CONDOMINIO ARANGUA]</v>
      </c>
      <c r="Q146" s="485"/>
    </row>
    <row r="147" spans="1:17">
      <c r="A147" s="61" t="str">
        <f t="shared" si="24"/>
        <v>LONDRINA [ETAPA 03 - CONDOMINIO ARANGUA]XLI10</v>
      </c>
      <c r="B147" s="114" t="s">
        <v>33</v>
      </c>
      <c r="C147" s="42" t="s">
        <v>524</v>
      </c>
      <c r="D147" s="45">
        <v>10</v>
      </c>
      <c r="E147" s="64">
        <v>262.42</v>
      </c>
      <c r="F147" s="201"/>
      <c r="G147" s="41" t="s">
        <v>1122</v>
      </c>
      <c r="H147" s="204">
        <v>43854</v>
      </c>
      <c r="I147" s="259" t="str">
        <f t="shared" si="29"/>
        <v>LONDRINA [ETAPA 03 - CONDOMINIO ARANGUA]1/2020</v>
      </c>
      <c r="J147" s="53" t="str">
        <f t="shared" si="28"/>
        <v>Distrato1/2020</v>
      </c>
      <c r="K147" s="43">
        <v>122200.2</v>
      </c>
      <c r="L147" s="43" t="s">
        <v>570</v>
      </c>
      <c r="M147" s="190">
        <v>0</v>
      </c>
      <c r="N147" s="494" t="str">
        <f t="shared" si="25"/>
        <v>VENDA</v>
      </c>
      <c r="O147" s="491" t="str">
        <f t="shared" si="26"/>
        <v>LONDRINA [ETAPA 03 - CONDOMINIO ARANGUA]VENDA</v>
      </c>
      <c r="P147" s="492" t="str">
        <f t="shared" si="27"/>
        <v>VENDADistratoLONDRINA [ETAPA 03 - CONDOMINIO ARANGUA]</v>
      </c>
      <c r="Q147" s="485"/>
    </row>
    <row r="148" spans="1:17">
      <c r="A148" s="61" t="str">
        <f t="shared" si="24"/>
        <v>LONDRINA [ETAPA 03 - CONDOMINIO ARANGUA]XLI11</v>
      </c>
      <c r="B148" s="114" t="s">
        <v>33</v>
      </c>
      <c r="C148" s="42" t="s">
        <v>524</v>
      </c>
      <c r="D148" s="45">
        <v>11</v>
      </c>
      <c r="E148" s="64">
        <v>262.42</v>
      </c>
      <c r="F148" s="243">
        <v>4776</v>
      </c>
      <c r="G148" s="41" t="s">
        <v>1314</v>
      </c>
      <c r="H148" s="204">
        <v>44084</v>
      </c>
      <c r="I148" s="259" t="str">
        <f t="shared" si="29"/>
        <v>LONDRINA [ETAPA 03 - CONDOMINIO ARANGUA]9/2020</v>
      </c>
      <c r="J148" s="53" t="str">
        <f t="shared" si="28"/>
        <v>Remanescente9/2020</v>
      </c>
      <c r="K148" s="43">
        <v>122199.9</v>
      </c>
      <c r="L148" s="43" t="s">
        <v>539</v>
      </c>
      <c r="M148" s="190">
        <v>0</v>
      </c>
      <c r="N148" s="494" t="str">
        <f t="shared" si="25"/>
        <v>VENDA</v>
      </c>
      <c r="O148" s="491" t="str">
        <f t="shared" si="26"/>
        <v>LONDRINA [ETAPA 03 - CONDOMINIO ARANGUA]VENDA</v>
      </c>
      <c r="P148" s="492" t="str">
        <f t="shared" si="27"/>
        <v>VENDARemanescenteLONDRINA [ETAPA 03 - CONDOMINIO ARANGUA]</v>
      </c>
      <c r="Q148" s="485"/>
    </row>
    <row r="149" spans="1:17">
      <c r="A149" s="61" t="str">
        <f t="shared" si="24"/>
        <v>LONDRINA [ETAPA 03 - CONDOMINIO ARANGUA]XLI12</v>
      </c>
      <c r="B149" s="114" t="s">
        <v>33</v>
      </c>
      <c r="C149" s="42" t="s">
        <v>524</v>
      </c>
      <c r="D149" s="45">
        <v>12</v>
      </c>
      <c r="E149" s="64">
        <v>277.48</v>
      </c>
      <c r="F149" s="201"/>
      <c r="G149" s="41" t="s">
        <v>1061</v>
      </c>
      <c r="H149" s="204">
        <v>43710</v>
      </c>
      <c r="I149" s="259" t="str">
        <f t="shared" si="29"/>
        <v>LONDRINA [ETAPA 03 - CONDOMINIO ARANGUA]9/2019</v>
      </c>
      <c r="J149" s="53" t="str">
        <f t="shared" si="28"/>
        <v>Remanescente9/2019</v>
      </c>
      <c r="K149" s="43">
        <v>122200</v>
      </c>
      <c r="L149" s="43" t="s">
        <v>539</v>
      </c>
      <c r="M149" s="190">
        <v>0</v>
      </c>
      <c r="N149" s="494" t="str">
        <f t="shared" si="25"/>
        <v>VENDA</v>
      </c>
      <c r="O149" s="491" t="str">
        <f t="shared" si="26"/>
        <v>LONDRINA [ETAPA 03 - CONDOMINIO ARANGUA]VENDA</v>
      </c>
      <c r="P149" s="492" t="str">
        <f t="shared" si="27"/>
        <v>VENDARemanescenteLONDRINA [ETAPA 03 - CONDOMINIO ARANGUA]</v>
      </c>
      <c r="Q149" s="485"/>
    </row>
    <row r="150" spans="1:17">
      <c r="A150" s="61" t="str">
        <f t="shared" si="24"/>
        <v>LONDRINA [ETAPA 03 - CONDOMINIO ARANGUA]XLI13</v>
      </c>
      <c r="B150" s="114" t="s">
        <v>33</v>
      </c>
      <c r="C150" s="42" t="s">
        <v>524</v>
      </c>
      <c r="D150" s="45">
        <v>13</v>
      </c>
      <c r="E150" s="64">
        <v>277.48</v>
      </c>
      <c r="F150" s="201"/>
      <c r="G150" s="41" t="s">
        <v>1061</v>
      </c>
      <c r="H150" s="204">
        <v>43710</v>
      </c>
      <c r="I150" s="259" t="str">
        <f t="shared" si="29"/>
        <v>LONDRINA [ETAPA 03 - CONDOMINIO ARANGUA]9/2019</v>
      </c>
      <c r="J150" s="53" t="str">
        <f t="shared" si="28"/>
        <v>Remanescente9/2019</v>
      </c>
      <c r="K150" s="43">
        <v>122200</v>
      </c>
      <c r="L150" s="43" t="s">
        <v>539</v>
      </c>
      <c r="M150" s="190">
        <v>0</v>
      </c>
      <c r="N150" s="494" t="str">
        <f t="shared" si="25"/>
        <v>VENDA</v>
      </c>
      <c r="O150" s="491" t="str">
        <f t="shared" si="26"/>
        <v>LONDRINA [ETAPA 03 - CONDOMINIO ARANGUA]VENDA</v>
      </c>
      <c r="P150" s="492" t="str">
        <f t="shared" si="27"/>
        <v>VENDARemanescenteLONDRINA [ETAPA 03 - CONDOMINIO ARANGUA]</v>
      </c>
      <c r="Q150" s="485"/>
    </row>
    <row r="151" spans="1:17">
      <c r="A151" s="61" t="str">
        <f t="shared" si="24"/>
        <v>LONDRINA [ETAPA 03 - CONDOMINIO ARANGUA]XLI16</v>
      </c>
      <c r="B151" s="114" t="s">
        <v>33</v>
      </c>
      <c r="C151" s="42" t="s">
        <v>524</v>
      </c>
      <c r="D151" s="45">
        <v>16</v>
      </c>
      <c r="E151" s="64">
        <v>255.46</v>
      </c>
      <c r="F151" s="243">
        <v>4785</v>
      </c>
      <c r="G151" s="41" t="s">
        <v>1315</v>
      </c>
      <c r="H151" s="204">
        <v>44098</v>
      </c>
      <c r="I151" s="259" t="str">
        <f t="shared" si="29"/>
        <v>LONDRINA [ETAPA 03 - CONDOMINIO ARANGUA]9/2020</v>
      </c>
      <c r="J151" s="53" t="str">
        <f t="shared" si="28"/>
        <v>Remanescente9/2020</v>
      </c>
      <c r="K151" s="43">
        <v>122200.09</v>
      </c>
      <c r="L151" s="43" t="s">
        <v>539</v>
      </c>
      <c r="M151" s="190">
        <v>0</v>
      </c>
      <c r="N151" s="494" t="str">
        <f t="shared" si="25"/>
        <v>VENDA</v>
      </c>
      <c r="O151" s="491" t="str">
        <f t="shared" si="26"/>
        <v>LONDRINA [ETAPA 03 - CONDOMINIO ARANGUA]VENDA</v>
      </c>
      <c r="P151" s="492" t="str">
        <f t="shared" si="27"/>
        <v>VENDARemanescenteLONDRINA [ETAPA 03 - CONDOMINIO ARANGUA]</v>
      </c>
      <c r="Q151" s="485"/>
    </row>
    <row r="152" spans="1:17">
      <c r="A152" s="61" t="str">
        <f t="shared" si="24"/>
        <v>LONDRINA [ETAPA 03 - CONDOMINIO ARANGUA]XLI17</v>
      </c>
      <c r="B152" s="114" t="s">
        <v>33</v>
      </c>
      <c r="C152" s="16" t="s">
        <v>524</v>
      </c>
      <c r="D152" s="46">
        <v>17</v>
      </c>
      <c r="E152" s="64">
        <v>255.46</v>
      </c>
      <c r="F152" s="243">
        <v>4863</v>
      </c>
      <c r="G152" s="15" t="s">
        <v>1374</v>
      </c>
      <c r="H152" s="207">
        <v>44138</v>
      </c>
      <c r="I152" s="259" t="str">
        <f t="shared" si="29"/>
        <v>LONDRINA [ETAPA 03 - CONDOMINIO ARANGUA]11/2020</v>
      </c>
      <c r="J152" s="53" t="str">
        <f t="shared" si="28"/>
        <v>Remanescente11/2020</v>
      </c>
      <c r="K152" s="18">
        <v>129531.6</v>
      </c>
      <c r="L152" s="43" t="s">
        <v>539</v>
      </c>
      <c r="M152" s="190">
        <v>0</v>
      </c>
      <c r="N152" s="494" t="str">
        <f t="shared" si="25"/>
        <v>VENDA</v>
      </c>
      <c r="O152" s="491" t="str">
        <f t="shared" si="26"/>
        <v>LONDRINA [ETAPA 03 - CONDOMINIO ARANGUA]VENDA</v>
      </c>
      <c r="P152" s="492" t="str">
        <f t="shared" si="27"/>
        <v>VENDARemanescenteLONDRINA [ETAPA 03 - CONDOMINIO ARANGUA]</v>
      </c>
      <c r="Q152" s="485"/>
    </row>
    <row r="153" spans="1:17">
      <c r="A153" s="61" t="str">
        <f t="shared" si="24"/>
        <v>LONDRINA [ETAPA 03 - CONDOMINIO ARANGUA]XLI-A1</v>
      </c>
      <c r="B153" s="114" t="s">
        <v>33</v>
      </c>
      <c r="C153" s="16" t="s">
        <v>535</v>
      </c>
      <c r="D153" s="46">
        <v>1</v>
      </c>
      <c r="E153" s="185">
        <v>255.45</v>
      </c>
      <c r="F153" s="243">
        <v>4788</v>
      </c>
      <c r="G153" s="15" t="s">
        <v>1316</v>
      </c>
      <c r="H153" s="207">
        <v>44075</v>
      </c>
      <c r="I153" s="259" t="str">
        <f t="shared" si="29"/>
        <v>LONDRINA [ETAPA 03 - CONDOMINIO ARANGUA]9/2020</v>
      </c>
      <c r="J153" s="53" t="str">
        <f t="shared" si="28"/>
        <v>Remanescente9/2020</v>
      </c>
      <c r="K153" s="18">
        <v>119756</v>
      </c>
      <c r="L153" s="43" t="s">
        <v>539</v>
      </c>
      <c r="M153" s="192">
        <v>0</v>
      </c>
      <c r="N153" s="494" t="str">
        <f t="shared" si="25"/>
        <v>VENDA</v>
      </c>
      <c r="O153" s="491" t="str">
        <f t="shared" si="26"/>
        <v>LONDRINA [ETAPA 03 - CONDOMINIO ARANGUA]VENDA</v>
      </c>
      <c r="P153" s="492" t="str">
        <f t="shared" si="27"/>
        <v>VENDARemanescenteLONDRINA [ETAPA 03 - CONDOMINIO ARANGUA]</v>
      </c>
      <c r="Q153" s="485"/>
    </row>
    <row r="154" spans="1:17">
      <c r="A154" s="61" t="str">
        <f t="shared" si="24"/>
        <v>LONDRINA [ETAPA 03 - CONDOMINIO ARANGUA]XLI-A2</v>
      </c>
      <c r="B154" s="114" t="s">
        <v>33</v>
      </c>
      <c r="C154" s="16" t="s">
        <v>535</v>
      </c>
      <c r="D154" s="45">
        <v>2</v>
      </c>
      <c r="E154" s="64">
        <v>255.45</v>
      </c>
      <c r="F154" s="243">
        <v>4742</v>
      </c>
      <c r="G154" s="41" t="s">
        <v>1266</v>
      </c>
      <c r="H154" s="204">
        <v>44062</v>
      </c>
      <c r="I154" s="259" t="str">
        <f t="shared" si="29"/>
        <v>LONDRINA [ETAPA 03 - CONDOMINIO ARANGUA]8/2020</v>
      </c>
      <c r="J154" s="53" t="str">
        <f t="shared" si="28"/>
        <v>Remanescente8/2020</v>
      </c>
      <c r="K154" s="43">
        <v>122200</v>
      </c>
      <c r="L154" s="43" t="s">
        <v>539</v>
      </c>
      <c r="M154" s="190">
        <v>0</v>
      </c>
      <c r="N154" s="494" t="str">
        <f t="shared" si="25"/>
        <v>VENDA</v>
      </c>
      <c r="O154" s="491" t="str">
        <f t="shared" si="26"/>
        <v>LONDRINA [ETAPA 03 - CONDOMINIO ARANGUA]VENDA</v>
      </c>
      <c r="P154" s="492" t="str">
        <f t="shared" si="27"/>
        <v>VENDARemanescenteLONDRINA [ETAPA 03 - CONDOMINIO ARANGUA]</v>
      </c>
      <c r="Q154" s="485"/>
    </row>
    <row r="155" spans="1:17">
      <c r="A155" s="61" t="str">
        <f t="shared" si="24"/>
        <v>LONDRINA [ETAPA 03 - CONDOMINIO ARANGUA]XLI-A4</v>
      </c>
      <c r="B155" s="114" t="s">
        <v>33</v>
      </c>
      <c r="C155" s="16" t="s">
        <v>535</v>
      </c>
      <c r="D155" s="46">
        <v>4</v>
      </c>
      <c r="E155" s="185">
        <v>277.48</v>
      </c>
      <c r="F155" s="201"/>
      <c r="G155" s="15" t="s">
        <v>629</v>
      </c>
      <c r="H155" s="207">
        <v>43234</v>
      </c>
      <c r="I155" s="259" t="str">
        <f t="shared" si="29"/>
        <v>LONDRINA [ETAPA 03 - CONDOMINIO ARANGUA]5/2018</v>
      </c>
      <c r="J155" s="53" t="str">
        <f t="shared" si="28"/>
        <v>Remanescente5/2018</v>
      </c>
      <c r="K155" s="43">
        <v>123140</v>
      </c>
      <c r="L155" s="43" t="s">
        <v>539</v>
      </c>
      <c r="M155" s="18">
        <v>0</v>
      </c>
      <c r="N155" s="494" t="str">
        <f t="shared" si="25"/>
        <v>VENDA</v>
      </c>
      <c r="O155" s="491" t="str">
        <f t="shared" si="26"/>
        <v>LONDRINA [ETAPA 03 - CONDOMINIO ARANGUA]VENDA</v>
      </c>
      <c r="P155" s="492" t="str">
        <f t="shared" si="27"/>
        <v>VENDARemanescenteLONDRINA [ETAPA 03 - CONDOMINIO ARANGUA]</v>
      </c>
      <c r="Q155" s="485"/>
    </row>
    <row r="156" spans="1:17">
      <c r="A156" s="61" t="str">
        <f t="shared" si="24"/>
        <v>LONDRINA [ETAPA 03 - CONDOMINIO ARANGUA]XLI-A5</v>
      </c>
      <c r="B156" s="114" t="s">
        <v>33</v>
      </c>
      <c r="C156" s="16" t="s">
        <v>535</v>
      </c>
      <c r="D156" s="46">
        <v>5</v>
      </c>
      <c r="E156" s="185">
        <v>277.48</v>
      </c>
      <c r="F156" s="201"/>
      <c r="G156" s="41" t="s">
        <v>562</v>
      </c>
      <c r="H156" s="204">
        <v>43175</v>
      </c>
      <c r="I156" s="259" t="str">
        <f t="shared" si="29"/>
        <v>LONDRINA [ETAPA 03 - CONDOMINIO ARANGUA]3/2018</v>
      </c>
      <c r="J156" s="53" t="str">
        <f t="shared" si="28"/>
        <v>Remanescente3/2018</v>
      </c>
      <c r="K156" s="43">
        <v>124140</v>
      </c>
      <c r="L156" s="43" t="s">
        <v>539</v>
      </c>
      <c r="M156" s="18">
        <v>0</v>
      </c>
      <c r="N156" s="494" t="str">
        <f t="shared" si="25"/>
        <v>VENDA</v>
      </c>
      <c r="O156" s="491" t="str">
        <f t="shared" si="26"/>
        <v>LONDRINA [ETAPA 03 - CONDOMINIO ARANGUA]VENDA</v>
      </c>
      <c r="P156" s="492" t="str">
        <f t="shared" si="27"/>
        <v>VENDARemanescenteLONDRINA [ETAPA 03 - CONDOMINIO ARANGUA]</v>
      </c>
      <c r="Q156" s="485"/>
    </row>
    <row r="157" spans="1:17">
      <c r="A157" s="61" t="str">
        <f t="shared" si="24"/>
        <v>LONDRINA [ETAPA 03 - CONDOMINIO ARANGUA]XLI-A6</v>
      </c>
      <c r="B157" s="114" t="s">
        <v>33</v>
      </c>
      <c r="C157" s="16" t="s">
        <v>535</v>
      </c>
      <c r="D157" s="46">
        <v>6</v>
      </c>
      <c r="E157" s="185">
        <v>277.48</v>
      </c>
      <c r="F157" s="201"/>
      <c r="G157" s="15" t="s">
        <v>563</v>
      </c>
      <c r="H157" s="207">
        <v>43187</v>
      </c>
      <c r="I157" s="259" t="str">
        <f t="shared" si="29"/>
        <v>LONDRINA [ETAPA 03 - CONDOMINIO ARANGUA]3/2018</v>
      </c>
      <c r="J157" s="53" t="str">
        <f t="shared" si="28"/>
        <v>Remanescente3/2018</v>
      </c>
      <c r="K157" s="18">
        <v>124140</v>
      </c>
      <c r="L157" s="43" t="s">
        <v>539</v>
      </c>
      <c r="M157" s="18">
        <v>0</v>
      </c>
      <c r="N157" s="494" t="str">
        <f t="shared" si="25"/>
        <v>VENDA</v>
      </c>
      <c r="O157" s="491" t="str">
        <f t="shared" si="26"/>
        <v>LONDRINA [ETAPA 03 - CONDOMINIO ARANGUA]VENDA</v>
      </c>
      <c r="P157" s="492" t="str">
        <f t="shared" si="27"/>
        <v>VENDARemanescenteLONDRINA [ETAPA 03 - CONDOMINIO ARANGUA]</v>
      </c>
      <c r="Q157" s="485"/>
    </row>
    <row r="158" spans="1:17">
      <c r="A158" s="61" t="str">
        <f t="shared" si="24"/>
        <v>LONDRINA [ETAPA 03 - CONDOMINIO ARANGUA]XLI-A7</v>
      </c>
      <c r="B158" s="114" t="s">
        <v>33</v>
      </c>
      <c r="C158" s="42" t="s">
        <v>535</v>
      </c>
      <c r="D158" s="45">
        <v>7</v>
      </c>
      <c r="E158" s="64">
        <v>277.48</v>
      </c>
      <c r="F158" s="201"/>
      <c r="G158" s="41" t="s">
        <v>1123</v>
      </c>
      <c r="H158" s="204">
        <v>43845</v>
      </c>
      <c r="I158" s="259" t="str">
        <f t="shared" si="29"/>
        <v>LONDRINA [ETAPA 03 - CONDOMINIO ARANGUA]1/2020</v>
      </c>
      <c r="J158" s="53" t="str">
        <f t="shared" si="28"/>
        <v>Remanescente1/2020</v>
      </c>
      <c r="K158" s="43">
        <v>122200.2</v>
      </c>
      <c r="L158" s="43" t="s">
        <v>539</v>
      </c>
      <c r="M158" s="190">
        <v>0</v>
      </c>
      <c r="N158" s="494" t="str">
        <f t="shared" si="25"/>
        <v>VENDA</v>
      </c>
      <c r="O158" s="491" t="str">
        <f t="shared" si="26"/>
        <v>LONDRINA [ETAPA 03 - CONDOMINIO ARANGUA]VENDA</v>
      </c>
      <c r="P158" s="492" t="str">
        <f t="shared" si="27"/>
        <v>VENDARemanescenteLONDRINA [ETAPA 03 - CONDOMINIO ARANGUA]</v>
      </c>
      <c r="Q158" s="485"/>
    </row>
    <row r="159" spans="1:17">
      <c r="A159" s="61" t="str">
        <f t="shared" si="24"/>
        <v>LONDRINA [ETAPA 03 - CONDOMINIO ARANGUA]XLI-A8</v>
      </c>
      <c r="B159" s="114" t="s">
        <v>33</v>
      </c>
      <c r="C159" s="16" t="s">
        <v>535</v>
      </c>
      <c r="D159" s="46">
        <v>8</v>
      </c>
      <c r="E159" s="64">
        <v>277.48</v>
      </c>
      <c r="F159" s="201"/>
      <c r="G159" s="41"/>
      <c r="H159" s="204"/>
      <c r="I159" s="259" t="str">
        <f t="shared" si="29"/>
        <v>LONDRINA [ETAPA 03 - CONDOMINIO ARANGUA]1/1900</v>
      </c>
      <c r="J159" s="53" t="str">
        <f t="shared" si="28"/>
        <v>Remanescente1/1900</v>
      </c>
      <c r="K159" s="43"/>
      <c r="L159" s="43" t="s">
        <v>539</v>
      </c>
      <c r="M159" s="316">
        <v>191628.25568670421</v>
      </c>
      <c r="N159" s="494" t="str">
        <f t="shared" si="25"/>
        <v>VGV</v>
      </c>
      <c r="O159" s="491" t="str">
        <f t="shared" si="26"/>
        <v>LONDRINA [ETAPA 03 - CONDOMINIO ARANGUA]VGV</v>
      </c>
      <c r="P159" s="492" t="str">
        <f t="shared" si="27"/>
        <v>VGVRemanescenteLONDRINA [ETAPA 03 - CONDOMINIO ARANGUA]</v>
      </c>
      <c r="Q159" s="485"/>
    </row>
    <row r="160" spans="1:17">
      <c r="A160" s="61" t="str">
        <f t="shared" si="24"/>
        <v>LONDRINA [ETAPA 03 - CONDOMINIO ARANGUA]XLI-A9</v>
      </c>
      <c r="B160" s="114" t="s">
        <v>33</v>
      </c>
      <c r="C160" s="42" t="s">
        <v>535</v>
      </c>
      <c r="D160" s="45">
        <v>9</v>
      </c>
      <c r="E160" s="64">
        <v>376.97</v>
      </c>
      <c r="F160" s="201">
        <v>5110</v>
      </c>
      <c r="G160" s="41" t="s">
        <v>1499</v>
      </c>
      <c r="H160" s="204">
        <v>44270</v>
      </c>
      <c r="I160" s="259" t="str">
        <f t="shared" si="29"/>
        <v>LONDRINA [ETAPA 03 - CONDOMINIO ARANGUA]3/2021</v>
      </c>
      <c r="J160" s="53" t="str">
        <f t="shared" si="28"/>
        <v>Remanescente3/2021</v>
      </c>
      <c r="K160" s="43">
        <v>220249.24</v>
      </c>
      <c r="L160" s="43" t="s">
        <v>539</v>
      </c>
      <c r="M160" s="316">
        <v>0</v>
      </c>
      <c r="N160" s="494" t="str">
        <f t="shared" si="25"/>
        <v>VENDA</v>
      </c>
      <c r="O160" s="491" t="str">
        <f t="shared" si="26"/>
        <v>LONDRINA [ETAPA 03 - CONDOMINIO ARANGUA]VENDA</v>
      </c>
      <c r="P160" s="492" t="str">
        <f t="shared" si="27"/>
        <v>VENDARemanescenteLONDRINA [ETAPA 03 - CONDOMINIO ARANGUA]</v>
      </c>
      <c r="Q160" s="485"/>
    </row>
    <row r="161" spans="1:17">
      <c r="A161" s="61" t="str">
        <f t="shared" si="24"/>
        <v>LONDRINA [ETAPA 03 - CONDOMINIO ARANGUA]XLII2</v>
      </c>
      <c r="B161" s="114" t="s">
        <v>33</v>
      </c>
      <c r="C161" s="42" t="s">
        <v>525</v>
      </c>
      <c r="D161" s="45">
        <v>2</v>
      </c>
      <c r="E161" s="64">
        <v>262.92</v>
      </c>
      <c r="F161" s="201"/>
      <c r="G161" s="41" t="s">
        <v>1013</v>
      </c>
      <c r="H161" s="204">
        <v>43647</v>
      </c>
      <c r="I161" s="259" t="str">
        <f t="shared" si="29"/>
        <v>LONDRINA [ETAPA 03 - CONDOMINIO ARANGUA]7/2019</v>
      </c>
      <c r="J161" s="53" t="str">
        <f t="shared" si="28"/>
        <v>Remanescente7/2019</v>
      </c>
      <c r="K161" s="43">
        <v>122200</v>
      </c>
      <c r="L161" s="43" t="s">
        <v>539</v>
      </c>
      <c r="M161" s="190">
        <v>0</v>
      </c>
      <c r="N161" s="494" t="str">
        <f t="shared" si="25"/>
        <v>VENDA</v>
      </c>
      <c r="O161" s="491" t="str">
        <f t="shared" si="26"/>
        <v>LONDRINA [ETAPA 03 - CONDOMINIO ARANGUA]VENDA</v>
      </c>
      <c r="P161" s="492" t="str">
        <f t="shared" si="27"/>
        <v>VENDARemanescenteLONDRINA [ETAPA 03 - CONDOMINIO ARANGUA]</v>
      </c>
      <c r="Q161" s="485"/>
    </row>
    <row r="162" spans="1:17">
      <c r="A162" s="61" t="str">
        <f t="shared" si="24"/>
        <v>LONDRINA [ETAPA 03 - CONDOMINIO ARANGUA]XLII3</v>
      </c>
      <c r="B162" s="114" t="s">
        <v>33</v>
      </c>
      <c r="C162" s="42" t="s">
        <v>525</v>
      </c>
      <c r="D162" s="45">
        <v>3</v>
      </c>
      <c r="E162" s="64">
        <v>253.01</v>
      </c>
      <c r="F162" s="201"/>
      <c r="G162" s="41" t="s">
        <v>551</v>
      </c>
      <c r="H162" s="204">
        <v>43146</v>
      </c>
      <c r="I162" s="259" t="str">
        <f t="shared" si="29"/>
        <v>LONDRINA [ETAPA 03 - CONDOMINIO ARANGUA]2/2018</v>
      </c>
      <c r="J162" s="53" t="str">
        <f t="shared" si="28"/>
        <v>Remanescente2/2018</v>
      </c>
      <c r="K162" s="43">
        <v>119380.1</v>
      </c>
      <c r="L162" s="43" t="s">
        <v>539</v>
      </c>
      <c r="M162" s="43">
        <v>0</v>
      </c>
      <c r="N162" s="494" t="str">
        <f t="shared" si="25"/>
        <v>VENDA</v>
      </c>
      <c r="O162" s="491" t="str">
        <f t="shared" si="26"/>
        <v>LONDRINA [ETAPA 03 - CONDOMINIO ARANGUA]VENDA</v>
      </c>
      <c r="P162" s="492" t="str">
        <f t="shared" si="27"/>
        <v>VENDARemanescenteLONDRINA [ETAPA 03 - CONDOMINIO ARANGUA]</v>
      </c>
      <c r="Q162" s="485"/>
    </row>
    <row r="163" spans="1:17">
      <c r="A163" s="61" t="str">
        <f t="shared" si="24"/>
        <v>LONDRINA [ETAPA 03 - CONDOMINIO ARANGUA]XLII4</v>
      </c>
      <c r="B163" s="114" t="s">
        <v>33</v>
      </c>
      <c r="C163" s="42" t="s">
        <v>525</v>
      </c>
      <c r="D163" s="45">
        <v>4</v>
      </c>
      <c r="E163" s="64">
        <v>253.01</v>
      </c>
      <c r="F163" s="201"/>
      <c r="G163" s="41" t="s">
        <v>763</v>
      </c>
      <c r="H163" s="204">
        <v>43284</v>
      </c>
      <c r="I163" s="259" t="str">
        <f t="shared" si="29"/>
        <v>LONDRINA [ETAPA 03 - CONDOMINIO ARANGUA]7/2018</v>
      </c>
      <c r="J163" s="53" t="str">
        <f t="shared" si="28"/>
        <v>Remanescente7/2018</v>
      </c>
      <c r="K163" s="43">
        <v>131600</v>
      </c>
      <c r="L163" s="43" t="s">
        <v>539</v>
      </c>
      <c r="M163" s="43">
        <v>0</v>
      </c>
      <c r="N163" s="494" t="str">
        <f t="shared" si="25"/>
        <v>VENDA</v>
      </c>
      <c r="O163" s="491" t="str">
        <f t="shared" si="26"/>
        <v>LONDRINA [ETAPA 03 - CONDOMINIO ARANGUA]VENDA</v>
      </c>
      <c r="P163" s="492" t="str">
        <f t="shared" si="27"/>
        <v>VENDARemanescenteLONDRINA [ETAPA 03 - CONDOMINIO ARANGUA]</v>
      </c>
      <c r="Q163" s="485"/>
    </row>
    <row r="164" spans="1:17">
      <c r="A164" s="61" t="str">
        <f t="shared" si="24"/>
        <v>LONDRINA [ETAPA 03 - CONDOMINIO ARANGUA]XLII5</v>
      </c>
      <c r="B164" s="114" t="s">
        <v>33</v>
      </c>
      <c r="C164" s="42" t="s">
        <v>525</v>
      </c>
      <c r="D164" s="45">
        <v>5</v>
      </c>
      <c r="E164" s="64">
        <v>253.01</v>
      </c>
      <c r="F164" s="201"/>
      <c r="G164" s="41" t="s">
        <v>858</v>
      </c>
      <c r="H164" s="204">
        <v>43427</v>
      </c>
      <c r="I164" s="259" t="str">
        <f t="shared" si="29"/>
        <v>LONDRINA [ETAPA 03 - CONDOMINIO ARANGUA]11/2018</v>
      </c>
      <c r="J164" s="53" t="str">
        <f t="shared" si="28"/>
        <v>Remanescente11/2018</v>
      </c>
      <c r="K164" s="43">
        <v>272538.23</v>
      </c>
      <c r="L164" s="43" t="s">
        <v>539</v>
      </c>
      <c r="M164" s="43">
        <v>0</v>
      </c>
      <c r="N164" s="494" t="str">
        <f t="shared" si="25"/>
        <v>VENDA</v>
      </c>
      <c r="O164" s="491" t="str">
        <f t="shared" si="26"/>
        <v>LONDRINA [ETAPA 03 - CONDOMINIO ARANGUA]VENDA</v>
      </c>
      <c r="P164" s="492" t="str">
        <f t="shared" si="27"/>
        <v>VENDARemanescenteLONDRINA [ETAPA 03 - CONDOMINIO ARANGUA]</v>
      </c>
      <c r="Q164" s="485"/>
    </row>
    <row r="165" spans="1:17" ht="15.75" customHeight="1">
      <c r="A165" s="61" t="str">
        <f t="shared" si="24"/>
        <v>LONDRINA [ETAPA 03 - CONDOMINIO ARANGUA]XLII6</v>
      </c>
      <c r="B165" s="114" t="s">
        <v>33</v>
      </c>
      <c r="C165" s="42" t="s">
        <v>525</v>
      </c>
      <c r="D165" s="45">
        <v>6</v>
      </c>
      <c r="E165" s="64">
        <v>253.01</v>
      </c>
      <c r="F165" s="201"/>
      <c r="G165" s="41" t="s">
        <v>586</v>
      </c>
      <c r="H165" s="204">
        <v>43215</v>
      </c>
      <c r="I165" s="259" t="str">
        <f t="shared" si="29"/>
        <v>LONDRINA [ETAPA 03 - CONDOMINIO ARANGUA]4/2018</v>
      </c>
      <c r="J165" s="53" t="str">
        <f t="shared" si="28"/>
        <v>Remanescente4/2018</v>
      </c>
      <c r="K165" s="43">
        <v>141353.67000000001</v>
      </c>
      <c r="L165" s="43" t="s">
        <v>539</v>
      </c>
      <c r="M165" s="43">
        <v>0</v>
      </c>
      <c r="N165" s="494" t="str">
        <f t="shared" si="25"/>
        <v>VENDA</v>
      </c>
      <c r="O165" s="491" t="str">
        <f t="shared" si="26"/>
        <v>LONDRINA [ETAPA 03 - CONDOMINIO ARANGUA]VENDA</v>
      </c>
      <c r="P165" s="492" t="str">
        <f t="shared" si="27"/>
        <v>VENDARemanescenteLONDRINA [ETAPA 03 - CONDOMINIO ARANGUA]</v>
      </c>
      <c r="Q165" s="485"/>
    </row>
    <row r="166" spans="1:17" ht="15.75" customHeight="1">
      <c r="A166" s="61" t="str">
        <f t="shared" si="24"/>
        <v>LONDRINA [ETAPA 03 - CONDOMINIO ARANGUA]XLII19</v>
      </c>
      <c r="B166" s="114" t="s">
        <v>33</v>
      </c>
      <c r="C166" s="115" t="s">
        <v>525</v>
      </c>
      <c r="D166" s="116">
        <v>19</v>
      </c>
      <c r="E166" s="183">
        <v>304.64</v>
      </c>
      <c r="F166" s="201"/>
      <c r="G166" s="114" t="s">
        <v>1047</v>
      </c>
      <c r="H166" s="206">
        <v>43700</v>
      </c>
      <c r="I166" s="259" t="str">
        <f t="shared" si="29"/>
        <v>LONDRINA [ETAPA 03 - CONDOMINIO ARANGUA]8/2019</v>
      </c>
      <c r="J166" s="53" t="str">
        <f t="shared" si="28"/>
        <v>Distrato8/2019</v>
      </c>
      <c r="K166" s="117">
        <v>154160.6</v>
      </c>
      <c r="L166" s="117" t="s">
        <v>570</v>
      </c>
      <c r="M166" s="188">
        <v>0</v>
      </c>
      <c r="N166" s="494" t="str">
        <f t="shared" si="25"/>
        <v>VENDA</v>
      </c>
      <c r="O166" s="491" t="str">
        <f t="shared" si="26"/>
        <v>LONDRINA [ETAPA 03 - CONDOMINIO ARANGUA]VENDA</v>
      </c>
      <c r="P166" s="492" t="str">
        <f t="shared" si="27"/>
        <v>VENDADistratoLONDRINA [ETAPA 03 - CONDOMINIO ARANGUA]</v>
      </c>
      <c r="Q166" s="485"/>
    </row>
    <row r="167" spans="1:17" ht="15.75" customHeight="1">
      <c r="A167" s="61" t="str">
        <f t="shared" si="24"/>
        <v>LONDRINA [ETAPA 03 - CONDOMINIO ARANGUA]XLIII1</v>
      </c>
      <c r="B167" s="114" t="s">
        <v>33</v>
      </c>
      <c r="C167" s="42" t="s">
        <v>526</v>
      </c>
      <c r="D167" s="45">
        <v>1</v>
      </c>
      <c r="E167" s="64">
        <v>300.63</v>
      </c>
      <c r="F167" s="201"/>
      <c r="G167" s="41" t="s">
        <v>929</v>
      </c>
      <c r="H167" s="204">
        <v>43500</v>
      </c>
      <c r="I167" s="259" t="str">
        <f t="shared" si="29"/>
        <v>LONDRINA [ETAPA 03 - CONDOMINIO ARANGUA]2/2019</v>
      </c>
      <c r="J167" s="53" t="str">
        <f t="shared" si="28"/>
        <v>Distrato2/2019</v>
      </c>
      <c r="K167" s="43">
        <v>141000</v>
      </c>
      <c r="L167" s="43" t="s">
        <v>570</v>
      </c>
      <c r="M167" s="191">
        <v>0</v>
      </c>
      <c r="N167" s="494" t="str">
        <f t="shared" si="25"/>
        <v>VENDA</v>
      </c>
      <c r="O167" s="491" t="str">
        <f t="shared" si="26"/>
        <v>LONDRINA [ETAPA 03 - CONDOMINIO ARANGUA]VENDA</v>
      </c>
      <c r="P167" s="492" t="str">
        <f t="shared" si="27"/>
        <v>VENDADistratoLONDRINA [ETAPA 03 - CONDOMINIO ARANGUA]</v>
      </c>
      <c r="Q167" s="485"/>
    </row>
    <row r="168" spans="1:17">
      <c r="A168" s="61" t="str">
        <f t="shared" si="24"/>
        <v>LONDRINA [ETAPA 03 - CONDOMINIO ARANGUA]XLIII2</v>
      </c>
      <c r="B168" s="114" t="s">
        <v>33</v>
      </c>
      <c r="C168" s="42" t="s">
        <v>526</v>
      </c>
      <c r="D168" s="45">
        <v>2</v>
      </c>
      <c r="E168" s="64">
        <v>265.06</v>
      </c>
      <c r="F168" s="201"/>
      <c r="G168" s="41" t="s">
        <v>876</v>
      </c>
      <c r="H168" s="204">
        <v>43424</v>
      </c>
      <c r="I168" s="259" t="str">
        <f t="shared" si="29"/>
        <v>LONDRINA [ETAPA 03 - CONDOMINIO ARANGUA]11/2018</v>
      </c>
      <c r="J168" s="53" t="str">
        <f t="shared" si="28"/>
        <v>Remanescente11/2018</v>
      </c>
      <c r="K168" s="43">
        <v>117500</v>
      </c>
      <c r="L168" s="43" t="s">
        <v>539</v>
      </c>
      <c r="M168" s="43">
        <v>0</v>
      </c>
      <c r="N168" s="494" t="str">
        <f t="shared" si="25"/>
        <v>VENDA</v>
      </c>
      <c r="O168" s="491" t="str">
        <f t="shared" si="26"/>
        <v>LONDRINA [ETAPA 03 - CONDOMINIO ARANGUA]VENDA</v>
      </c>
      <c r="P168" s="492" t="str">
        <f t="shared" si="27"/>
        <v>VENDARemanescenteLONDRINA [ETAPA 03 - CONDOMINIO ARANGUA]</v>
      </c>
      <c r="Q168" s="485"/>
    </row>
    <row r="169" spans="1:17">
      <c r="A169" s="61" t="str">
        <f t="shared" si="24"/>
        <v>LONDRINA [ETAPA 03 - CONDOMINIO ARANGUA]XLIII3</v>
      </c>
      <c r="B169" s="114" t="s">
        <v>33</v>
      </c>
      <c r="C169" s="42" t="s">
        <v>526</v>
      </c>
      <c r="D169" s="45">
        <v>3</v>
      </c>
      <c r="E169" s="64">
        <v>253.62</v>
      </c>
      <c r="F169" s="243">
        <v>7224</v>
      </c>
      <c r="G169" s="41" t="s">
        <v>974</v>
      </c>
      <c r="H169" s="204">
        <v>43594</v>
      </c>
      <c r="I169" s="259" t="str">
        <f t="shared" si="29"/>
        <v>LONDRINA [ETAPA 03 - CONDOMINIO ARANGUA]5/2019</v>
      </c>
      <c r="J169" s="53" t="str">
        <f t="shared" si="28"/>
        <v>Remanescente5/2019</v>
      </c>
      <c r="K169" s="43">
        <v>117500</v>
      </c>
      <c r="L169" s="43" t="s">
        <v>539</v>
      </c>
      <c r="M169" s="190">
        <v>0</v>
      </c>
      <c r="N169" s="494" t="str">
        <f t="shared" si="25"/>
        <v>VENDA</v>
      </c>
      <c r="O169" s="491" t="str">
        <f t="shared" si="26"/>
        <v>LONDRINA [ETAPA 03 - CONDOMINIO ARANGUA]VENDA</v>
      </c>
      <c r="P169" s="492" t="str">
        <f t="shared" si="27"/>
        <v>VENDARemanescenteLONDRINA [ETAPA 03 - CONDOMINIO ARANGUA]</v>
      </c>
      <c r="Q169" s="485"/>
    </row>
    <row r="170" spans="1:17">
      <c r="A170" s="61" t="str">
        <f t="shared" si="24"/>
        <v>LONDRINA [ETAPA 03 - CONDOMINIO ARANGUA]XLIII4</v>
      </c>
      <c r="B170" s="114" t="s">
        <v>33</v>
      </c>
      <c r="C170" s="42" t="s">
        <v>526</v>
      </c>
      <c r="D170" s="45">
        <v>4</v>
      </c>
      <c r="E170" s="64">
        <v>253.77</v>
      </c>
      <c r="F170" s="243">
        <v>2782</v>
      </c>
      <c r="G170" s="41" t="s">
        <v>1471</v>
      </c>
      <c r="H170" s="204">
        <v>43504</v>
      </c>
      <c r="I170" s="259" t="str">
        <f t="shared" si="29"/>
        <v>LONDRINA [ETAPA 03 - CONDOMINIO ARANGUA]2/2019</v>
      </c>
      <c r="J170" s="53" t="str">
        <f t="shared" si="28"/>
        <v>Remanescente2/2019</v>
      </c>
      <c r="K170" s="43">
        <v>112800</v>
      </c>
      <c r="L170" s="43" t="s">
        <v>539</v>
      </c>
      <c r="M170" s="190">
        <v>0</v>
      </c>
      <c r="N170" s="494" t="str">
        <f t="shared" si="25"/>
        <v>VENDA</v>
      </c>
      <c r="O170" s="491" t="str">
        <f t="shared" si="26"/>
        <v>LONDRINA [ETAPA 03 - CONDOMINIO ARANGUA]VENDA</v>
      </c>
      <c r="P170" s="492" t="str">
        <f t="shared" si="27"/>
        <v>VENDARemanescenteLONDRINA [ETAPA 03 - CONDOMINIO ARANGUA]</v>
      </c>
      <c r="Q170" s="485"/>
    </row>
    <row r="171" spans="1:17">
      <c r="A171" s="61" t="str">
        <f t="shared" si="24"/>
        <v>LONDRINA [ETAPA 03 - CONDOMINIO ARANGUA]XLIII5</v>
      </c>
      <c r="B171" s="114" t="s">
        <v>33</v>
      </c>
      <c r="C171" s="42" t="s">
        <v>526</v>
      </c>
      <c r="D171" s="45">
        <v>5</v>
      </c>
      <c r="E171" s="64">
        <v>253.77</v>
      </c>
      <c r="F171" s="201"/>
      <c r="G171" s="41"/>
      <c r="H171" s="204"/>
      <c r="I171" s="259" t="str">
        <f t="shared" si="29"/>
        <v>LONDRINA [ETAPA 03 - CONDOMINIO ARANGUA]1/1900</v>
      </c>
      <c r="J171" s="53" t="str">
        <f t="shared" si="28"/>
        <v>Distrato1/1900</v>
      </c>
      <c r="K171" s="43"/>
      <c r="L171" s="43" t="s">
        <v>570</v>
      </c>
      <c r="M171" s="316">
        <v>175254.0811792379</v>
      </c>
      <c r="N171" s="494" t="str">
        <f t="shared" si="25"/>
        <v>VGV</v>
      </c>
      <c r="O171" s="491" t="str">
        <f t="shared" si="26"/>
        <v>LONDRINA [ETAPA 03 - CONDOMINIO ARANGUA]VGV</v>
      </c>
      <c r="P171" s="492" t="str">
        <f t="shared" si="27"/>
        <v>VGVDistratoLONDRINA [ETAPA 03 - CONDOMINIO ARANGUA]</v>
      </c>
      <c r="Q171" s="485"/>
    </row>
    <row r="172" spans="1:17">
      <c r="A172" s="61" t="str">
        <f t="shared" si="24"/>
        <v>LONDRINA [ETAPA 03 - CONDOMINIO ARANGUA]XLIII6</v>
      </c>
      <c r="B172" s="114" t="s">
        <v>33</v>
      </c>
      <c r="C172" s="42" t="s">
        <v>526</v>
      </c>
      <c r="D172" s="45">
        <v>6</v>
      </c>
      <c r="E172" s="64">
        <v>253.77</v>
      </c>
      <c r="F172" s="201"/>
      <c r="G172" s="41" t="s">
        <v>982</v>
      </c>
      <c r="H172" s="204">
        <v>43619</v>
      </c>
      <c r="I172" s="259" t="str">
        <f t="shared" si="29"/>
        <v>LONDRINA [ETAPA 03 - CONDOMINIO ARANGUA]6/2019</v>
      </c>
      <c r="J172" s="53" t="str">
        <f t="shared" si="28"/>
        <v>Remanescente6/2019</v>
      </c>
      <c r="K172" s="43">
        <v>122200.1</v>
      </c>
      <c r="L172" s="43" t="s">
        <v>539</v>
      </c>
      <c r="M172" s="190">
        <v>0</v>
      </c>
      <c r="N172" s="494" t="str">
        <f t="shared" si="25"/>
        <v>VENDA</v>
      </c>
      <c r="O172" s="491" t="str">
        <f t="shared" si="26"/>
        <v>LONDRINA [ETAPA 03 - CONDOMINIO ARANGUA]VENDA</v>
      </c>
      <c r="P172" s="492" t="str">
        <f t="shared" si="27"/>
        <v>VENDARemanescenteLONDRINA [ETAPA 03 - CONDOMINIO ARANGUA]</v>
      </c>
      <c r="Q172" s="485"/>
    </row>
    <row r="173" spans="1:17">
      <c r="A173" s="61" t="str">
        <f t="shared" si="24"/>
        <v>LONDRINA [ETAPA 03 - CONDOMINIO ARANGUA]XLIII7</v>
      </c>
      <c r="B173" s="114" t="s">
        <v>33</v>
      </c>
      <c r="C173" s="42" t="s">
        <v>526</v>
      </c>
      <c r="D173" s="45">
        <v>7</v>
      </c>
      <c r="E173" s="64">
        <v>253.77</v>
      </c>
      <c r="F173" s="243">
        <v>4681</v>
      </c>
      <c r="G173" s="41" t="s">
        <v>1267</v>
      </c>
      <c r="H173" s="204">
        <v>44046</v>
      </c>
      <c r="I173" s="259" t="str">
        <f t="shared" si="29"/>
        <v>LONDRINA [ETAPA 03 - CONDOMINIO ARANGUA]8/2020</v>
      </c>
      <c r="J173" s="53" t="str">
        <f t="shared" si="28"/>
        <v>Remanescente8/2020</v>
      </c>
      <c r="K173" s="43">
        <v>122200</v>
      </c>
      <c r="L173" s="43" t="s">
        <v>539</v>
      </c>
      <c r="M173" s="190">
        <v>0</v>
      </c>
      <c r="N173" s="494" t="str">
        <f t="shared" si="25"/>
        <v>VENDA</v>
      </c>
      <c r="O173" s="491" t="str">
        <f t="shared" si="26"/>
        <v>LONDRINA [ETAPA 03 - CONDOMINIO ARANGUA]VENDA</v>
      </c>
      <c r="P173" s="492" t="str">
        <f t="shared" si="27"/>
        <v>VENDARemanescenteLONDRINA [ETAPA 03 - CONDOMINIO ARANGUA]</v>
      </c>
      <c r="Q173" s="485"/>
    </row>
    <row r="174" spans="1:17">
      <c r="A174" s="61" t="str">
        <f t="shared" si="24"/>
        <v>LONDRINA [ETAPA 03 - CONDOMINIO ARANGUA]XLIII8</v>
      </c>
      <c r="B174" s="114" t="s">
        <v>33</v>
      </c>
      <c r="C174" s="42" t="s">
        <v>526</v>
      </c>
      <c r="D174" s="45">
        <v>8</v>
      </c>
      <c r="E174" s="64">
        <v>253.77</v>
      </c>
      <c r="F174" s="243">
        <v>4795</v>
      </c>
      <c r="G174" s="41" t="s">
        <v>1317</v>
      </c>
      <c r="H174" s="204">
        <v>44104</v>
      </c>
      <c r="I174" s="259" t="str">
        <f t="shared" si="29"/>
        <v>LONDRINA [ETAPA 03 - CONDOMINIO ARANGUA]9/2020</v>
      </c>
      <c r="J174" s="53" t="str">
        <f t="shared" si="28"/>
        <v>Remanescente9/2020</v>
      </c>
      <c r="K174" s="43">
        <v>122200</v>
      </c>
      <c r="L174" s="43" t="s">
        <v>539</v>
      </c>
      <c r="M174" s="190">
        <v>0</v>
      </c>
      <c r="N174" s="494" t="str">
        <f t="shared" si="25"/>
        <v>VENDA</v>
      </c>
      <c r="O174" s="491" t="str">
        <f t="shared" si="26"/>
        <v>LONDRINA [ETAPA 03 - CONDOMINIO ARANGUA]VENDA</v>
      </c>
      <c r="P174" s="492" t="str">
        <f t="shared" si="27"/>
        <v>VENDARemanescenteLONDRINA [ETAPA 03 - CONDOMINIO ARANGUA]</v>
      </c>
      <c r="Q174" s="485"/>
    </row>
    <row r="175" spans="1:17">
      <c r="A175" s="61" t="str">
        <f t="shared" si="24"/>
        <v>LONDRINA [ETAPA 03 - CONDOMINIO ARANGUA]XLIII9</v>
      </c>
      <c r="B175" s="114" t="s">
        <v>33</v>
      </c>
      <c r="C175" s="42" t="s">
        <v>526</v>
      </c>
      <c r="D175" s="45">
        <v>9</v>
      </c>
      <c r="E175" s="64">
        <v>288.45</v>
      </c>
      <c r="F175" s="201"/>
      <c r="G175" s="41" t="s">
        <v>1116</v>
      </c>
      <c r="H175" s="204">
        <v>43802</v>
      </c>
      <c r="I175" s="259" t="str">
        <f t="shared" si="29"/>
        <v>LONDRINA [ETAPA 03 - CONDOMINIO ARANGUA]12/2019</v>
      </c>
      <c r="J175" s="53" t="str">
        <f t="shared" si="28"/>
        <v>Distrato12/2019</v>
      </c>
      <c r="K175" s="43">
        <v>136299.75</v>
      </c>
      <c r="L175" s="43" t="s">
        <v>570</v>
      </c>
      <c r="M175" s="190"/>
      <c r="N175" s="494" t="str">
        <f t="shared" si="25"/>
        <v>VENDA</v>
      </c>
      <c r="O175" s="491" t="str">
        <f t="shared" si="26"/>
        <v>LONDRINA [ETAPA 03 - CONDOMINIO ARANGUA]VENDA</v>
      </c>
      <c r="P175" s="492" t="str">
        <f t="shared" si="27"/>
        <v>VENDADistratoLONDRINA [ETAPA 03 - CONDOMINIO ARANGUA]</v>
      </c>
      <c r="Q175" s="485"/>
    </row>
    <row r="176" spans="1:17">
      <c r="A176" s="61" t="str">
        <f t="shared" si="24"/>
        <v>LONDRINA [ETAPA 03 - CONDOMINIO ARANGUA]XXXIX3</v>
      </c>
      <c r="B176" s="114" t="s">
        <v>33</v>
      </c>
      <c r="C176" s="327" t="s">
        <v>527</v>
      </c>
      <c r="D176" s="116">
        <v>3</v>
      </c>
      <c r="E176" s="183">
        <v>250.5</v>
      </c>
      <c r="F176" s="243">
        <v>4567</v>
      </c>
      <c r="G176" s="41" t="s">
        <v>1231</v>
      </c>
      <c r="H176" s="208">
        <v>44032</v>
      </c>
      <c r="I176" s="259" t="str">
        <f t="shared" si="29"/>
        <v>LONDRINA [ETAPA 03 - CONDOMINIO ARANGUA]7/2020</v>
      </c>
      <c r="J176" s="53" t="str">
        <f t="shared" si="28"/>
        <v>Distrato7/2020</v>
      </c>
      <c r="K176" s="43">
        <v>141940</v>
      </c>
      <c r="L176" s="43" t="s">
        <v>570</v>
      </c>
      <c r="M176" s="43">
        <v>0</v>
      </c>
      <c r="N176" s="494" t="str">
        <f t="shared" si="25"/>
        <v>VENDA</v>
      </c>
      <c r="O176" s="491" t="str">
        <f t="shared" si="26"/>
        <v>LONDRINA [ETAPA 03 - CONDOMINIO ARANGUA]VENDA</v>
      </c>
      <c r="P176" s="492" t="str">
        <f t="shared" si="27"/>
        <v>VENDADistratoLONDRINA [ETAPA 03 - CONDOMINIO ARANGUA]</v>
      </c>
      <c r="Q176" s="485"/>
    </row>
    <row r="177" spans="1:17">
      <c r="A177" s="61" t="str">
        <f t="shared" si="24"/>
        <v>LONDRINA [ETAPA 03 - CONDOMINIO ARANGUA]XXXIX4</v>
      </c>
      <c r="B177" s="114" t="s">
        <v>33</v>
      </c>
      <c r="C177" s="42" t="s">
        <v>527</v>
      </c>
      <c r="D177" s="45">
        <v>4</v>
      </c>
      <c r="E177" s="64">
        <v>250.5</v>
      </c>
      <c r="F177" s="243">
        <v>4551</v>
      </c>
      <c r="G177" s="41" t="s">
        <v>1241</v>
      </c>
      <c r="H177" s="204">
        <v>44032</v>
      </c>
      <c r="I177" s="259" t="str">
        <f t="shared" si="29"/>
        <v>LONDRINA [ETAPA 03 - CONDOMINIO ARANGUA]7/2020</v>
      </c>
      <c r="J177" s="53" t="str">
        <f t="shared" si="28"/>
        <v>Distrato7/2020</v>
      </c>
      <c r="K177" s="43">
        <v>135360</v>
      </c>
      <c r="L177" s="43" t="s">
        <v>570</v>
      </c>
      <c r="M177" s="188">
        <v>0</v>
      </c>
      <c r="N177" s="494" t="str">
        <f t="shared" si="25"/>
        <v>VENDA</v>
      </c>
      <c r="O177" s="491" t="str">
        <f t="shared" si="26"/>
        <v>LONDRINA [ETAPA 03 - CONDOMINIO ARANGUA]VENDA</v>
      </c>
      <c r="P177" s="492" t="str">
        <f t="shared" si="27"/>
        <v>VENDADistratoLONDRINA [ETAPA 03 - CONDOMINIO ARANGUA]</v>
      </c>
      <c r="Q177" s="485"/>
    </row>
    <row r="178" spans="1:17">
      <c r="A178" s="61" t="str">
        <f t="shared" si="24"/>
        <v>LONDRINA [ETAPA 03 - CONDOMINIO ARANGUA]XXXIX8</v>
      </c>
      <c r="B178" s="114" t="s">
        <v>33</v>
      </c>
      <c r="C178" s="42" t="s">
        <v>527</v>
      </c>
      <c r="D178" s="45">
        <v>8</v>
      </c>
      <c r="E178" s="64">
        <v>250.5</v>
      </c>
      <c r="F178" s="201"/>
      <c r="G178" s="41" t="s">
        <v>949</v>
      </c>
      <c r="H178" s="204">
        <v>43559</v>
      </c>
      <c r="I178" s="259" t="str">
        <f t="shared" si="29"/>
        <v>LONDRINA [ETAPA 03 - CONDOMINIO ARANGUA]4/2019</v>
      </c>
      <c r="J178" s="53" t="str">
        <f t="shared" si="28"/>
        <v>Distrato4/2019</v>
      </c>
      <c r="K178" s="43">
        <v>148520</v>
      </c>
      <c r="L178" s="43" t="s">
        <v>570</v>
      </c>
      <c r="M178" s="188">
        <v>0</v>
      </c>
      <c r="N178" s="494" t="str">
        <f t="shared" si="25"/>
        <v>VENDA</v>
      </c>
      <c r="O178" s="491" t="str">
        <f t="shared" si="26"/>
        <v>LONDRINA [ETAPA 03 - CONDOMINIO ARANGUA]VENDA</v>
      </c>
      <c r="P178" s="492" t="str">
        <f t="shared" si="27"/>
        <v>VENDADistratoLONDRINA [ETAPA 03 - CONDOMINIO ARANGUA]</v>
      </c>
      <c r="Q178" s="485"/>
    </row>
    <row r="179" spans="1:17">
      <c r="A179" s="61" t="str">
        <f t="shared" si="24"/>
        <v>LONDRINA [ETAPA 03 - CONDOMINIO ARANGUA]XXXIX12</v>
      </c>
      <c r="B179" s="114" t="s">
        <v>33</v>
      </c>
      <c r="C179" s="42" t="s">
        <v>527</v>
      </c>
      <c r="D179" s="45">
        <v>12</v>
      </c>
      <c r="E179" s="64">
        <v>250.5</v>
      </c>
      <c r="F179" s="243">
        <v>4914</v>
      </c>
      <c r="G179" s="41" t="s">
        <v>271</v>
      </c>
      <c r="H179" s="204">
        <v>44166</v>
      </c>
      <c r="I179" s="259" t="str">
        <f t="shared" si="29"/>
        <v>LONDRINA [ETAPA 03 - CONDOMINIO ARANGUA]12/2020</v>
      </c>
      <c r="J179" s="53" t="str">
        <f t="shared" si="28"/>
        <v>Distrato12/2020</v>
      </c>
      <c r="K179" s="43">
        <v>159799.6</v>
      </c>
      <c r="L179" s="43" t="s">
        <v>570</v>
      </c>
      <c r="M179" s="188">
        <v>0</v>
      </c>
      <c r="N179" s="494" t="str">
        <f t="shared" si="25"/>
        <v>VENDA</v>
      </c>
      <c r="O179" s="491" t="str">
        <f t="shared" si="26"/>
        <v>LONDRINA [ETAPA 03 - CONDOMINIO ARANGUA]VENDA</v>
      </c>
      <c r="P179" s="492" t="str">
        <f t="shared" si="27"/>
        <v>VENDADistratoLONDRINA [ETAPA 03 - CONDOMINIO ARANGUA]</v>
      </c>
      <c r="Q179" s="485"/>
    </row>
    <row r="180" spans="1:17">
      <c r="A180" s="61" t="str">
        <f t="shared" si="24"/>
        <v>LONDRINA [ETAPA 03 - CONDOMINIO ARANGUA]XXXIX13</v>
      </c>
      <c r="B180" s="114" t="s">
        <v>33</v>
      </c>
      <c r="C180" s="42" t="s">
        <v>527</v>
      </c>
      <c r="D180" s="45">
        <v>13</v>
      </c>
      <c r="E180" s="64">
        <v>250.5</v>
      </c>
      <c r="F180" s="243">
        <v>4813</v>
      </c>
      <c r="G180" s="41" t="s">
        <v>1347</v>
      </c>
      <c r="H180" s="204">
        <v>44105</v>
      </c>
      <c r="I180" s="259" t="str">
        <f t="shared" si="29"/>
        <v>LONDRINA [ETAPA 03 - CONDOMINIO ARANGUA]10/2020</v>
      </c>
      <c r="J180" s="53" t="str">
        <f t="shared" si="28"/>
        <v>Distrato10/2020</v>
      </c>
      <c r="K180" s="43">
        <v>147580.4</v>
      </c>
      <c r="L180" s="43" t="s">
        <v>570</v>
      </c>
      <c r="M180" s="188">
        <v>0</v>
      </c>
      <c r="N180" s="494" t="str">
        <f t="shared" si="25"/>
        <v>VENDA</v>
      </c>
      <c r="O180" s="491" t="str">
        <f t="shared" si="26"/>
        <v>LONDRINA [ETAPA 03 - CONDOMINIO ARANGUA]VENDA</v>
      </c>
      <c r="P180" s="492" t="str">
        <f t="shared" si="27"/>
        <v>VENDADistratoLONDRINA [ETAPA 03 - CONDOMINIO ARANGUA]</v>
      </c>
      <c r="Q180" s="485"/>
    </row>
    <row r="181" spans="1:17">
      <c r="A181" s="61" t="str">
        <f t="shared" si="24"/>
        <v>LONDRINA [ETAPA 03 - CONDOMINIO ARANGUA]XXXIX19</v>
      </c>
      <c r="B181" s="114" t="s">
        <v>33</v>
      </c>
      <c r="C181" s="42" t="s">
        <v>527</v>
      </c>
      <c r="D181" s="45">
        <v>19</v>
      </c>
      <c r="E181" s="64">
        <v>250.5</v>
      </c>
      <c r="F181" s="201"/>
      <c r="G181" s="41" t="s">
        <v>809</v>
      </c>
      <c r="H181" s="204">
        <v>43357</v>
      </c>
      <c r="I181" s="259" t="str">
        <f t="shared" si="29"/>
        <v>LONDRINA [ETAPA 03 - CONDOMINIO ARANGUA]9/2018</v>
      </c>
      <c r="J181" s="53" t="str">
        <f t="shared" si="28"/>
        <v>Distrato9/2018</v>
      </c>
      <c r="K181" s="43">
        <v>152082.60999999999</v>
      </c>
      <c r="L181" s="43" t="s">
        <v>570</v>
      </c>
      <c r="M181" s="43">
        <v>0</v>
      </c>
      <c r="N181" s="494" t="str">
        <f t="shared" si="25"/>
        <v>VENDA</v>
      </c>
      <c r="O181" s="491" t="str">
        <f t="shared" si="26"/>
        <v>LONDRINA [ETAPA 03 - CONDOMINIO ARANGUA]VENDA</v>
      </c>
      <c r="P181" s="492" t="str">
        <f t="shared" si="27"/>
        <v>VENDADistratoLONDRINA [ETAPA 03 - CONDOMINIO ARANGUA]</v>
      </c>
      <c r="Q181" s="485"/>
    </row>
    <row r="182" spans="1:17">
      <c r="A182" s="61" t="str">
        <f t="shared" si="24"/>
        <v>LONDRINA [ETAPA 03 - CONDOMINIO ARANGUA]XXXIX20</v>
      </c>
      <c r="B182" s="114" t="s">
        <v>33</v>
      </c>
      <c r="C182" s="42" t="s">
        <v>527</v>
      </c>
      <c r="D182" s="45">
        <v>20</v>
      </c>
      <c r="E182" s="64">
        <v>250.5</v>
      </c>
      <c r="F182" s="243">
        <v>4734</v>
      </c>
      <c r="G182" s="41" t="s">
        <v>1268</v>
      </c>
      <c r="H182" s="204">
        <v>44046</v>
      </c>
      <c r="I182" s="259" t="str">
        <f t="shared" si="29"/>
        <v>LONDRINA [ETAPA 03 - CONDOMINIO ARANGUA]8/2020</v>
      </c>
      <c r="J182" s="53" t="str">
        <f t="shared" si="28"/>
        <v>Distrato8/2020</v>
      </c>
      <c r="K182" s="43">
        <v>143820</v>
      </c>
      <c r="L182" s="43" t="s">
        <v>570</v>
      </c>
      <c r="M182" s="188">
        <v>0</v>
      </c>
      <c r="N182" s="494" t="str">
        <f t="shared" si="25"/>
        <v>VENDA</v>
      </c>
      <c r="O182" s="491" t="str">
        <f t="shared" si="26"/>
        <v>LONDRINA [ETAPA 03 - CONDOMINIO ARANGUA]VENDA</v>
      </c>
      <c r="P182" s="492" t="str">
        <f t="shared" si="27"/>
        <v>VENDADistratoLONDRINA [ETAPA 03 - CONDOMINIO ARANGUA]</v>
      </c>
      <c r="Q182" s="485"/>
    </row>
    <row r="183" spans="1:17">
      <c r="A183" s="61" t="str">
        <f t="shared" si="24"/>
        <v>LONDRINA [ETAPA 03 - CONDOMINIO ARANGUA]XXXIX21</v>
      </c>
      <c r="B183" s="114" t="s">
        <v>33</v>
      </c>
      <c r="C183" s="42" t="s">
        <v>527</v>
      </c>
      <c r="D183" s="45">
        <v>21</v>
      </c>
      <c r="E183" s="64">
        <v>250.5</v>
      </c>
      <c r="F183" s="243"/>
      <c r="G183" s="41"/>
      <c r="H183" s="204"/>
      <c r="I183" s="259" t="str">
        <f t="shared" si="29"/>
        <v>LONDRINA [ETAPA 03 - CONDOMINIO ARANGUA]1/1900</v>
      </c>
      <c r="J183" s="53" t="str">
        <f t="shared" si="28"/>
        <v>Distrato1/1900</v>
      </c>
      <c r="K183" s="43"/>
      <c r="L183" s="43" t="s">
        <v>570</v>
      </c>
      <c r="M183" s="188">
        <v>141081.60000000001</v>
      </c>
      <c r="N183" s="494" t="str">
        <f t="shared" si="25"/>
        <v>VGV</v>
      </c>
      <c r="O183" s="491" t="str">
        <f t="shared" si="26"/>
        <v>LONDRINA [ETAPA 03 - CONDOMINIO ARANGUA]VGV</v>
      </c>
      <c r="P183" s="492" t="str">
        <f t="shared" si="27"/>
        <v>VGVDistratoLONDRINA [ETAPA 03 - CONDOMINIO ARANGUA]</v>
      </c>
      <c r="Q183" s="485"/>
    </row>
    <row r="184" spans="1:17">
      <c r="A184" s="61" t="str">
        <f t="shared" si="24"/>
        <v>LONDRINA [ETAPA 03 - CONDOMINIO ARANGUA]XXXIX23</v>
      </c>
      <c r="B184" s="114" t="s">
        <v>33</v>
      </c>
      <c r="C184" s="42" t="s">
        <v>527</v>
      </c>
      <c r="D184" s="45">
        <v>23</v>
      </c>
      <c r="E184" s="64">
        <v>351.9</v>
      </c>
      <c r="F184" s="201">
        <v>5115</v>
      </c>
      <c r="G184" s="41" t="s">
        <v>1500</v>
      </c>
      <c r="H184" s="204">
        <v>44271</v>
      </c>
      <c r="I184" s="259" t="str">
        <f t="shared" si="29"/>
        <v>LONDRINA [ETAPA 03 - CONDOMINIO ARANGUA]3/2021</v>
      </c>
      <c r="J184" s="53" t="str">
        <f t="shared" si="28"/>
        <v>Remanescente3/2021</v>
      </c>
      <c r="K184" s="43">
        <v>214320</v>
      </c>
      <c r="L184" s="43" t="s">
        <v>539</v>
      </c>
      <c r="M184" s="316">
        <v>0</v>
      </c>
      <c r="N184" s="494" t="str">
        <f t="shared" si="25"/>
        <v>VENDA</v>
      </c>
      <c r="O184" s="491" t="str">
        <f t="shared" si="26"/>
        <v>LONDRINA [ETAPA 03 - CONDOMINIO ARANGUA]VENDA</v>
      </c>
      <c r="P184" s="492" t="str">
        <f t="shared" si="27"/>
        <v>VENDARemanescenteLONDRINA [ETAPA 03 - CONDOMINIO ARANGUA]</v>
      </c>
      <c r="Q184" s="485"/>
    </row>
    <row r="185" spans="1:17">
      <c r="A185" s="61" t="str">
        <f t="shared" si="24"/>
        <v>LONDRINA [ETAPA 03 - CONDOMINIO ARANGUA]XXXIX36</v>
      </c>
      <c r="B185" s="114" t="s">
        <v>33</v>
      </c>
      <c r="C185" s="42" t="s">
        <v>527</v>
      </c>
      <c r="D185" s="45">
        <v>36</v>
      </c>
      <c r="E185" s="64">
        <v>256.75</v>
      </c>
      <c r="F185" s="201"/>
      <c r="G185" s="41" t="s">
        <v>443</v>
      </c>
      <c r="H185" s="204">
        <v>43150</v>
      </c>
      <c r="I185" s="259" t="str">
        <f t="shared" si="29"/>
        <v>LONDRINA [ETAPA 03 - CONDOMINIO ARANGUA]2/2018</v>
      </c>
      <c r="J185" s="53" t="str">
        <f t="shared" si="28"/>
        <v>Remanescente2/2018</v>
      </c>
      <c r="K185" s="43">
        <v>152573.97</v>
      </c>
      <c r="L185" s="43" t="s">
        <v>539</v>
      </c>
      <c r="M185" s="43">
        <v>0</v>
      </c>
      <c r="N185" s="494" t="str">
        <f t="shared" si="25"/>
        <v>VENDA</v>
      </c>
      <c r="O185" s="491" t="str">
        <f t="shared" si="26"/>
        <v>LONDRINA [ETAPA 03 - CONDOMINIO ARANGUA]VENDA</v>
      </c>
      <c r="P185" s="492" t="str">
        <f t="shared" si="27"/>
        <v>VENDARemanescenteLONDRINA [ETAPA 03 - CONDOMINIO ARANGUA]</v>
      </c>
      <c r="Q185" s="485"/>
    </row>
    <row r="186" spans="1:17">
      <c r="A186" s="61" t="str">
        <f t="shared" si="24"/>
        <v>LONDRINA [ETAPA 03 - CONDOMINIO ARANGUA]XXXIX38</v>
      </c>
      <c r="B186" s="114" t="s">
        <v>33</v>
      </c>
      <c r="C186" s="42" t="s">
        <v>527</v>
      </c>
      <c r="D186" s="45">
        <v>38</v>
      </c>
      <c r="E186" s="64">
        <v>256.75</v>
      </c>
      <c r="F186" s="243">
        <v>5005</v>
      </c>
      <c r="G186" s="41" t="s">
        <v>1410</v>
      </c>
      <c r="H186" s="204">
        <v>44222</v>
      </c>
      <c r="I186" s="259" t="str">
        <f t="shared" si="29"/>
        <v>LONDRINA [ETAPA 03 - CONDOMINIO ARANGUA]1/2021</v>
      </c>
      <c r="J186" s="53" t="str">
        <f t="shared" si="28"/>
        <v>1/2021</v>
      </c>
      <c r="K186" s="43">
        <v>187698.4</v>
      </c>
      <c r="L186" s="43"/>
      <c r="M186" s="43"/>
      <c r="N186" s="494" t="str">
        <f t="shared" si="25"/>
        <v>VENDA</v>
      </c>
      <c r="O186" s="491" t="str">
        <f t="shared" si="26"/>
        <v>LONDRINA [ETAPA 03 - CONDOMINIO ARANGUA]VENDA</v>
      </c>
      <c r="P186" s="492" t="str">
        <f t="shared" si="27"/>
        <v>VENDALONDRINA [ETAPA 03 - CONDOMINIO ARANGUA]</v>
      </c>
      <c r="Q186" s="485"/>
    </row>
    <row r="187" spans="1:17">
      <c r="A187" s="61" t="str">
        <f t="shared" si="24"/>
        <v>LONDRINA [ETAPA 03 - CONDOMINIO ARANGUA]XXXIX39</v>
      </c>
      <c r="B187" s="114" t="s">
        <v>33</v>
      </c>
      <c r="C187" s="42" t="s">
        <v>527</v>
      </c>
      <c r="D187" s="45">
        <v>39</v>
      </c>
      <c r="E187" s="64">
        <v>256.75</v>
      </c>
      <c r="F187" s="243">
        <v>4991</v>
      </c>
      <c r="G187" s="41" t="s">
        <v>1420</v>
      </c>
      <c r="H187" s="204">
        <v>44218</v>
      </c>
      <c r="I187" s="259" t="str">
        <f t="shared" si="29"/>
        <v>LONDRINA [ETAPA 03 - CONDOMINIO ARANGUA]1/2021</v>
      </c>
      <c r="J187" s="53" t="str">
        <f t="shared" si="28"/>
        <v>Distrato1/2021</v>
      </c>
      <c r="K187" s="43">
        <v>177660</v>
      </c>
      <c r="L187" s="43" t="s">
        <v>570</v>
      </c>
      <c r="M187" s="190">
        <v>0</v>
      </c>
      <c r="N187" s="494" t="str">
        <f t="shared" si="25"/>
        <v>VENDA</v>
      </c>
      <c r="O187" s="491" t="str">
        <f t="shared" si="26"/>
        <v>LONDRINA [ETAPA 03 - CONDOMINIO ARANGUA]VENDA</v>
      </c>
      <c r="P187" s="492" t="str">
        <f t="shared" si="27"/>
        <v>VENDADistratoLONDRINA [ETAPA 03 - CONDOMINIO ARANGUA]</v>
      </c>
      <c r="Q187" s="485"/>
    </row>
    <row r="188" spans="1:17">
      <c r="A188" s="61" t="str">
        <f t="shared" si="24"/>
        <v>LONDRINA [ETAPA 03 - CONDOMINIO ARANGUA]XXXIX41</v>
      </c>
      <c r="B188" s="114" t="s">
        <v>33</v>
      </c>
      <c r="C188" s="42" t="s">
        <v>527</v>
      </c>
      <c r="D188" s="45">
        <v>41</v>
      </c>
      <c r="E188" s="64">
        <v>256.75</v>
      </c>
      <c r="F188" s="201"/>
      <c r="G188" s="41" t="s">
        <v>1014</v>
      </c>
      <c r="H188" s="204">
        <v>43662</v>
      </c>
      <c r="I188" s="259" t="str">
        <f t="shared" si="29"/>
        <v>LONDRINA [ETAPA 03 - CONDOMINIO ARANGUA]7/2019</v>
      </c>
      <c r="J188" s="53" t="str">
        <f t="shared" si="28"/>
        <v>Distrato7/2019</v>
      </c>
      <c r="K188" s="43">
        <v>144807</v>
      </c>
      <c r="L188" s="43" t="s">
        <v>570</v>
      </c>
      <c r="M188" s="43">
        <v>0</v>
      </c>
      <c r="N188" s="494" t="str">
        <f t="shared" si="25"/>
        <v>VENDA</v>
      </c>
      <c r="O188" s="491" t="str">
        <f t="shared" si="26"/>
        <v>LONDRINA [ETAPA 03 - CONDOMINIO ARANGUA]VENDA</v>
      </c>
      <c r="P188" s="492" t="str">
        <f t="shared" si="27"/>
        <v>VENDADistratoLONDRINA [ETAPA 03 - CONDOMINIO ARANGUA]</v>
      </c>
      <c r="Q188" s="485"/>
    </row>
    <row r="189" spans="1:17">
      <c r="A189" s="61" t="str">
        <f t="shared" si="24"/>
        <v>LONDRINA [ETAPA 03 - CONDOMINIO ARANGUA]XXXV1</v>
      </c>
      <c r="B189" s="114" t="s">
        <v>33</v>
      </c>
      <c r="C189" s="42" t="s">
        <v>528</v>
      </c>
      <c r="D189" s="45">
        <v>1</v>
      </c>
      <c r="E189" s="64">
        <v>290.68</v>
      </c>
      <c r="F189" s="243">
        <v>4314</v>
      </c>
      <c r="G189" s="41" t="s">
        <v>1166</v>
      </c>
      <c r="H189" s="204">
        <v>44011</v>
      </c>
      <c r="I189" s="259" t="str">
        <f t="shared" si="29"/>
        <v>LONDRINA [ETAPA 03 - CONDOMINIO ARANGUA]6/2020</v>
      </c>
      <c r="J189" s="53" t="str">
        <f t="shared" si="28"/>
        <v>Distrato6/2020</v>
      </c>
      <c r="K189" s="43">
        <v>150400</v>
      </c>
      <c r="L189" s="43" t="s">
        <v>570</v>
      </c>
      <c r="M189" s="190">
        <v>0</v>
      </c>
      <c r="N189" s="494" t="str">
        <f t="shared" si="25"/>
        <v>VENDA</v>
      </c>
      <c r="O189" s="491" t="str">
        <f t="shared" si="26"/>
        <v>LONDRINA [ETAPA 03 - CONDOMINIO ARANGUA]VENDA</v>
      </c>
      <c r="P189" s="492" t="str">
        <f t="shared" si="27"/>
        <v>VENDADistratoLONDRINA [ETAPA 03 - CONDOMINIO ARANGUA]</v>
      </c>
      <c r="Q189" s="485"/>
    </row>
    <row r="190" spans="1:17">
      <c r="A190" s="61" t="str">
        <f t="shared" si="24"/>
        <v>LONDRINA [ETAPA 03 - CONDOMINIO ARANGUA]XXXV4</v>
      </c>
      <c r="B190" s="114" t="s">
        <v>33</v>
      </c>
      <c r="C190" s="42" t="s">
        <v>528</v>
      </c>
      <c r="D190" s="45">
        <v>4</v>
      </c>
      <c r="E190" s="64">
        <v>251.75</v>
      </c>
      <c r="F190" s="201"/>
      <c r="G190" s="41" t="s">
        <v>630</v>
      </c>
      <c r="H190" s="204">
        <v>43221</v>
      </c>
      <c r="I190" s="259" t="str">
        <f t="shared" si="29"/>
        <v>LONDRINA [ETAPA 03 - CONDOMINIO ARANGUA]5/2018</v>
      </c>
      <c r="J190" s="53" t="str">
        <f t="shared" si="28"/>
        <v>Remanescente5/2018</v>
      </c>
      <c r="K190" s="43">
        <v>146835.36000000002</v>
      </c>
      <c r="L190" s="43" t="s">
        <v>539</v>
      </c>
      <c r="M190" s="43">
        <v>0</v>
      </c>
      <c r="N190" s="494" t="str">
        <f t="shared" si="25"/>
        <v>VENDA</v>
      </c>
      <c r="O190" s="491" t="str">
        <f t="shared" si="26"/>
        <v>LONDRINA [ETAPA 03 - CONDOMINIO ARANGUA]VENDA</v>
      </c>
      <c r="P190" s="492" t="str">
        <f t="shared" si="27"/>
        <v>VENDARemanescenteLONDRINA [ETAPA 03 - CONDOMINIO ARANGUA]</v>
      </c>
      <c r="Q190" s="485"/>
    </row>
    <row r="191" spans="1:17">
      <c r="A191" s="61" t="str">
        <f t="shared" si="24"/>
        <v>LONDRINA [ETAPA 03 - CONDOMINIO ARANGUA]XXXV13</v>
      </c>
      <c r="B191" s="114" t="s">
        <v>33</v>
      </c>
      <c r="C191" s="42" t="s">
        <v>528</v>
      </c>
      <c r="D191" s="45">
        <v>13</v>
      </c>
      <c r="E191" s="64">
        <v>251.75</v>
      </c>
      <c r="F191" s="201"/>
      <c r="G191" s="41" t="s">
        <v>630</v>
      </c>
      <c r="H191" s="204">
        <v>43221</v>
      </c>
      <c r="I191" s="259" t="str">
        <f t="shared" si="29"/>
        <v>LONDRINA [ETAPA 03 - CONDOMINIO ARANGUA]5/2018</v>
      </c>
      <c r="J191" s="53" t="str">
        <f t="shared" si="28"/>
        <v>Remanescente5/2018</v>
      </c>
      <c r="K191" s="43">
        <v>146835.36000000002</v>
      </c>
      <c r="L191" s="43" t="s">
        <v>539</v>
      </c>
      <c r="M191" s="43">
        <v>0</v>
      </c>
      <c r="N191" s="494" t="str">
        <f t="shared" si="25"/>
        <v>VENDA</v>
      </c>
      <c r="O191" s="491" t="str">
        <f t="shared" si="26"/>
        <v>LONDRINA [ETAPA 03 - CONDOMINIO ARANGUA]VENDA</v>
      </c>
      <c r="P191" s="492" t="str">
        <f t="shared" si="27"/>
        <v>VENDARemanescenteLONDRINA [ETAPA 03 - CONDOMINIO ARANGUA]</v>
      </c>
      <c r="Q191" s="485"/>
    </row>
    <row r="192" spans="1:17">
      <c r="A192" s="61" t="str">
        <f t="shared" si="24"/>
        <v>LONDRINA [ETAPA 03 - CONDOMINIO ARANGUA]XXXV16</v>
      </c>
      <c r="B192" s="114" t="s">
        <v>33</v>
      </c>
      <c r="C192" s="42" t="s">
        <v>528</v>
      </c>
      <c r="D192" s="45">
        <v>16</v>
      </c>
      <c r="E192" s="64">
        <v>251.75</v>
      </c>
      <c r="F192" s="243">
        <v>4884</v>
      </c>
      <c r="G192" s="41" t="s">
        <v>1367</v>
      </c>
      <c r="H192" s="204">
        <v>44158</v>
      </c>
      <c r="I192" s="259" t="str">
        <f t="shared" si="29"/>
        <v>LONDRINA [ETAPA 03 - CONDOMINIO ARANGUA]11/2020</v>
      </c>
      <c r="J192" s="53" t="str">
        <f t="shared" si="28"/>
        <v>Distrato11/2020</v>
      </c>
      <c r="K192" s="43">
        <v>158860</v>
      </c>
      <c r="L192" s="43" t="s">
        <v>570</v>
      </c>
      <c r="M192" s="43">
        <v>0</v>
      </c>
      <c r="N192" s="494" t="str">
        <f t="shared" si="25"/>
        <v>VENDA</v>
      </c>
      <c r="O192" s="491" t="str">
        <f t="shared" si="26"/>
        <v>LONDRINA [ETAPA 03 - CONDOMINIO ARANGUA]VENDA</v>
      </c>
      <c r="P192" s="492" t="str">
        <f t="shared" si="27"/>
        <v>VENDADistratoLONDRINA [ETAPA 03 - CONDOMINIO ARANGUA]</v>
      </c>
      <c r="Q192" s="485"/>
    </row>
    <row r="193" spans="1:17">
      <c r="A193" s="61" t="str">
        <f t="shared" si="24"/>
        <v>LONDRINA [ETAPA 03 - CONDOMINIO ARANGUA]XXXV23</v>
      </c>
      <c r="B193" s="114" t="s">
        <v>33</v>
      </c>
      <c r="C193" s="42" t="s">
        <v>528</v>
      </c>
      <c r="D193" s="45">
        <v>23</v>
      </c>
      <c r="E193" s="64">
        <v>267.82</v>
      </c>
      <c r="F193" s="201"/>
      <c r="G193" s="41" t="s">
        <v>225</v>
      </c>
      <c r="H193" s="204">
        <v>43138</v>
      </c>
      <c r="I193" s="259" t="str">
        <f t="shared" si="29"/>
        <v>LONDRINA [ETAPA 03 - CONDOMINIO ARANGUA]2/2018</v>
      </c>
      <c r="J193" s="53" t="str">
        <f t="shared" si="28"/>
        <v>Remanescente2/2018</v>
      </c>
      <c r="K193" s="43">
        <v>131600</v>
      </c>
      <c r="L193" s="43" t="s">
        <v>539</v>
      </c>
      <c r="M193" s="43">
        <v>0</v>
      </c>
      <c r="N193" s="494" t="str">
        <f t="shared" si="25"/>
        <v>VENDA</v>
      </c>
      <c r="O193" s="491" t="str">
        <f t="shared" si="26"/>
        <v>LONDRINA [ETAPA 03 - CONDOMINIO ARANGUA]VENDA</v>
      </c>
      <c r="P193" s="492" t="str">
        <f t="shared" si="27"/>
        <v>VENDARemanescenteLONDRINA [ETAPA 03 - CONDOMINIO ARANGUA]</v>
      </c>
      <c r="Q193" s="485"/>
    </row>
    <row r="194" spans="1:17">
      <c r="A194" s="61" t="str">
        <f t="shared" si="24"/>
        <v>LONDRINA [ETAPA 03 - CONDOMINIO ARANGUA]XXXV24</v>
      </c>
      <c r="B194" s="114" t="s">
        <v>33</v>
      </c>
      <c r="C194" s="42" t="s">
        <v>528</v>
      </c>
      <c r="D194" s="45">
        <v>24</v>
      </c>
      <c r="E194" s="64">
        <v>267.82</v>
      </c>
      <c r="F194" s="201"/>
      <c r="G194" s="41" t="s">
        <v>1037</v>
      </c>
      <c r="H194" s="204">
        <v>43664</v>
      </c>
      <c r="I194" s="259" t="str">
        <f t="shared" si="29"/>
        <v>LONDRINA [ETAPA 03 - CONDOMINIO ARANGUA]7/2019</v>
      </c>
      <c r="J194" s="53" t="str">
        <f t="shared" si="28"/>
        <v>Remanescente7/2019</v>
      </c>
      <c r="K194" s="43">
        <v>131600.42000000001</v>
      </c>
      <c r="L194" s="43" t="s">
        <v>539</v>
      </c>
      <c r="M194" s="190">
        <v>0</v>
      </c>
      <c r="N194" s="494" t="str">
        <f t="shared" si="25"/>
        <v>VENDA</v>
      </c>
      <c r="O194" s="491" t="str">
        <f t="shared" si="26"/>
        <v>LONDRINA [ETAPA 03 - CONDOMINIO ARANGUA]VENDA</v>
      </c>
      <c r="P194" s="492" t="str">
        <f t="shared" si="27"/>
        <v>VENDARemanescenteLONDRINA [ETAPA 03 - CONDOMINIO ARANGUA]</v>
      </c>
      <c r="Q194" s="485"/>
    </row>
    <row r="195" spans="1:17">
      <c r="A195" s="61" t="str">
        <f t="shared" si="24"/>
        <v>LONDRINA [ETAPA 03 - CONDOMINIO ARANGUA]XXXV25</v>
      </c>
      <c r="B195" s="114" t="s">
        <v>33</v>
      </c>
      <c r="C195" s="42" t="s">
        <v>528</v>
      </c>
      <c r="D195" s="45">
        <v>25</v>
      </c>
      <c r="E195" s="64">
        <v>267.82</v>
      </c>
      <c r="F195" s="201">
        <v>7015</v>
      </c>
      <c r="G195" s="41" t="s">
        <v>937</v>
      </c>
      <c r="H195" s="204">
        <v>43525</v>
      </c>
      <c r="I195" s="259" t="str">
        <f t="shared" si="29"/>
        <v>LONDRINA [ETAPA 03 - CONDOMINIO ARANGUA]3/2019</v>
      </c>
      <c r="J195" s="53" t="str">
        <f t="shared" si="28"/>
        <v>Distrato3/2019</v>
      </c>
      <c r="K195" s="43">
        <v>155371.26999999999</v>
      </c>
      <c r="L195" s="43" t="s">
        <v>570</v>
      </c>
      <c r="M195" s="190">
        <v>0</v>
      </c>
      <c r="N195" s="494" t="str">
        <f t="shared" si="25"/>
        <v>VENDA</v>
      </c>
      <c r="O195" s="491" t="str">
        <f t="shared" si="26"/>
        <v>LONDRINA [ETAPA 03 - CONDOMINIO ARANGUA]VENDA</v>
      </c>
      <c r="P195" s="492" t="str">
        <f t="shared" si="27"/>
        <v>VENDADistratoLONDRINA [ETAPA 03 - CONDOMINIO ARANGUA]</v>
      </c>
      <c r="Q195" s="485"/>
    </row>
    <row r="196" spans="1:17">
      <c r="A196" s="61" t="str">
        <f t="shared" si="24"/>
        <v>LONDRINA [ETAPA 03 - CONDOMINIO ARANGUA]XXXV28</v>
      </c>
      <c r="B196" s="114" t="s">
        <v>33</v>
      </c>
      <c r="C196" s="42" t="s">
        <v>528</v>
      </c>
      <c r="D196" s="45">
        <v>28</v>
      </c>
      <c r="E196" s="64">
        <v>281.89</v>
      </c>
      <c r="F196" s="201"/>
      <c r="G196" s="41" t="s">
        <v>1057</v>
      </c>
      <c r="H196" s="204">
        <v>43727</v>
      </c>
      <c r="I196" s="259" t="str">
        <f t="shared" si="29"/>
        <v>LONDRINA [ETAPA 03 - CONDOMINIO ARANGUA]9/2019</v>
      </c>
      <c r="J196" s="53" t="str">
        <f t="shared" si="28"/>
        <v>Remanescente9/2019</v>
      </c>
      <c r="K196" s="43">
        <v>112800</v>
      </c>
      <c r="L196" s="43" t="s">
        <v>539</v>
      </c>
      <c r="M196" s="190">
        <v>0</v>
      </c>
      <c r="N196" s="494" t="str">
        <f t="shared" si="25"/>
        <v>VENDA</v>
      </c>
      <c r="O196" s="491" t="str">
        <f t="shared" si="26"/>
        <v>LONDRINA [ETAPA 03 - CONDOMINIO ARANGUA]VENDA</v>
      </c>
      <c r="P196" s="492" t="str">
        <f t="shared" si="27"/>
        <v>VENDARemanescenteLONDRINA [ETAPA 03 - CONDOMINIO ARANGUA]</v>
      </c>
      <c r="Q196" s="485"/>
    </row>
    <row r="197" spans="1:17">
      <c r="A197" s="61" t="str">
        <f t="shared" ref="A197:A260" si="30">CONCATENATE(B197,C197,D197)</f>
        <v>LONDRINA [ETAPA 03 - CONDOMINIO ARANGUA]XXXVI1</v>
      </c>
      <c r="B197" s="114" t="s">
        <v>33</v>
      </c>
      <c r="C197" s="42" t="s">
        <v>529</v>
      </c>
      <c r="D197" s="45">
        <v>1</v>
      </c>
      <c r="E197" s="64">
        <v>353.3</v>
      </c>
      <c r="F197" s="243">
        <v>4980</v>
      </c>
      <c r="G197" s="41" t="s">
        <v>1421</v>
      </c>
      <c r="H197" s="204">
        <v>44202</v>
      </c>
      <c r="I197" s="259" t="str">
        <f t="shared" si="29"/>
        <v>LONDRINA [ETAPA 03 - CONDOMINIO ARANGUA]1/2021</v>
      </c>
      <c r="J197" s="53" t="str">
        <f t="shared" si="28"/>
        <v>Remanescente1/2021</v>
      </c>
      <c r="K197" s="43">
        <v>225600</v>
      </c>
      <c r="L197" s="43" t="s">
        <v>539</v>
      </c>
      <c r="M197" s="190">
        <v>0</v>
      </c>
      <c r="N197" s="494" t="str">
        <f t="shared" ref="N197:N260" si="31">IF(M197&gt;0,"VGV","VENDA")</f>
        <v>VENDA</v>
      </c>
      <c r="O197" s="491" t="str">
        <f t="shared" si="26"/>
        <v>LONDRINA [ETAPA 03 - CONDOMINIO ARANGUA]VENDA</v>
      </c>
      <c r="P197" s="492" t="str">
        <f t="shared" si="27"/>
        <v>VENDARemanescenteLONDRINA [ETAPA 03 - CONDOMINIO ARANGUA]</v>
      </c>
      <c r="Q197" s="485"/>
    </row>
    <row r="198" spans="1:17">
      <c r="A198" s="61" t="str">
        <f t="shared" si="30"/>
        <v>LONDRINA [ETAPA 03 - CONDOMINIO ARANGUA]XXXVI2</v>
      </c>
      <c r="B198" s="114" t="s">
        <v>33</v>
      </c>
      <c r="C198" s="327" t="s">
        <v>529</v>
      </c>
      <c r="D198" s="116">
        <v>2</v>
      </c>
      <c r="E198" s="183">
        <v>257</v>
      </c>
      <c r="F198" s="243">
        <v>4794</v>
      </c>
      <c r="G198" s="41" t="s">
        <v>1318</v>
      </c>
      <c r="H198" s="208">
        <v>44102</v>
      </c>
      <c r="I198" s="259" t="str">
        <f t="shared" si="29"/>
        <v>LONDRINA [ETAPA 03 - CONDOMINIO ARANGUA]9/2020</v>
      </c>
      <c r="J198" s="53" t="str">
        <f t="shared" si="28"/>
        <v>Distrato9/2020</v>
      </c>
      <c r="K198" s="43">
        <v>152327</v>
      </c>
      <c r="L198" s="43" t="s">
        <v>570</v>
      </c>
      <c r="M198" s="43">
        <v>0</v>
      </c>
      <c r="N198" s="494" t="str">
        <f t="shared" si="31"/>
        <v>VENDA</v>
      </c>
      <c r="O198" s="491" t="str">
        <f t="shared" ref="O198:O261" si="32">CONCATENATE(B198,N198)</f>
        <v>LONDRINA [ETAPA 03 - CONDOMINIO ARANGUA]VENDA</v>
      </c>
      <c r="P198" s="492" t="str">
        <f t="shared" ref="P198:P261" si="33">CONCATENATE(N198,L198,B198)</f>
        <v>VENDADistratoLONDRINA [ETAPA 03 - CONDOMINIO ARANGUA]</v>
      </c>
      <c r="Q198" s="485"/>
    </row>
    <row r="199" spans="1:17">
      <c r="A199" s="61" t="str">
        <f t="shared" si="30"/>
        <v>LONDRINA [ETAPA 03 - CONDOMINIO ARANGUA]XXXVI4</v>
      </c>
      <c r="B199" s="114" t="s">
        <v>33</v>
      </c>
      <c r="C199" s="42" t="s">
        <v>529</v>
      </c>
      <c r="D199" s="45">
        <v>4</v>
      </c>
      <c r="E199" s="64">
        <v>257</v>
      </c>
      <c r="F199" s="201"/>
      <c r="G199" s="41" t="s">
        <v>542</v>
      </c>
      <c r="H199" s="204">
        <v>43132</v>
      </c>
      <c r="I199" s="259" t="str">
        <f t="shared" si="29"/>
        <v>LONDRINA [ETAPA 03 - CONDOMINIO ARANGUA]2/2018</v>
      </c>
      <c r="J199" s="53" t="str">
        <f t="shared" ref="J199:J262" si="34">CONCATENATE(L199,MONTH(H199),"/",YEAR(H199))</f>
        <v>Remanescente2/2018</v>
      </c>
      <c r="K199" s="43">
        <v>160348.82999999999</v>
      </c>
      <c r="L199" s="43" t="s">
        <v>539</v>
      </c>
      <c r="M199" s="43">
        <v>0</v>
      </c>
      <c r="N199" s="494" t="str">
        <f t="shared" si="31"/>
        <v>VENDA</v>
      </c>
      <c r="O199" s="491" t="str">
        <f t="shared" si="32"/>
        <v>LONDRINA [ETAPA 03 - CONDOMINIO ARANGUA]VENDA</v>
      </c>
      <c r="P199" s="492" t="str">
        <f t="shared" si="33"/>
        <v>VENDARemanescenteLONDRINA [ETAPA 03 - CONDOMINIO ARANGUA]</v>
      </c>
      <c r="Q199" s="485"/>
    </row>
    <row r="200" spans="1:17">
      <c r="A200" s="61" t="str">
        <f t="shared" si="30"/>
        <v>LONDRINA [ETAPA 03 - CONDOMINIO ARANGUA]XXXVI10</v>
      </c>
      <c r="B200" s="114" t="s">
        <v>33</v>
      </c>
      <c r="C200" s="42" t="s">
        <v>529</v>
      </c>
      <c r="D200" s="45">
        <v>10</v>
      </c>
      <c r="E200" s="64">
        <v>257</v>
      </c>
      <c r="F200" s="201"/>
      <c r="G200" s="41" t="s">
        <v>587</v>
      </c>
      <c r="H200" s="204">
        <v>43201</v>
      </c>
      <c r="I200" s="259" t="str">
        <f t="shared" ref="I200:I263" si="35">CONCATENATE(B200,MONTH(H200),"/",YEAR(H200))</f>
        <v>LONDRINA [ETAPA 03 - CONDOMINIO ARANGUA]4/2018</v>
      </c>
      <c r="J200" s="53" t="str">
        <f t="shared" si="34"/>
        <v>Remanescente4/2018</v>
      </c>
      <c r="K200" s="43">
        <v>152573.97</v>
      </c>
      <c r="L200" s="43" t="s">
        <v>539</v>
      </c>
      <c r="M200" s="43">
        <v>0</v>
      </c>
      <c r="N200" s="494" t="str">
        <f t="shared" si="31"/>
        <v>VENDA</v>
      </c>
      <c r="O200" s="491" t="str">
        <f t="shared" si="32"/>
        <v>LONDRINA [ETAPA 03 - CONDOMINIO ARANGUA]VENDA</v>
      </c>
      <c r="P200" s="492" t="str">
        <f t="shared" si="33"/>
        <v>VENDARemanescenteLONDRINA [ETAPA 03 - CONDOMINIO ARANGUA]</v>
      </c>
      <c r="Q200" s="485"/>
    </row>
    <row r="201" spans="1:17">
      <c r="A201" s="61" t="str">
        <f t="shared" si="30"/>
        <v>LONDRINA [ETAPA 03 - CONDOMINIO ARANGUA]XXXVI11</v>
      </c>
      <c r="B201" s="114" t="s">
        <v>33</v>
      </c>
      <c r="C201" s="42" t="s">
        <v>529</v>
      </c>
      <c r="D201" s="45">
        <v>11</v>
      </c>
      <c r="E201" s="64">
        <v>257</v>
      </c>
      <c r="F201" s="243">
        <v>4883</v>
      </c>
      <c r="G201" s="41" t="s">
        <v>1366</v>
      </c>
      <c r="H201" s="204">
        <v>44158</v>
      </c>
      <c r="I201" s="259" t="str">
        <f t="shared" si="35"/>
        <v>LONDRINA [ETAPA 03 - CONDOMINIO ARANGUA]11/2020</v>
      </c>
      <c r="J201" s="53" t="str">
        <f t="shared" si="34"/>
        <v>Distrato11/2020</v>
      </c>
      <c r="K201" s="43">
        <v>161748.62</v>
      </c>
      <c r="L201" s="43" t="s">
        <v>570</v>
      </c>
      <c r="M201" s="43">
        <v>0</v>
      </c>
      <c r="N201" s="494" t="str">
        <f t="shared" si="31"/>
        <v>VENDA</v>
      </c>
      <c r="O201" s="491" t="str">
        <f t="shared" si="32"/>
        <v>LONDRINA [ETAPA 03 - CONDOMINIO ARANGUA]VENDA</v>
      </c>
      <c r="P201" s="492" t="str">
        <f t="shared" si="33"/>
        <v>VENDADistratoLONDRINA [ETAPA 03 - CONDOMINIO ARANGUA]</v>
      </c>
      <c r="Q201" s="485"/>
    </row>
    <row r="202" spans="1:17">
      <c r="A202" s="61" t="str">
        <f t="shared" si="30"/>
        <v>LONDRINA [ETAPA 03 - CONDOMINIO ARANGUA]XXXVI12</v>
      </c>
      <c r="B202" s="114" t="s">
        <v>33</v>
      </c>
      <c r="C202" s="42" t="s">
        <v>529</v>
      </c>
      <c r="D202" s="45">
        <v>12</v>
      </c>
      <c r="E202" s="64">
        <v>257</v>
      </c>
      <c r="F202" s="243">
        <v>4836</v>
      </c>
      <c r="G202" s="41" t="s">
        <v>1348</v>
      </c>
      <c r="H202" s="204">
        <v>44117</v>
      </c>
      <c r="I202" s="259" t="str">
        <f t="shared" si="35"/>
        <v>LONDRINA [ETAPA 03 - CONDOMINIO ARANGUA]10/2020</v>
      </c>
      <c r="J202" s="53" t="str">
        <f t="shared" si="34"/>
        <v>Distrato10/2020</v>
      </c>
      <c r="K202" s="43">
        <v>147579.96</v>
      </c>
      <c r="L202" s="43" t="s">
        <v>570</v>
      </c>
      <c r="M202" s="43">
        <v>0</v>
      </c>
      <c r="N202" s="494" t="str">
        <f t="shared" si="31"/>
        <v>VENDA</v>
      </c>
      <c r="O202" s="491" t="str">
        <f t="shared" si="32"/>
        <v>LONDRINA [ETAPA 03 - CONDOMINIO ARANGUA]VENDA</v>
      </c>
      <c r="P202" s="492" t="str">
        <f t="shared" si="33"/>
        <v>VENDADistratoLONDRINA [ETAPA 03 - CONDOMINIO ARANGUA]</v>
      </c>
      <c r="Q202" s="485"/>
    </row>
    <row r="203" spans="1:17">
      <c r="A203" s="61" t="str">
        <f t="shared" si="30"/>
        <v>LONDRINA [ETAPA 03 - CONDOMINIO ARANGUA]XXXVI13</v>
      </c>
      <c r="B203" s="114" t="s">
        <v>33</v>
      </c>
      <c r="C203" s="42" t="s">
        <v>529</v>
      </c>
      <c r="D203" s="45">
        <v>13</v>
      </c>
      <c r="E203" s="64"/>
      <c r="F203" s="201"/>
      <c r="G203" s="41"/>
      <c r="H203" s="204"/>
      <c r="I203" s="259" t="str">
        <f t="shared" si="35"/>
        <v>LONDRINA [ETAPA 03 - CONDOMINIO ARANGUA]1/1900</v>
      </c>
      <c r="J203" s="53" t="str">
        <f t="shared" si="34"/>
        <v>Distrato1/1900</v>
      </c>
      <c r="K203" s="43"/>
      <c r="L203" s="43" t="s">
        <v>570</v>
      </c>
      <c r="M203" s="43">
        <v>126900</v>
      </c>
      <c r="N203" s="494" t="str">
        <f t="shared" si="31"/>
        <v>VGV</v>
      </c>
      <c r="O203" s="491" t="str">
        <f t="shared" si="32"/>
        <v>LONDRINA [ETAPA 03 - CONDOMINIO ARANGUA]VGV</v>
      </c>
      <c r="P203" s="492" t="str">
        <f t="shared" si="33"/>
        <v>VGVDistratoLONDRINA [ETAPA 03 - CONDOMINIO ARANGUA]</v>
      </c>
      <c r="Q203" s="485"/>
    </row>
    <row r="204" spans="1:17">
      <c r="A204" s="61" t="str">
        <f t="shared" si="30"/>
        <v>LONDRINA [ETAPA 03 - CONDOMINIO ARANGUA]XXXVI17</v>
      </c>
      <c r="B204" s="114" t="s">
        <v>33</v>
      </c>
      <c r="C204" s="42" t="s">
        <v>529</v>
      </c>
      <c r="D204" s="45">
        <v>17</v>
      </c>
      <c r="E204" s="64">
        <v>257</v>
      </c>
      <c r="F204" s="201"/>
      <c r="G204" s="41" t="s">
        <v>564</v>
      </c>
      <c r="H204" s="204">
        <v>43179</v>
      </c>
      <c r="I204" s="259" t="str">
        <f t="shared" si="35"/>
        <v>LONDRINA [ETAPA 03 - CONDOMINIO ARANGUA]3/2018</v>
      </c>
      <c r="J204" s="53" t="str">
        <f t="shared" si="34"/>
        <v>Remanescente3/2018</v>
      </c>
      <c r="K204" s="43">
        <v>152573.28</v>
      </c>
      <c r="L204" s="43" t="s">
        <v>539</v>
      </c>
      <c r="M204" s="43">
        <v>0</v>
      </c>
      <c r="N204" s="494" t="str">
        <f t="shared" si="31"/>
        <v>VENDA</v>
      </c>
      <c r="O204" s="491" t="str">
        <f t="shared" si="32"/>
        <v>LONDRINA [ETAPA 03 - CONDOMINIO ARANGUA]VENDA</v>
      </c>
      <c r="P204" s="492" t="str">
        <f t="shared" si="33"/>
        <v>VENDARemanescenteLONDRINA [ETAPA 03 - CONDOMINIO ARANGUA]</v>
      </c>
      <c r="Q204" s="485"/>
    </row>
    <row r="205" spans="1:17">
      <c r="A205" s="61" t="str">
        <f t="shared" si="30"/>
        <v>LONDRINA [ETAPA 03 - CONDOMINIO ARANGUA]XXXVI19</v>
      </c>
      <c r="B205" s="114" t="s">
        <v>33</v>
      </c>
      <c r="C205" s="42" t="s">
        <v>529</v>
      </c>
      <c r="D205" s="45">
        <v>19</v>
      </c>
      <c r="E205" s="64">
        <v>260</v>
      </c>
      <c r="F205" s="243">
        <v>4189</v>
      </c>
      <c r="G205" s="41" t="s">
        <v>1168</v>
      </c>
      <c r="H205" s="204">
        <v>43997</v>
      </c>
      <c r="I205" s="259" t="str">
        <f t="shared" si="35"/>
        <v>LONDRINA [ETAPA 03 - CONDOMINIO ARANGUA]6/2020</v>
      </c>
      <c r="J205" s="53" t="str">
        <f t="shared" si="34"/>
        <v>Distrato6/2020</v>
      </c>
      <c r="K205" s="43">
        <v>140060</v>
      </c>
      <c r="L205" s="43" t="s">
        <v>570</v>
      </c>
      <c r="M205" s="190">
        <v>0</v>
      </c>
      <c r="N205" s="494" t="str">
        <f t="shared" si="31"/>
        <v>VENDA</v>
      </c>
      <c r="O205" s="491" t="str">
        <f t="shared" si="32"/>
        <v>LONDRINA [ETAPA 03 - CONDOMINIO ARANGUA]VENDA</v>
      </c>
      <c r="P205" s="492" t="str">
        <f t="shared" si="33"/>
        <v>VENDADistratoLONDRINA [ETAPA 03 - CONDOMINIO ARANGUA]</v>
      </c>
      <c r="Q205" s="485"/>
    </row>
    <row r="206" spans="1:17">
      <c r="A206" s="61" t="str">
        <f t="shared" si="30"/>
        <v>LONDRINA [ETAPA 03 - CONDOMINIO ARANGUA]XXXVI20</v>
      </c>
      <c r="B206" s="114" t="s">
        <v>33</v>
      </c>
      <c r="C206" s="42" t="s">
        <v>529</v>
      </c>
      <c r="D206" s="45">
        <v>20</v>
      </c>
      <c r="E206" s="64">
        <v>253.8</v>
      </c>
      <c r="F206" s="201"/>
      <c r="G206" s="41" t="s">
        <v>588</v>
      </c>
      <c r="H206" s="204">
        <v>43213</v>
      </c>
      <c r="I206" s="259" t="str">
        <f t="shared" si="35"/>
        <v>LONDRINA [ETAPA 03 - CONDOMINIO ARANGUA]4/2018</v>
      </c>
      <c r="J206" s="53" t="str">
        <f t="shared" si="34"/>
        <v>Remanescente4/2018</v>
      </c>
      <c r="K206" s="43">
        <v>143820</v>
      </c>
      <c r="L206" s="43" t="s">
        <v>539</v>
      </c>
      <c r="M206" s="43">
        <v>0</v>
      </c>
      <c r="N206" s="494" t="str">
        <f t="shared" si="31"/>
        <v>VENDA</v>
      </c>
      <c r="O206" s="491" t="str">
        <f t="shared" si="32"/>
        <v>LONDRINA [ETAPA 03 - CONDOMINIO ARANGUA]VENDA</v>
      </c>
      <c r="P206" s="492" t="str">
        <f t="shared" si="33"/>
        <v>VENDARemanescenteLONDRINA [ETAPA 03 - CONDOMINIO ARANGUA]</v>
      </c>
      <c r="Q206" s="485"/>
    </row>
    <row r="207" spans="1:17">
      <c r="A207" s="61" t="str">
        <f t="shared" si="30"/>
        <v>LONDRINA [ETAPA 03 - CONDOMINIO ARANGUA]XXXVI21</v>
      </c>
      <c r="B207" s="114" t="s">
        <v>33</v>
      </c>
      <c r="C207" s="42" t="s">
        <v>529</v>
      </c>
      <c r="D207" s="45">
        <v>21</v>
      </c>
      <c r="E207" s="64">
        <v>338.85</v>
      </c>
      <c r="F207" s="243">
        <v>4909</v>
      </c>
      <c r="G207" s="41" t="s">
        <v>1385</v>
      </c>
      <c r="H207" s="204">
        <v>44166</v>
      </c>
      <c r="I207" s="259" t="str">
        <f t="shared" si="35"/>
        <v>LONDRINA [ETAPA 03 - CONDOMINIO ARANGUA]12/2020</v>
      </c>
      <c r="J207" s="53" t="str">
        <f t="shared" si="34"/>
        <v>Remanescente12/2020</v>
      </c>
      <c r="K207" s="43">
        <v>222483.99</v>
      </c>
      <c r="L207" s="43" t="s">
        <v>539</v>
      </c>
      <c r="M207" s="190">
        <v>0</v>
      </c>
      <c r="N207" s="494" t="str">
        <f t="shared" si="31"/>
        <v>VENDA</v>
      </c>
      <c r="O207" s="491" t="str">
        <f t="shared" si="32"/>
        <v>LONDRINA [ETAPA 03 - CONDOMINIO ARANGUA]VENDA</v>
      </c>
      <c r="P207" s="492" t="str">
        <f t="shared" si="33"/>
        <v>VENDARemanescenteLONDRINA [ETAPA 03 - CONDOMINIO ARANGUA]</v>
      </c>
      <c r="Q207" s="485"/>
    </row>
    <row r="208" spans="1:17">
      <c r="A208" s="61" t="str">
        <f t="shared" si="30"/>
        <v>LONDRINA [ETAPA 03 - CONDOMINIO ARANGUA]XXXVII7</v>
      </c>
      <c r="B208" s="114" t="s">
        <v>33</v>
      </c>
      <c r="C208" s="327" t="s">
        <v>530</v>
      </c>
      <c r="D208" s="116">
        <v>7</v>
      </c>
      <c r="E208" s="183">
        <v>255.5</v>
      </c>
      <c r="F208" s="243">
        <v>4735</v>
      </c>
      <c r="G208" s="267" t="s">
        <v>1255</v>
      </c>
      <c r="H208" s="267">
        <v>44046</v>
      </c>
      <c r="I208" s="259" t="str">
        <f t="shared" si="35"/>
        <v>LONDRINA [ETAPA 03 - CONDOMINIO ARANGUA]8/2020</v>
      </c>
      <c r="J208" s="53" t="str">
        <f t="shared" si="34"/>
        <v>Distrato8/2020</v>
      </c>
      <c r="K208" s="43">
        <v>146640</v>
      </c>
      <c r="L208" s="43" t="s">
        <v>570</v>
      </c>
      <c r="M208" s="190">
        <v>0</v>
      </c>
      <c r="N208" s="494" t="str">
        <f t="shared" si="31"/>
        <v>VENDA</v>
      </c>
      <c r="O208" s="491" t="str">
        <f t="shared" si="32"/>
        <v>LONDRINA [ETAPA 03 - CONDOMINIO ARANGUA]VENDA</v>
      </c>
      <c r="P208" s="492" t="str">
        <f t="shared" si="33"/>
        <v>VENDADistratoLONDRINA [ETAPA 03 - CONDOMINIO ARANGUA]</v>
      </c>
      <c r="Q208" s="485"/>
    </row>
    <row r="209" spans="1:17">
      <c r="A209" s="61" t="str">
        <f t="shared" si="30"/>
        <v>LONDRINA [ETAPA 03 - CONDOMINIO ARANGUA]XXXVII12</v>
      </c>
      <c r="B209" s="114" t="s">
        <v>33</v>
      </c>
      <c r="C209" s="42" t="s">
        <v>530</v>
      </c>
      <c r="D209" s="45">
        <v>12</v>
      </c>
      <c r="E209" s="64">
        <v>255.5</v>
      </c>
      <c r="F209" s="243">
        <v>4828</v>
      </c>
      <c r="G209" s="41" t="s">
        <v>1349</v>
      </c>
      <c r="H209" s="204">
        <v>44106</v>
      </c>
      <c r="I209" s="259" t="str">
        <f t="shared" si="35"/>
        <v>LONDRINA [ETAPA 03 - CONDOMINIO ARANGUA]10/2020</v>
      </c>
      <c r="J209" s="53" t="str">
        <f t="shared" si="34"/>
        <v>Distrato10/2020</v>
      </c>
      <c r="K209" s="43">
        <v>152279.9</v>
      </c>
      <c r="L209" s="43" t="s">
        <v>570</v>
      </c>
      <c r="M209" s="190">
        <v>0</v>
      </c>
      <c r="N209" s="494" t="str">
        <f t="shared" si="31"/>
        <v>VENDA</v>
      </c>
      <c r="O209" s="491" t="str">
        <f t="shared" si="32"/>
        <v>LONDRINA [ETAPA 03 - CONDOMINIO ARANGUA]VENDA</v>
      </c>
      <c r="P209" s="492" t="str">
        <f t="shared" si="33"/>
        <v>VENDADistratoLONDRINA [ETAPA 03 - CONDOMINIO ARANGUA]</v>
      </c>
      <c r="Q209" s="485"/>
    </row>
    <row r="210" spans="1:17">
      <c r="A210" s="61" t="str">
        <f t="shared" si="30"/>
        <v>LONDRINA [ETAPA 03 - CONDOMINIO ARANGUA]XXXVII13</v>
      </c>
      <c r="B210" s="114" t="s">
        <v>33</v>
      </c>
      <c r="C210" s="42" t="s">
        <v>530</v>
      </c>
      <c r="D210" s="45">
        <v>13</v>
      </c>
      <c r="E210" s="64">
        <v>255.5</v>
      </c>
      <c r="F210" s="201"/>
      <c r="G210" s="41" t="s">
        <v>410</v>
      </c>
      <c r="H210" s="204">
        <v>43146</v>
      </c>
      <c r="I210" s="259" t="str">
        <f t="shared" si="35"/>
        <v>LONDRINA [ETAPA 03 - CONDOMINIO ARANGUA]2/2018</v>
      </c>
      <c r="J210" s="53" t="str">
        <f t="shared" si="34"/>
        <v>Remanescente2/2018</v>
      </c>
      <c r="K210" s="43">
        <v>141000</v>
      </c>
      <c r="L210" s="43" t="s">
        <v>539</v>
      </c>
      <c r="M210" s="43">
        <v>0</v>
      </c>
      <c r="N210" s="494" t="str">
        <f t="shared" si="31"/>
        <v>VENDA</v>
      </c>
      <c r="O210" s="491" t="str">
        <f t="shared" si="32"/>
        <v>LONDRINA [ETAPA 03 - CONDOMINIO ARANGUA]VENDA</v>
      </c>
      <c r="P210" s="492" t="str">
        <f t="shared" si="33"/>
        <v>VENDARemanescenteLONDRINA [ETAPA 03 - CONDOMINIO ARANGUA]</v>
      </c>
      <c r="Q210" s="485"/>
    </row>
    <row r="211" spans="1:17">
      <c r="A211" s="61" t="str">
        <f t="shared" si="30"/>
        <v>LONDRINA [ETAPA 03 - CONDOMINIO ARANGUA]XXXVII14</v>
      </c>
      <c r="B211" s="114" t="s">
        <v>33</v>
      </c>
      <c r="C211" s="42" t="s">
        <v>530</v>
      </c>
      <c r="D211" s="45">
        <v>14</v>
      </c>
      <c r="E211" s="64">
        <v>255.5</v>
      </c>
      <c r="F211" s="201"/>
      <c r="G211" s="41" t="s">
        <v>1141</v>
      </c>
      <c r="H211" s="204">
        <v>43866</v>
      </c>
      <c r="I211" s="259" t="str">
        <f t="shared" si="35"/>
        <v>LONDRINA [ETAPA 03 - CONDOMINIO ARANGUA]2/2020</v>
      </c>
      <c r="J211" s="53" t="str">
        <f t="shared" si="34"/>
        <v>Distrato2/2020</v>
      </c>
      <c r="K211" s="43">
        <v>142800</v>
      </c>
      <c r="L211" s="43" t="s">
        <v>570</v>
      </c>
      <c r="M211" s="190">
        <v>0</v>
      </c>
      <c r="N211" s="494" t="str">
        <f t="shared" si="31"/>
        <v>VENDA</v>
      </c>
      <c r="O211" s="491" t="str">
        <f t="shared" si="32"/>
        <v>LONDRINA [ETAPA 03 - CONDOMINIO ARANGUA]VENDA</v>
      </c>
      <c r="P211" s="492" t="str">
        <f t="shared" si="33"/>
        <v>VENDADistratoLONDRINA [ETAPA 03 - CONDOMINIO ARANGUA]</v>
      </c>
      <c r="Q211" s="485"/>
    </row>
    <row r="212" spans="1:17">
      <c r="A212" s="61" t="str">
        <f t="shared" si="30"/>
        <v>LONDRINA [ETAPA 03 - CONDOMINIO ARANGUA]XXXVII17</v>
      </c>
      <c r="B212" s="114" t="s">
        <v>33</v>
      </c>
      <c r="C212" s="42" t="s">
        <v>530</v>
      </c>
      <c r="D212" s="45">
        <v>17</v>
      </c>
      <c r="E212" s="64">
        <v>255.5</v>
      </c>
      <c r="F212" s="201"/>
      <c r="G212" s="41"/>
      <c r="H212" s="204"/>
      <c r="I212" s="259" t="str">
        <f t="shared" si="35"/>
        <v>LONDRINA [ETAPA 03 - CONDOMINIO ARANGUA]1/1900</v>
      </c>
      <c r="J212" s="53" t="str">
        <f t="shared" si="34"/>
        <v>Distrato1/1900</v>
      </c>
      <c r="K212" s="43"/>
      <c r="L212" s="43" t="s">
        <v>570</v>
      </c>
      <c r="M212" s="316">
        <v>176448.82271858485</v>
      </c>
      <c r="N212" s="494" t="str">
        <f t="shared" si="31"/>
        <v>VGV</v>
      </c>
      <c r="O212" s="491" t="str">
        <f t="shared" si="32"/>
        <v>LONDRINA [ETAPA 03 - CONDOMINIO ARANGUA]VGV</v>
      </c>
      <c r="P212" s="492" t="str">
        <f t="shared" si="33"/>
        <v>VGVDistratoLONDRINA [ETAPA 03 - CONDOMINIO ARANGUA]</v>
      </c>
      <c r="Q212" s="485"/>
    </row>
    <row r="213" spans="1:17">
      <c r="A213" s="61" t="str">
        <f t="shared" si="30"/>
        <v>LONDRINA [ETAPA 03 - CONDOMINIO ARANGUA]XXXVII33</v>
      </c>
      <c r="B213" s="114" t="s">
        <v>33</v>
      </c>
      <c r="C213" s="42" t="s">
        <v>530</v>
      </c>
      <c r="D213" s="45">
        <v>33</v>
      </c>
      <c r="E213" s="64">
        <v>254.5</v>
      </c>
      <c r="F213" s="201"/>
      <c r="G213" s="41"/>
      <c r="H213" s="204"/>
      <c r="I213" s="259" t="str">
        <f t="shared" si="35"/>
        <v>LONDRINA [ETAPA 03 - CONDOMINIO ARANGUA]1/1900</v>
      </c>
      <c r="J213" s="53" t="str">
        <f t="shared" si="34"/>
        <v>Distrato1/1900</v>
      </c>
      <c r="K213" s="43"/>
      <c r="L213" s="43" t="s">
        <v>570</v>
      </c>
      <c r="M213" s="43">
        <v>155100</v>
      </c>
      <c r="N213" s="494" t="str">
        <f t="shared" si="31"/>
        <v>VGV</v>
      </c>
      <c r="O213" s="491" t="str">
        <f t="shared" si="32"/>
        <v>LONDRINA [ETAPA 03 - CONDOMINIO ARANGUA]VGV</v>
      </c>
      <c r="P213" s="492" t="str">
        <f t="shared" si="33"/>
        <v>VGVDistratoLONDRINA [ETAPA 03 - CONDOMINIO ARANGUA]</v>
      </c>
      <c r="Q213" s="485"/>
    </row>
    <row r="214" spans="1:17">
      <c r="A214" s="61" t="str">
        <f t="shared" si="30"/>
        <v>LONDRINA [ETAPA 03 - CONDOMINIO ARANGUA]XXXVII38</v>
      </c>
      <c r="B214" s="114" t="s">
        <v>33</v>
      </c>
      <c r="C214" s="42" t="s">
        <v>530</v>
      </c>
      <c r="D214" s="45">
        <v>38</v>
      </c>
      <c r="E214" s="64">
        <v>254.5</v>
      </c>
      <c r="F214" s="201">
        <v>4290</v>
      </c>
      <c r="G214" s="41" t="s">
        <v>1173</v>
      </c>
      <c r="H214" s="204">
        <v>44001</v>
      </c>
      <c r="I214" s="259" t="str">
        <f t="shared" si="35"/>
        <v>LONDRINA [ETAPA 03 - CONDOMINIO ARANGUA]6/2020</v>
      </c>
      <c r="J214" s="53" t="str">
        <f t="shared" si="34"/>
        <v>Distrato6/2020</v>
      </c>
      <c r="K214" s="43">
        <v>161679.6</v>
      </c>
      <c r="L214" s="43" t="s">
        <v>570</v>
      </c>
      <c r="M214" s="117">
        <v>0</v>
      </c>
      <c r="N214" s="494" t="str">
        <f t="shared" si="31"/>
        <v>VENDA</v>
      </c>
      <c r="O214" s="491" t="str">
        <f t="shared" si="32"/>
        <v>LONDRINA [ETAPA 03 - CONDOMINIO ARANGUA]VENDA</v>
      </c>
      <c r="P214" s="492" t="str">
        <f t="shared" si="33"/>
        <v>VENDADistratoLONDRINA [ETAPA 03 - CONDOMINIO ARANGUA]</v>
      </c>
      <c r="Q214" s="485"/>
    </row>
    <row r="215" spans="1:17">
      <c r="A215" s="61" t="str">
        <f t="shared" si="30"/>
        <v>LONDRINA [ETAPA 03 - CONDOMINIO ARANGUA]XXXVII42</v>
      </c>
      <c r="B215" s="114" t="s">
        <v>33</v>
      </c>
      <c r="C215" s="42" t="s">
        <v>530</v>
      </c>
      <c r="D215" s="45">
        <v>42</v>
      </c>
      <c r="E215" s="64">
        <v>353.3</v>
      </c>
      <c r="F215" s="201"/>
      <c r="G215" s="41" t="s">
        <v>928</v>
      </c>
      <c r="H215" s="204">
        <v>43507</v>
      </c>
      <c r="I215" s="259" t="str">
        <f t="shared" si="35"/>
        <v>LONDRINA [ETAPA 03 - CONDOMINIO ARANGUA]2/2019</v>
      </c>
      <c r="J215" s="53" t="str">
        <f t="shared" si="34"/>
        <v>Remanescente2/2019</v>
      </c>
      <c r="K215" s="43">
        <v>117660</v>
      </c>
      <c r="L215" s="43" t="s">
        <v>539</v>
      </c>
      <c r="M215" s="190">
        <v>0</v>
      </c>
      <c r="N215" s="494" t="str">
        <f t="shared" si="31"/>
        <v>VENDA</v>
      </c>
      <c r="O215" s="491" t="str">
        <f t="shared" si="32"/>
        <v>LONDRINA [ETAPA 03 - CONDOMINIO ARANGUA]VENDA</v>
      </c>
      <c r="P215" s="492" t="str">
        <f t="shared" si="33"/>
        <v>VENDARemanescenteLONDRINA [ETAPA 03 - CONDOMINIO ARANGUA]</v>
      </c>
      <c r="Q215" s="485"/>
    </row>
    <row r="216" spans="1:17">
      <c r="A216" s="61" t="str">
        <f t="shared" si="30"/>
        <v>LONDRINA [ETAPA 03 - CONDOMINIO ARANGUA]XXXVIII2</v>
      </c>
      <c r="B216" s="114" t="s">
        <v>33</v>
      </c>
      <c r="C216" s="42" t="s">
        <v>531</v>
      </c>
      <c r="D216" s="45">
        <v>2</v>
      </c>
      <c r="E216" s="64">
        <v>253.75</v>
      </c>
      <c r="F216" s="243">
        <v>4768</v>
      </c>
      <c r="G216" s="41" t="s">
        <v>1319</v>
      </c>
      <c r="H216" s="204">
        <v>44075</v>
      </c>
      <c r="I216" s="259" t="str">
        <f t="shared" si="35"/>
        <v>LONDRINA [ETAPA 03 - CONDOMINIO ARANGUA]9/2020</v>
      </c>
      <c r="J216" s="53" t="str">
        <f t="shared" si="34"/>
        <v>Distrato9/2020</v>
      </c>
      <c r="K216" s="43">
        <v>137240</v>
      </c>
      <c r="L216" s="43" t="s">
        <v>570</v>
      </c>
      <c r="M216" s="190">
        <v>0</v>
      </c>
      <c r="N216" s="494" t="str">
        <f t="shared" si="31"/>
        <v>VENDA</v>
      </c>
      <c r="O216" s="491" t="str">
        <f t="shared" si="32"/>
        <v>LONDRINA [ETAPA 03 - CONDOMINIO ARANGUA]VENDA</v>
      </c>
      <c r="P216" s="492" t="str">
        <f t="shared" si="33"/>
        <v>VENDADistratoLONDRINA [ETAPA 03 - CONDOMINIO ARANGUA]</v>
      </c>
      <c r="Q216" s="485"/>
    </row>
    <row r="217" spans="1:17">
      <c r="A217" s="61" t="str">
        <f t="shared" si="30"/>
        <v>LONDRINA [ETAPA 03 - CONDOMINIO ARANGUA]XXXVIII5</v>
      </c>
      <c r="B217" s="114" t="s">
        <v>33</v>
      </c>
      <c r="C217" s="42" t="s">
        <v>531</v>
      </c>
      <c r="D217" s="45">
        <v>5</v>
      </c>
      <c r="E217" s="64">
        <v>253.75</v>
      </c>
      <c r="F217" s="243">
        <v>4770</v>
      </c>
      <c r="G217" s="41" t="s">
        <v>1320</v>
      </c>
      <c r="H217" s="204">
        <v>44078</v>
      </c>
      <c r="I217" s="259" t="str">
        <f t="shared" si="35"/>
        <v>LONDRINA [ETAPA 03 - CONDOMINIO ARANGUA]9/2020</v>
      </c>
      <c r="J217" s="53" t="str">
        <f t="shared" si="34"/>
        <v>Distrato9/2020</v>
      </c>
      <c r="K217" s="43">
        <v>137240</v>
      </c>
      <c r="L217" s="43" t="s">
        <v>570</v>
      </c>
      <c r="M217" s="190">
        <v>0</v>
      </c>
      <c r="N217" s="494" t="str">
        <f t="shared" si="31"/>
        <v>VENDA</v>
      </c>
      <c r="O217" s="491" t="str">
        <f t="shared" si="32"/>
        <v>LONDRINA [ETAPA 03 - CONDOMINIO ARANGUA]VENDA</v>
      </c>
      <c r="P217" s="492" t="str">
        <f t="shared" si="33"/>
        <v>VENDADistratoLONDRINA [ETAPA 03 - CONDOMINIO ARANGUA]</v>
      </c>
      <c r="Q217" s="485"/>
    </row>
    <row r="218" spans="1:17">
      <c r="A218" s="61" t="str">
        <f t="shared" si="30"/>
        <v>LONDRINA [ETAPA 03 - CONDOMINIO ARANGUA]XXXVIII6</v>
      </c>
      <c r="B218" s="114" t="s">
        <v>33</v>
      </c>
      <c r="C218" s="42" t="s">
        <v>531</v>
      </c>
      <c r="D218" s="45">
        <v>6</v>
      </c>
      <c r="E218" s="64">
        <v>253.75</v>
      </c>
      <c r="F218" s="243">
        <v>4827</v>
      </c>
      <c r="G218" s="41" t="s">
        <v>1350</v>
      </c>
      <c r="H218" s="204">
        <v>44117</v>
      </c>
      <c r="I218" s="259" t="str">
        <f t="shared" si="35"/>
        <v>LONDRINA [ETAPA 03 - CONDOMINIO ARANGUA]10/2020</v>
      </c>
      <c r="J218" s="53" t="str">
        <f t="shared" si="34"/>
        <v>Distrato10/2020</v>
      </c>
      <c r="K218" s="43">
        <v>152280</v>
      </c>
      <c r="L218" s="43" t="s">
        <v>570</v>
      </c>
      <c r="M218" s="190">
        <v>0</v>
      </c>
      <c r="N218" s="494" t="str">
        <f t="shared" si="31"/>
        <v>VENDA</v>
      </c>
      <c r="O218" s="491" t="str">
        <f t="shared" si="32"/>
        <v>LONDRINA [ETAPA 03 - CONDOMINIO ARANGUA]VENDA</v>
      </c>
      <c r="P218" s="492" t="str">
        <f t="shared" si="33"/>
        <v>VENDADistratoLONDRINA [ETAPA 03 - CONDOMINIO ARANGUA]</v>
      </c>
      <c r="Q218" s="485"/>
    </row>
    <row r="219" spans="1:17">
      <c r="A219" s="61" t="str">
        <f t="shared" si="30"/>
        <v>LONDRINA [ETAPA 03 - CONDOMINIO ARANGUA]XXXVIII11</v>
      </c>
      <c r="B219" s="114" t="s">
        <v>33</v>
      </c>
      <c r="C219" s="327" t="s">
        <v>531</v>
      </c>
      <c r="D219" s="116">
        <v>11</v>
      </c>
      <c r="E219" s="183">
        <v>253.75</v>
      </c>
      <c r="F219" s="201"/>
      <c r="G219" s="41"/>
      <c r="H219" s="208"/>
      <c r="I219" s="259" t="str">
        <f t="shared" si="35"/>
        <v>LONDRINA [ETAPA 03 - CONDOMINIO ARANGUA]1/1900</v>
      </c>
      <c r="J219" s="53" t="str">
        <f t="shared" si="34"/>
        <v>Distrato1/1900</v>
      </c>
      <c r="K219" s="43"/>
      <c r="L219" s="43" t="s">
        <v>570</v>
      </c>
      <c r="M219" s="316">
        <v>175240.26913832058</v>
      </c>
      <c r="N219" s="494" t="str">
        <f t="shared" si="31"/>
        <v>VGV</v>
      </c>
      <c r="O219" s="491" t="str">
        <f t="shared" si="32"/>
        <v>LONDRINA [ETAPA 03 - CONDOMINIO ARANGUA]VGV</v>
      </c>
      <c r="P219" s="492" t="str">
        <f t="shared" si="33"/>
        <v>VGVDistratoLONDRINA [ETAPA 03 - CONDOMINIO ARANGUA]</v>
      </c>
      <c r="Q219" s="485"/>
    </row>
    <row r="220" spans="1:17">
      <c r="A220" s="61" t="str">
        <f t="shared" si="30"/>
        <v>LONDRINA [ETAPA 03 - CONDOMINIO ARANGUA]XXXVIII12</v>
      </c>
      <c r="B220" s="114" t="s">
        <v>33</v>
      </c>
      <c r="C220" s="94" t="s">
        <v>531</v>
      </c>
      <c r="D220" s="95">
        <v>12</v>
      </c>
      <c r="E220" s="182">
        <v>253.75</v>
      </c>
      <c r="F220" s="437">
        <v>4291</v>
      </c>
      <c r="G220" s="93" t="s">
        <v>1174</v>
      </c>
      <c r="H220" s="205">
        <v>44000</v>
      </c>
      <c r="I220" s="259" t="str">
        <f t="shared" si="35"/>
        <v>LONDRINA [ETAPA 03 - CONDOMINIO ARANGUA]6/2020</v>
      </c>
      <c r="J220" s="53" t="str">
        <f t="shared" si="34"/>
        <v>Remanescente6/2020</v>
      </c>
      <c r="K220" s="96">
        <v>150400.4</v>
      </c>
      <c r="L220" s="96" t="s">
        <v>539</v>
      </c>
      <c r="M220" s="189">
        <v>0</v>
      </c>
      <c r="N220" s="494" t="str">
        <f t="shared" si="31"/>
        <v>VENDA</v>
      </c>
      <c r="O220" s="491" t="str">
        <f t="shared" si="32"/>
        <v>LONDRINA [ETAPA 03 - CONDOMINIO ARANGUA]VENDA</v>
      </c>
      <c r="P220" s="492" t="str">
        <f t="shared" si="33"/>
        <v>VENDARemanescenteLONDRINA [ETAPA 03 - CONDOMINIO ARANGUA]</v>
      </c>
      <c r="Q220" s="485"/>
    </row>
    <row r="221" spans="1:17">
      <c r="A221" s="61" t="str">
        <f t="shared" si="30"/>
        <v>LONDRINA [ETAPA 03 - CONDOMINIO ARANGUA]XXXVIII15</v>
      </c>
      <c r="B221" s="114" t="s">
        <v>33</v>
      </c>
      <c r="C221" s="42" t="s">
        <v>531</v>
      </c>
      <c r="D221" s="116">
        <v>15</v>
      </c>
      <c r="E221" s="64">
        <v>253.75</v>
      </c>
      <c r="F221" s="378">
        <v>4807</v>
      </c>
      <c r="G221" s="114" t="s">
        <v>1351</v>
      </c>
      <c r="H221" s="206">
        <v>44113</v>
      </c>
      <c r="I221" s="259" t="str">
        <f t="shared" si="35"/>
        <v>LONDRINA [ETAPA 03 - CONDOMINIO ARANGUA]10/2020</v>
      </c>
      <c r="J221" s="53" t="str">
        <f t="shared" si="34"/>
        <v>Distrato10/2020</v>
      </c>
      <c r="K221" s="117">
        <v>137710</v>
      </c>
      <c r="L221" s="117" t="s">
        <v>570</v>
      </c>
      <c r="M221" s="43">
        <v>0</v>
      </c>
      <c r="N221" s="494" t="str">
        <f t="shared" si="31"/>
        <v>VENDA</v>
      </c>
      <c r="O221" s="491" t="str">
        <f t="shared" si="32"/>
        <v>LONDRINA [ETAPA 03 - CONDOMINIO ARANGUA]VENDA</v>
      </c>
      <c r="P221" s="492" t="str">
        <f t="shared" si="33"/>
        <v>VENDADistratoLONDRINA [ETAPA 03 - CONDOMINIO ARANGUA]</v>
      </c>
      <c r="Q221" s="485"/>
    </row>
    <row r="222" spans="1:17">
      <c r="A222" s="61" t="str">
        <f t="shared" si="30"/>
        <v>LONDRINA [ETAPA 03 - CONDOMINIO ARANGUA]XXXVIII17</v>
      </c>
      <c r="B222" s="114" t="s">
        <v>33</v>
      </c>
      <c r="C222" s="42" t="s">
        <v>531</v>
      </c>
      <c r="D222" s="45">
        <v>17</v>
      </c>
      <c r="E222" s="64">
        <v>253.75</v>
      </c>
      <c r="F222" s="243">
        <v>4831</v>
      </c>
      <c r="G222" s="41" t="s">
        <v>1342</v>
      </c>
      <c r="H222" s="204">
        <v>44113</v>
      </c>
      <c r="I222" s="259" t="str">
        <f t="shared" si="35"/>
        <v>LONDRINA [ETAPA 03 - CONDOMINIO ARANGUA]10/2020</v>
      </c>
      <c r="J222" s="53" t="str">
        <f t="shared" si="34"/>
        <v>Distrato10/2020</v>
      </c>
      <c r="K222" s="43">
        <v>137710</v>
      </c>
      <c r="L222" s="43" t="s">
        <v>570</v>
      </c>
      <c r="M222" s="190">
        <v>0</v>
      </c>
      <c r="N222" s="494" t="str">
        <f t="shared" si="31"/>
        <v>VENDA</v>
      </c>
      <c r="O222" s="491" t="str">
        <f t="shared" si="32"/>
        <v>LONDRINA [ETAPA 03 - CONDOMINIO ARANGUA]VENDA</v>
      </c>
      <c r="P222" s="492" t="str">
        <f t="shared" si="33"/>
        <v>VENDADistratoLONDRINA [ETAPA 03 - CONDOMINIO ARANGUA]</v>
      </c>
      <c r="Q222" s="485"/>
    </row>
    <row r="223" spans="1:17">
      <c r="A223" s="61" t="str">
        <f t="shared" si="30"/>
        <v>LONDRINA [ETAPA 03 - CONDOMINIO ARANGUA]XXXVIII19</v>
      </c>
      <c r="B223" s="114" t="s">
        <v>33</v>
      </c>
      <c r="C223" s="42" t="s">
        <v>531</v>
      </c>
      <c r="D223" s="45">
        <v>19</v>
      </c>
      <c r="E223" s="64">
        <v>253.75</v>
      </c>
      <c r="F223" s="243">
        <v>4792</v>
      </c>
      <c r="G223" s="41" t="s">
        <v>1321</v>
      </c>
      <c r="H223" s="204">
        <v>44095</v>
      </c>
      <c r="I223" s="259" t="str">
        <f t="shared" si="35"/>
        <v>LONDRINA [ETAPA 03 - CONDOMINIO ARANGUA]9/2020</v>
      </c>
      <c r="J223" s="53" t="str">
        <f t="shared" si="34"/>
        <v>Distrato9/2020</v>
      </c>
      <c r="K223" s="43">
        <v>155041.67000000001</v>
      </c>
      <c r="L223" s="43" t="s">
        <v>570</v>
      </c>
      <c r="M223" s="190">
        <v>0</v>
      </c>
      <c r="N223" s="494" t="str">
        <f t="shared" si="31"/>
        <v>VENDA</v>
      </c>
      <c r="O223" s="491" t="str">
        <f t="shared" si="32"/>
        <v>LONDRINA [ETAPA 03 - CONDOMINIO ARANGUA]VENDA</v>
      </c>
      <c r="P223" s="492" t="str">
        <f t="shared" si="33"/>
        <v>VENDADistratoLONDRINA [ETAPA 03 - CONDOMINIO ARANGUA]</v>
      </c>
      <c r="Q223" s="485"/>
    </row>
    <row r="224" spans="1:17">
      <c r="A224" s="61" t="str">
        <f t="shared" si="30"/>
        <v>LONDRINA [ETAPA 03 - CONDOMINIO ARANGUA]XXXVIII22</v>
      </c>
      <c r="B224" s="114" t="s">
        <v>33</v>
      </c>
      <c r="C224" s="115" t="s">
        <v>531</v>
      </c>
      <c r="D224" s="116">
        <v>22</v>
      </c>
      <c r="E224" s="183">
        <v>365.62</v>
      </c>
      <c r="F224" s="243">
        <v>4737</v>
      </c>
      <c r="G224" s="41" t="s">
        <v>1269</v>
      </c>
      <c r="H224" s="206">
        <v>44064</v>
      </c>
      <c r="I224" s="259" t="str">
        <f t="shared" si="35"/>
        <v>LONDRINA [ETAPA 03 - CONDOMINIO ARANGUA]8/2020</v>
      </c>
      <c r="J224" s="53" t="str">
        <f t="shared" si="34"/>
        <v>Distrato8/2020</v>
      </c>
      <c r="K224" s="117">
        <v>223393.96</v>
      </c>
      <c r="L224" s="117" t="s">
        <v>570</v>
      </c>
      <c r="M224" s="188">
        <v>0</v>
      </c>
      <c r="N224" s="494" t="str">
        <f t="shared" si="31"/>
        <v>VENDA</v>
      </c>
      <c r="O224" s="491" t="str">
        <f t="shared" si="32"/>
        <v>LONDRINA [ETAPA 03 - CONDOMINIO ARANGUA]VENDA</v>
      </c>
      <c r="P224" s="492" t="str">
        <f t="shared" si="33"/>
        <v>VENDADistratoLONDRINA [ETAPA 03 - CONDOMINIO ARANGUA]</v>
      </c>
      <c r="Q224" s="485"/>
    </row>
    <row r="225" spans="1:17">
      <c r="A225" s="61" t="str">
        <f t="shared" si="30"/>
        <v>LONDRINA [ETAPA 03 - CONDOMINIO ARANGUA]XXXVIII30</v>
      </c>
      <c r="B225" s="114" t="s">
        <v>33</v>
      </c>
      <c r="C225" s="42" t="s">
        <v>531</v>
      </c>
      <c r="D225" s="45">
        <v>30</v>
      </c>
      <c r="E225" s="64">
        <v>255.25</v>
      </c>
      <c r="F225" s="201"/>
      <c r="G225" s="41" t="s">
        <v>1110</v>
      </c>
      <c r="H225" s="204">
        <v>43864</v>
      </c>
      <c r="I225" s="259" t="str">
        <f t="shared" si="35"/>
        <v>LONDRINA [ETAPA 03 - CONDOMINIO ARANGUA]2/2020</v>
      </c>
      <c r="J225" s="53" t="str">
        <f t="shared" si="34"/>
        <v>Distrato2/2020</v>
      </c>
      <c r="K225" s="43">
        <v>144172.48000000001</v>
      </c>
      <c r="L225" s="43" t="s">
        <v>570</v>
      </c>
      <c r="M225" s="190">
        <v>0</v>
      </c>
      <c r="N225" s="494" t="str">
        <f t="shared" si="31"/>
        <v>VENDA</v>
      </c>
      <c r="O225" s="491" t="str">
        <f t="shared" si="32"/>
        <v>LONDRINA [ETAPA 03 - CONDOMINIO ARANGUA]VENDA</v>
      </c>
      <c r="P225" s="492" t="str">
        <f t="shared" si="33"/>
        <v>VENDADistratoLONDRINA [ETAPA 03 - CONDOMINIO ARANGUA]</v>
      </c>
      <c r="Q225" s="485"/>
    </row>
    <row r="226" spans="1:17">
      <c r="A226" s="61" t="str">
        <f t="shared" si="30"/>
        <v>LONDRINA [ETAPA 03 - CONDOMINIO ARANGUA]XXXVIII39</v>
      </c>
      <c r="B226" s="114" t="s">
        <v>33</v>
      </c>
      <c r="C226" s="42" t="s">
        <v>531</v>
      </c>
      <c r="D226" s="45">
        <v>39</v>
      </c>
      <c r="E226" s="64">
        <v>255.25</v>
      </c>
      <c r="F226" s="201"/>
      <c r="G226" s="41" t="s">
        <v>1107</v>
      </c>
      <c r="H226" s="204">
        <v>43788</v>
      </c>
      <c r="I226" s="259" t="str">
        <f t="shared" si="35"/>
        <v>LONDRINA [ETAPA 03 - CONDOMINIO ARANGUA]11/2019</v>
      </c>
      <c r="J226" s="53" t="str">
        <f t="shared" si="34"/>
        <v>Distrato11/2019</v>
      </c>
      <c r="K226" s="43">
        <v>144172.5</v>
      </c>
      <c r="L226" s="43" t="s">
        <v>570</v>
      </c>
      <c r="M226" s="190">
        <v>0</v>
      </c>
      <c r="N226" s="494" t="str">
        <f t="shared" si="31"/>
        <v>VENDA</v>
      </c>
      <c r="O226" s="491" t="str">
        <f t="shared" si="32"/>
        <v>LONDRINA [ETAPA 03 - CONDOMINIO ARANGUA]VENDA</v>
      </c>
      <c r="P226" s="492" t="str">
        <f t="shared" si="33"/>
        <v>VENDADistratoLONDRINA [ETAPA 03 - CONDOMINIO ARANGUA]</v>
      </c>
      <c r="Q226" s="485"/>
    </row>
    <row r="227" spans="1:17">
      <c r="A227" s="61" t="str">
        <f t="shared" si="30"/>
        <v>LONDRINA [ETAPA 03 - CONDOMINIO ARANGUA]XXXVIII41</v>
      </c>
      <c r="B227" s="114" t="s">
        <v>33</v>
      </c>
      <c r="C227" s="42" t="s">
        <v>531</v>
      </c>
      <c r="D227" s="45">
        <v>41</v>
      </c>
      <c r="E227" s="64">
        <v>255.25</v>
      </c>
      <c r="F227" s="243">
        <v>4925</v>
      </c>
      <c r="G227" s="41" t="s">
        <v>1386</v>
      </c>
      <c r="H227" s="204">
        <v>44175</v>
      </c>
      <c r="I227" s="259" t="str">
        <f t="shared" si="35"/>
        <v>LONDRINA [ETAPA 03 - CONDOMINIO ARANGUA]12/2020</v>
      </c>
      <c r="J227" s="53" t="str">
        <f t="shared" si="34"/>
        <v>Distrato12/2020</v>
      </c>
      <c r="K227" s="43">
        <v>172959.2</v>
      </c>
      <c r="L227" s="43" t="s">
        <v>570</v>
      </c>
      <c r="M227" s="190">
        <v>0</v>
      </c>
      <c r="N227" s="494" t="str">
        <f t="shared" si="31"/>
        <v>VENDA</v>
      </c>
      <c r="O227" s="491" t="str">
        <f t="shared" si="32"/>
        <v>LONDRINA [ETAPA 03 - CONDOMINIO ARANGUA]VENDA</v>
      </c>
      <c r="P227" s="492" t="str">
        <f t="shared" si="33"/>
        <v>VENDADistratoLONDRINA [ETAPA 03 - CONDOMINIO ARANGUA]</v>
      </c>
      <c r="Q227" s="485"/>
    </row>
    <row r="228" spans="1:17">
      <c r="A228" s="61" t="str">
        <f t="shared" si="30"/>
        <v>LONDRINA [ETAPA 03 - CONDOMINIO ARANGUA]XXXVIII42</v>
      </c>
      <c r="B228" s="114" t="s">
        <v>33</v>
      </c>
      <c r="C228" s="42" t="s">
        <v>531</v>
      </c>
      <c r="D228" s="45">
        <v>42</v>
      </c>
      <c r="E228" s="64">
        <v>353.3</v>
      </c>
      <c r="F228" s="201"/>
      <c r="G228" s="41" t="s">
        <v>207</v>
      </c>
      <c r="H228" s="204">
        <v>43245</v>
      </c>
      <c r="I228" s="259" t="str">
        <f t="shared" si="35"/>
        <v>LONDRINA [ETAPA 03 - CONDOMINIO ARANGUA]5/2018</v>
      </c>
      <c r="J228" s="53" t="str">
        <f t="shared" si="34"/>
        <v>Remanescente5/2018</v>
      </c>
      <c r="K228" s="43">
        <v>145000</v>
      </c>
      <c r="L228" s="43" t="s">
        <v>539</v>
      </c>
      <c r="M228" s="43">
        <v>0</v>
      </c>
      <c r="N228" s="494" t="str">
        <f t="shared" si="31"/>
        <v>VENDA</v>
      </c>
      <c r="O228" s="491" t="str">
        <f t="shared" si="32"/>
        <v>LONDRINA [ETAPA 03 - CONDOMINIO ARANGUA]VENDA</v>
      </c>
      <c r="P228" s="492" t="str">
        <f t="shared" si="33"/>
        <v>VENDARemanescenteLONDRINA [ETAPA 03 - CONDOMINIO ARANGUA]</v>
      </c>
      <c r="Q228" s="485"/>
    </row>
    <row r="229" spans="1:17">
      <c r="A229" s="61" t="str">
        <f t="shared" si="30"/>
        <v>LONDRINA [ETAPA 04 - AREAS EXTERNAS G4 - G8]X1</v>
      </c>
      <c r="B229" s="114" t="s">
        <v>612</v>
      </c>
      <c r="C229" s="42" t="s">
        <v>613</v>
      </c>
      <c r="D229" s="45">
        <v>1</v>
      </c>
      <c r="E229" s="64">
        <v>334.04</v>
      </c>
      <c r="F229" s="201"/>
      <c r="G229" s="41" t="s">
        <v>932</v>
      </c>
      <c r="H229" s="204">
        <v>43509</v>
      </c>
      <c r="I229" s="259" t="str">
        <f t="shared" si="35"/>
        <v>LONDRINA [ETAPA 04 - AREAS EXTERNAS G4 - G8]2/2019</v>
      </c>
      <c r="J229" s="53" t="str">
        <f t="shared" si="34"/>
        <v>Remanescente2/2019</v>
      </c>
      <c r="K229" s="43">
        <v>156999.4</v>
      </c>
      <c r="L229" s="43" t="s">
        <v>539</v>
      </c>
      <c r="M229" s="190">
        <v>0</v>
      </c>
      <c r="N229" s="494" t="str">
        <f t="shared" si="31"/>
        <v>VENDA</v>
      </c>
      <c r="O229" s="491" t="str">
        <f t="shared" si="32"/>
        <v>LONDRINA [ETAPA 04 - AREAS EXTERNAS G4 - G8]VENDA</v>
      </c>
      <c r="P229" s="492" t="str">
        <f t="shared" si="33"/>
        <v>VENDARemanescenteLONDRINA [ETAPA 04 - AREAS EXTERNAS G4 - G8]</v>
      </c>
      <c r="Q229" s="485"/>
    </row>
    <row r="230" spans="1:17">
      <c r="A230" s="61" t="str">
        <f t="shared" si="30"/>
        <v>LONDRINA [ETAPA 04 - AREAS EXTERNAS G4 - G8]X2</v>
      </c>
      <c r="B230" s="114" t="s">
        <v>612</v>
      </c>
      <c r="C230" s="42" t="s">
        <v>613</v>
      </c>
      <c r="D230" s="45">
        <v>2</v>
      </c>
      <c r="E230" s="64">
        <v>252.5</v>
      </c>
      <c r="F230" s="201"/>
      <c r="G230" s="41" t="s">
        <v>1118</v>
      </c>
      <c r="H230" s="204">
        <v>43809</v>
      </c>
      <c r="I230" s="259" t="str">
        <f t="shared" si="35"/>
        <v>LONDRINA [ETAPA 04 - AREAS EXTERNAS G4 - G8]12/2019</v>
      </c>
      <c r="J230" s="53" t="str">
        <f t="shared" si="34"/>
        <v>Remanescente12/2019</v>
      </c>
      <c r="K230" s="43">
        <v>122200</v>
      </c>
      <c r="L230" s="43" t="s">
        <v>539</v>
      </c>
      <c r="M230" s="190">
        <v>0</v>
      </c>
      <c r="N230" s="494" t="str">
        <f t="shared" si="31"/>
        <v>VENDA</v>
      </c>
      <c r="O230" s="491" t="str">
        <f t="shared" si="32"/>
        <v>LONDRINA [ETAPA 04 - AREAS EXTERNAS G4 - G8]VENDA</v>
      </c>
      <c r="P230" s="492" t="str">
        <f t="shared" si="33"/>
        <v>VENDARemanescenteLONDRINA [ETAPA 04 - AREAS EXTERNAS G4 - G8]</v>
      </c>
      <c r="Q230" s="485"/>
    </row>
    <row r="231" spans="1:17">
      <c r="A231" s="61" t="str">
        <f t="shared" si="30"/>
        <v>LONDRINA [ETAPA 04 - AREAS EXTERNAS G4 - G8]X3</v>
      </c>
      <c r="B231" s="114" t="s">
        <v>612</v>
      </c>
      <c r="C231" s="42" t="s">
        <v>613</v>
      </c>
      <c r="D231" s="45">
        <v>3</v>
      </c>
      <c r="E231" s="64">
        <v>252.5</v>
      </c>
      <c r="F231" s="201"/>
      <c r="G231" s="41"/>
      <c r="H231" s="208"/>
      <c r="I231" s="259" t="str">
        <f t="shared" si="35"/>
        <v>LONDRINA [ETAPA 04 - AREAS EXTERNAS G4 - G8]1/1900</v>
      </c>
      <c r="J231" s="53" t="str">
        <f t="shared" si="34"/>
        <v>Remanescente1/1900</v>
      </c>
      <c r="K231" s="43"/>
      <c r="L231" s="43" t="s">
        <v>539</v>
      </c>
      <c r="M231" s="316">
        <v>149790.46692607005</v>
      </c>
      <c r="N231" s="494" t="str">
        <f t="shared" si="31"/>
        <v>VGV</v>
      </c>
      <c r="O231" s="491" t="str">
        <f t="shared" si="32"/>
        <v>LONDRINA [ETAPA 04 - AREAS EXTERNAS G4 - G8]VGV</v>
      </c>
      <c r="P231" s="492" t="str">
        <f t="shared" si="33"/>
        <v>VGVRemanescenteLONDRINA [ETAPA 04 - AREAS EXTERNAS G4 - G8]</v>
      </c>
      <c r="Q231" s="485"/>
    </row>
    <row r="232" spans="1:17">
      <c r="A232" s="61" t="str">
        <f t="shared" si="30"/>
        <v>LONDRINA [ETAPA 04 - AREAS EXTERNAS G4 - G8]X4</v>
      </c>
      <c r="B232" s="114" t="s">
        <v>612</v>
      </c>
      <c r="C232" s="42" t="s">
        <v>613</v>
      </c>
      <c r="D232" s="45">
        <v>4</v>
      </c>
      <c r="E232" s="64">
        <v>252.5</v>
      </c>
      <c r="F232" s="201"/>
      <c r="G232" s="41"/>
      <c r="H232" s="208"/>
      <c r="I232" s="259" t="str">
        <f t="shared" si="35"/>
        <v>LONDRINA [ETAPA 04 - AREAS EXTERNAS G4 - G8]1/1900</v>
      </c>
      <c r="J232" s="53" t="str">
        <f t="shared" si="34"/>
        <v>Remanescente1/1900</v>
      </c>
      <c r="K232" s="43"/>
      <c r="L232" s="43" t="s">
        <v>539</v>
      </c>
      <c r="M232" s="316">
        <v>149790.46692607005</v>
      </c>
      <c r="N232" s="494" t="str">
        <f t="shared" si="31"/>
        <v>VGV</v>
      </c>
      <c r="O232" s="491" t="str">
        <f t="shared" si="32"/>
        <v>LONDRINA [ETAPA 04 - AREAS EXTERNAS G4 - G8]VGV</v>
      </c>
      <c r="P232" s="492" t="str">
        <f t="shared" si="33"/>
        <v>VGVRemanescenteLONDRINA [ETAPA 04 - AREAS EXTERNAS G4 - G8]</v>
      </c>
      <c r="Q232" s="485"/>
    </row>
    <row r="233" spans="1:17">
      <c r="A233" s="61" t="str">
        <f t="shared" si="30"/>
        <v>LONDRINA [ETAPA 04 - AREAS EXTERNAS G4 - G8]X5</v>
      </c>
      <c r="B233" s="114" t="s">
        <v>612</v>
      </c>
      <c r="C233" s="42" t="s">
        <v>613</v>
      </c>
      <c r="D233" s="45">
        <v>5</v>
      </c>
      <c r="E233" s="64">
        <v>252.5</v>
      </c>
      <c r="F233" s="201"/>
      <c r="G233" s="41"/>
      <c r="H233" s="208"/>
      <c r="I233" s="259" t="str">
        <f t="shared" si="35"/>
        <v>LONDRINA [ETAPA 04 - AREAS EXTERNAS G4 - G8]1/1900</v>
      </c>
      <c r="J233" s="53" t="str">
        <f t="shared" si="34"/>
        <v>Remanescente1/1900</v>
      </c>
      <c r="K233" s="43"/>
      <c r="L233" s="43" t="s">
        <v>539</v>
      </c>
      <c r="M233" s="316">
        <v>149790.46692607005</v>
      </c>
      <c r="N233" s="494" t="str">
        <f t="shared" si="31"/>
        <v>VGV</v>
      </c>
      <c r="O233" s="491" t="str">
        <f t="shared" si="32"/>
        <v>LONDRINA [ETAPA 04 - AREAS EXTERNAS G4 - G8]VGV</v>
      </c>
      <c r="P233" s="492" t="str">
        <f t="shared" si="33"/>
        <v>VGVRemanescenteLONDRINA [ETAPA 04 - AREAS EXTERNAS G4 - G8]</v>
      </c>
      <c r="Q233" s="485"/>
    </row>
    <row r="234" spans="1:17">
      <c r="A234" s="61" t="str">
        <f t="shared" si="30"/>
        <v>LONDRINA [ETAPA 04 - AREAS EXTERNAS G4 - G8]X6</v>
      </c>
      <c r="B234" s="114" t="s">
        <v>612</v>
      </c>
      <c r="C234" s="42" t="s">
        <v>613</v>
      </c>
      <c r="D234" s="45">
        <v>6</v>
      </c>
      <c r="E234" s="64">
        <v>252.5</v>
      </c>
      <c r="F234" s="201"/>
      <c r="G234" s="41"/>
      <c r="H234" s="208"/>
      <c r="I234" s="259" t="str">
        <f t="shared" si="35"/>
        <v>LONDRINA [ETAPA 04 - AREAS EXTERNAS G4 - G8]1/1900</v>
      </c>
      <c r="J234" s="53" t="str">
        <f t="shared" si="34"/>
        <v>Remanescente1/1900</v>
      </c>
      <c r="K234" s="43"/>
      <c r="L234" s="43" t="s">
        <v>539</v>
      </c>
      <c r="M234" s="316">
        <v>149790.46692607005</v>
      </c>
      <c r="N234" s="494" t="str">
        <f t="shared" si="31"/>
        <v>VGV</v>
      </c>
      <c r="O234" s="491" t="str">
        <f t="shared" si="32"/>
        <v>LONDRINA [ETAPA 04 - AREAS EXTERNAS G4 - G8]VGV</v>
      </c>
      <c r="P234" s="492" t="str">
        <f t="shared" si="33"/>
        <v>VGVRemanescenteLONDRINA [ETAPA 04 - AREAS EXTERNAS G4 - G8]</v>
      </c>
      <c r="Q234" s="485"/>
    </row>
    <row r="235" spans="1:17">
      <c r="A235" s="61" t="str">
        <f t="shared" si="30"/>
        <v>LONDRINA [ETAPA 04 - AREAS EXTERNAS G4 - G8]X7</v>
      </c>
      <c r="B235" s="114" t="s">
        <v>612</v>
      </c>
      <c r="C235" s="42" t="s">
        <v>613</v>
      </c>
      <c r="D235" s="45">
        <v>7</v>
      </c>
      <c r="E235" s="64">
        <v>252.5</v>
      </c>
      <c r="F235" s="201"/>
      <c r="G235" s="41"/>
      <c r="H235" s="208"/>
      <c r="I235" s="259" t="str">
        <f t="shared" si="35"/>
        <v>LONDRINA [ETAPA 04 - AREAS EXTERNAS G4 - G8]1/1900</v>
      </c>
      <c r="J235" s="53" t="str">
        <f t="shared" si="34"/>
        <v>Remanescente1/1900</v>
      </c>
      <c r="K235" s="43"/>
      <c r="L235" s="43" t="s">
        <v>539</v>
      </c>
      <c r="M235" s="316">
        <v>149790.46692607005</v>
      </c>
      <c r="N235" s="494" t="str">
        <f t="shared" si="31"/>
        <v>VGV</v>
      </c>
      <c r="O235" s="491" t="str">
        <f t="shared" si="32"/>
        <v>LONDRINA [ETAPA 04 - AREAS EXTERNAS G4 - G8]VGV</v>
      </c>
      <c r="P235" s="492" t="str">
        <f t="shared" si="33"/>
        <v>VGVRemanescenteLONDRINA [ETAPA 04 - AREAS EXTERNAS G4 - G8]</v>
      </c>
      <c r="Q235" s="485"/>
    </row>
    <row r="236" spans="1:17">
      <c r="A236" s="61" t="str">
        <f t="shared" si="30"/>
        <v>LONDRINA [ETAPA 04 - AREAS EXTERNAS G4 - G8]X8</v>
      </c>
      <c r="B236" s="114" t="s">
        <v>612</v>
      </c>
      <c r="C236" s="42" t="s">
        <v>613</v>
      </c>
      <c r="D236" s="45">
        <v>8</v>
      </c>
      <c r="E236" s="64">
        <v>252.5</v>
      </c>
      <c r="F236" s="201"/>
      <c r="G236" s="41"/>
      <c r="H236" s="208"/>
      <c r="I236" s="259" t="str">
        <f t="shared" si="35"/>
        <v>LONDRINA [ETAPA 04 - AREAS EXTERNAS G4 - G8]1/1900</v>
      </c>
      <c r="J236" s="53" t="str">
        <f t="shared" si="34"/>
        <v>Remanescente1/1900</v>
      </c>
      <c r="K236" s="43"/>
      <c r="L236" s="43" t="s">
        <v>539</v>
      </c>
      <c r="M236" s="316">
        <v>149790.46692607005</v>
      </c>
      <c r="N236" s="494" t="str">
        <f t="shared" si="31"/>
        <v>VGV</v>
      </c>
      <c r="O236" s="491" t="str">
        <f t="shared" si="32"/>
        <v>LONDRINA [ETAPA 04 - AREAS EXTERNAS G4 - G8]VGV</v>
      </c>
      <c r="P236" s="492" t="str">
        <f t="shared" si="33"/>
        <v>VGVRemanescenteLONDRINA [ETAPA 04 - AREAS EXTERNAS G4 - G8]</v>
      </c>
      <c r="Q236" s="485"/>
    </row>
    <row r="237" spans="1:17">
      <c r="A237" s="61" t="str">
        <f t="shared" si="30"/>
        <v>LONDRINA [ETAPA 04 - AREAS EXTERNAS G4 - G8]X9</v>
      </c>
      <c r="B237" s="114" t="s">
        <v>612</v>
      </c>
      <c r="C237" s="42" t="s">
        <v>613</v>
      </c>
      <c r="D237" s="45">
        <v>9</v>
      </c>
      <c r="E237" s="64">
        <v>252.5</v>
      </c>
      <c r="F237" s="201"/>
      <c r="G237" s="41"/>
      <c r="H237" s="208"/>
      <c r="I237" s="259" t="str">
        <f t="shared" si="35"/>
        <v>LONDRINA [ETAPA 04 - AREAS EXTERNAS G4 - G8]1/1900</v>
      </c>
      <c r="J237" s="53" t="str">
        <f t="shared" si="34"/>
        <v>Remanescente1/1900</v>
      </c>
      <c r="K237" s="43"/>
      <c r="L237" s="43" t="s">
        <v>539</v>
      </c>
      <c r="M237" s="316">
        <v>149790.46692607005</v>
      </c>
      <c r="N237" s="494" t="str">
        <f t="shared" si="31"/>
        <v>VGV</v>
      </c>
      <c r="O237" s="491" t="str">
        <f t="shared" si="32"/>
        <v>LONDRINA [ETAPA 04 - AREAS EXTERNAS G4 - G8]VGV</v>
      </c>
      <c r="P237" s="492" t="str">
        <f t="shared" si="33"/>
        <v>VGVRemanescenteLONDRINA [ETAPA 04 - AREAS EXTERNAS G4 - G8]</v>
      </c>
      <c r="Q237" s="485"/>
    </row>
    <row r="238" spans="1:17">
      <c r="A238" s="61" t="str">
        <f t="shared" si="30"/>
        <v>LONDRINA [ETAPA 04 - AREAS EXTERNAS G4 - G8]X10</v>
      </c>
      <c r="B238" s="114" t="s">
        <v>612</v>
      </c>
      <c r="C238" s="42" t="s">
        <v>613</v>
      </c>
      <c r="D238" s="45">
        <v>10</v>
      </c>
      <c r="E238" s="64">
        <v>252.5</v>
      </c>
      <c r="F238" s="201"/>
      <c r="G238" s="41"/>
      <c r="H238" s="208"/>
      <c r="I238" s="259" t="str">
        <f t="shared" si="35"/>
        <v>LONDRINA [ETAPA 04 - AREAS EXTERNAS G4 - G8]1/1900</v>
      </c>
      <c r="J238" s="53" t="str">
        <f t="shared" si="34"/>
        <v>Remanescente1/1900</v>
      </c>
      <c r="K238" s="43"/>
      <c r="L238" s="43" t="s">
        <v>539</v>
      </c>
      <c r="M238" s="316">
        <v>149790.46692607005</v>
      </c>
      <c r="N238" s="494" t="str">
        <f t="shared" si="31"/>
        <v>VGV</v>
      </c>
      <c r="O238" s="491" t="str">
        <f t="shared" si="32"/>
        <v>LONDRINA [ETAPA 04 - AREAS EXTERNAS G4 - G8]VGV</v>
      </c>
      <c r="P238" s="492" t="str">
        <f t="shared" si="33"/>
        <v>VGVRemanescenteLONDRINA [ETAPA 04 - AREAS EXTERNAS G4 - G8]</v>
      </c>
      <c r="Q238" s="485"/>
    </row>
    <row r="239" spans="1:17">
      <c r="A239" s="61" t="str">
        <f t="shared" si="30"/>
        <v>LONDRINA [ETAPA 04 - AREAS EXTERNAS G4 - G8]X11</v>
      </c>
      <c r="B239" s="114" t="s">
        <v>612</v>
      </c>
      <c r="C239" s="42" t="s">
        <v>613</v>
      </c>
      <c r="D239" s="45">
        <v>11</v>
      </c>
      <c r="E239" s="64">
        <v>252.5</v>
      </c>
      <c r="F239" s="201"/>
      <c r="G239" s="41"/>
      <c r="H239" s="208"/>
      <c r="I239" s="259" t="str">
        <f t="shared" si="35"/>
        <v>LONDRINA [ETAPA 04 - AREAS EXTERNAS G4 - G8]1/1900</v>
      </c>
      <c r="J239" s="53" t="str">
        <f t="shared" si="34"/>
        <v>Remanescente1/1900</v>
      </c>
      <c r="K239" s="43"/>
      <c r="L239" s="43" t="s">
        <v>539</v>
      </c>
      <c r="M239" s="316">
        <v>149790.46692607005</v>
      </c>
      <c r="N239" s="494" t="str">
        <f t="shared" si="31"/>
        <v>VGV</v>
      </c>
      <c r="O239" s="491" t="str">
        <f t="shared" si="32"/>
        <v>LONDRINA [ETAPA 04 - AREAS EXTERNAS G4 - G8]VGV</v>
      </c>
      <c r="P239" s="492" t="str">
        <f t="shared" si="33"/>
        <v>VGVRemanescenteLONDRINA [ETAPA 04 - AREAS EXTERNAS G4 - G8]</v>
      </c>
      <c r="Q239" s="485"/>
    </row>
    <row r="240" spans="1:17">
      <c r="A240" s="61" t="str">
        <f t="shared" si="30"/>
        <v>LONDRINA [ETAPA 04 - AREAS EXTERNAS G4 - G8]X12</v>
      </c>
      <c r="B240" s="114" t="s">
        <v>612</v>
      </c>
      <c r="C240" s="42" t="s">
        <v>613</v>
      </c>
      <c r="D240" s="45">
        <v>12</v>
      </c>
      <c r="E240" s="64">
        <v>252.5</v>
      </c>
      <c r="F240" s="201"/>
      <c r="G240" s="41"/>
      <c r="H240" s="208"/>
      <c r="I240" s="259" t="str">
        <f t="shared" si="35"/>
        <v>LONDRINA [ETAPA 04 - AREAS EXTERNAS G4 - G8]1/1900</v>
      </c>
      <c r="J240" s="53" t="str">
        <f t="shared" si="34"/>
        <v>Remanescente1/1900</v>
      </c>
      <c r="K240" s="43"/>
      <c r="L240" s="43" t="s">
        <v>539</v>
      </c>
      <c r="M240" s="316">
        <v>149790.46692607005</v>
      </c>
      <c r="N240" s="494" t="str">
        <f t="shared" si="31"/>
        <v>VGV</v>
      </c>
      <c r="O240" s="491" t="str">
        <f t="shared" si="32"/>
        <v>LONDRINA [ETAPA 04 - AREAS EXTERNAS G4 - G8]VGV</v>
      </c>
      <c r="P240" s="492" t="str">
        <f t="shared" si="33"/>
        <v>VGVRemanescenteLONDRINA [ETAPA 04 - AREAS EXTERNAS G4 - G8]</v>
      </c>
      <c r="Q240" s="485"/>
    </row>
    <row r="241" spans="1:17">
      <c r="A241" s="61" t="str">
        <f t="shared" si="30"/>
        <v>LONDRINA [ETAPA 04 - AREAS EXTERNAS G4 - G8]X13</v>
      </c>
      <c r="B241" s="114" t="s">
        <v>612</v>
      </c>
      <c r="C241" s="42" t="s">
        <v>613</v>
      </c>
      <c r="D241" s="45">
        <v>13</v>
      </c>
      <c r="E241" s="64">
        <v>252.5</v>
      </c>
      <c r="F241" s="201"/>
      <c r="G241" s="41"/>
      <c r="H241" s="208"/>
      <c r="I241" s="259" t="str">
        <f t="shared" si="35"/>
        <v>LONDRINA [ETAPA 04 - AREAS EXTERNAS G4 - G8]1/1900</v>
      </c>
      <c r="J241" s="53" t="str">
        <f t="shared" si="34"/>
        <v>Remanescente1/1900</v>
      </c>
      <c r="K241" s="43"/>
      <c r="L241" s="43" t="s">
        <v>539</v>
      </c>
      <c r="M241" s="316">
        <v>149790.46692607005</v>
      </c>
      <c r="N241" s="494" t="str">
        <f t="shared" si="31"/>
        <v>VGV</v>
      </c>
      <c r="O241" s="491" t="str">
        <f t="shared" si="32"/>
        <v>LONDRINA [ETAPA 04 - AREAS EXTERNAS G4 - G8]VGV</v>
      </c>
      <c r="P241" s="492" t="str">
        <f t="shared" si="33"/>
        <v>VGVRemanescenteLONDRINA [ETAPA 04 - AREAS EXTERNAS G4 - G8]</v>
      </c>
      <c r="Q241" s="485"/>
    </row>
    <row r="242" spans="1:17">
      <c r="A242" s="61" t="str">
        <f t="shared" si="30"/>
        <v>LONDRINA [ETAPA 04 - AREAS EXTERNAS G4 - G8]X14</v>
      </c>
      <c r="B242" s="114" t="s">
        <v>612</v>
      </c>
      <c r="C242" s="42" t="s">
        <v>613</v>
      </c>
      <c r="D242" s="45">
        <v>14</v>
      </c>
      <c r="E242" s="64">
        <v>252.5</v>
      </c>
      <c r="F242" s="201"/>
      <c r="G242" s="41"/>
      <c r="H242" s="208"/>
      <c r="I242" s="259" t="str">
        <f t="shared" si="35"/>
        <v>LONDRINA [ETAPA 04 - AREAS EXTERNAS G4 - G8]1/1900</v>
      </c>
      <c r="J242" s="53" t="str">
        <f t="shared" si="34"/>
        <v>Remanescente1/1900</v>
      </c>
      <c r="K242" s="43"/>
      <c r="L242" s="43" t="s">
        <v>539</v>
      </c>
      <c r="M242" s="316">
        <v>149790.46692607005</v>
      </c>
      <c r="N242" s="494" t="str">
        <f t="shared" si="31"/>
        <v>VGV</v>
      </c>
      <c r="O242" s="491" t="str">
        <f t="shared" si="32"/>
        <v>LONDRINA [ETAPA 04 - AREAS EXTERNAS G4 - G8]VGV</v>
      </c>
      <c r="P242" s="492" t="str">
        <f t="shared" si="33"/>
        <v>VGVRemanescenteLONDRINA [ETAPA 04 - AREAS EXTERNAS G4 - G8]</v>
      </c>
      <c r="Q242" s="485"/>
    </row>
    <row r="243" spans="1:17">
      <c r="A243" s="61" t="str">
        <f t="shared" si="30"/>
        <v>LONDRINA [ETAPA 04 - AREAS EXTERNAS G4 - G8]X15</v>
      </c>
      <c r="B243" s="114" t="s">
        <v>612</v>
      </c>
      <c r="C243" s="42" t="s">
        <v>613</v>
      </c>
      <c r="D243" s="45">
        <v>15</v>
      </c>
      <c r="E243" s="64">
        <v>252.5</v>
      </c>
      <c r="F243" s="201"/>
      <c r="G243" s="41"/>
      <c r="H243" s="208"/>
      <c r="I243" s="259" t="str">
        <f t="shared" si="35"/>
        <v>LONDRINA [ETAPA 04 - AREAS EXTERNAS G4 - G8]1/1900</v>
      </c>
      <c r="J243" s="53" t="str">
        <f t="shared" si="34"/>
        <v>Remanescente1/1900</v>
      </c>
      <c r="K243" s="43"/>
      <c r="L243" s="43" t="s">
        <v>539</v>
      </c>
      <c r="M243" s="316">
        <v>149790.46692607005</v>
      </c>
      <c r="N243" s="494" t="str">
        <f t="shared" si="31"/>
        <v>VGV</v>
      </c>
      <c r="O243" s="491" t="str">
        <f t="shared" si="32"/>
        <v>LONDRINA [ETAPA 04 - AREAS EXTERNAS G4 - G8]VGV</v>
      </c>
      <c r="P243" s="492" t="str">
        <f t="shared" si="33"/>
        <v>VGVRemanescenteLONDRINA [ETAPA 04 - AREAS EXTERNAS G4 - G8]</v>
      </c>
      <c r="Q243" s="485"/>
    </row>
    <row r="244" spans="1:17">
      <c r="A244" s="61" t="str">
        <f t="shared" si="30"/>
        <v>LONDRINA [ETAPA 04 - AREAS EXTERNAS G4 - G8]X16</v>
      </c>
      <c r="B244" s="114" t="s">
        <v>612</v>
      </c>
      <c r="C244" s="42" t="s">
        <v>613</v>
      </c>
      <c r="D244" s="45">
        <v>16</v>
      </c>
      <c r="E244" s="64">
        <v>252.5</v>
      </c>
      <c r="F244" s="201"/>
      <c r="G244" s="41"/>
      <c r="H244" s="208"/>
      <c r="I244" s="259" t="str">
        <f t="shared" si="35"/>
        <v>LONDRINA [ETAPA 04 - AREAS EXTERNAS G4 - G8]1/1900</v>
      </c>
      <c r="J244" s="53" t="str">
        <f t="shared" si="34"/>
        <v>Remanescente1/1900</v>
      </c>
      <c r="K244" s="43"/>
      <c r="L244" s="43" t="s">
        <v>539</v>
      </c>
      <c r="M244" s="316">
        <v>149790.46692607005</v>
      </c>
      <c r="N244" s="494" t="str">
        <f t="shared" si="31"/>
        <v>VGV</v>
      </c>
      <c r="O244" s="491" t="str">
        <f t="shared" si="32"/>
        <v>LONDRINA [ETAPA 04 - AREAS EXTERNAS G4 - G8]VGV</v>
      </c>
      <c r="P244" s="492" t="str">
        <f t="shared" si="33"/>
        <v>VGVRemanescenteLONDRINA [ETAPA 04 - AREAS EXTERNAS G4 - G8]</v>
      </c>
      <c r="Q244" s="485"/>
    </row>
    <row r="245" spans="1:17">
      <c r="A245" s="61" t="str">
        <f t="shared" si="30"/>
        <v>LONDRINA [ETAPA 04 - AREAS EXTERNAS G4 - G8]X17</v>
      </c>
      <c r="B245" s="114" t="s">
        <v>612</v>
      </c>
      <c r="C245" s="42" t="s">
        <v>613</v>
      </c>
      <c r="D245" s="45">
        <v>17</v>
      </c>
      <c r="E245" s="64">
        <v>252.5</v>
      </c>
      <c r="F245" s="201"/>
      <c r="G245" s="41"/>
      <c r="H245" s="208"/>
      <c r="I245" s="259" t="str">
        <f t="shared" si="35"/>
        <v>LONDRINA [ETAPA 04 - AREAS EXTERNAS G4 - G8]1/1900</v>
      </c>
      <c r="J245" s="53" t="str">
        <f t="shared" si="34"/>
        <v>Remanescente1/1900</v>
      </c>
      <c r="K245" s="43"/>
      <c r="L245" s="43" t="s">
        <v>539</v>
      </c>
      <c r="M245" s="316">
        <v>149790.46692607005</v>
      </c>
      <c r="N245" s="494" t="str">
        <f t="shared" si="31"/>
        <v>VGV</v>
      </c>
      <c r="O245" s="491" t="str">
        <f t="shared" si="32"/>
        <v>LONDRINA [ETAPA 04 - AREAS EXTERNAS G4 - G8]VGV</v>
      </c>
      <c r="P245" s="492" t="str">
        <f t="shared" si="33"/>
        <v>VGVRemanescenteLONDRINA [ETAPA 04 - AREAS EXTERNAS G4 - G8]</v>
      </c>
      <c r="Q245" s="485"/>
    </row>
    <row r="246" spans="1:17">
      <c r="A246" s="61" t="str">
        <f t="shared" si="30"/>
        <v>LONDRINA [ETAPA 04 - AREAS EXTERNAS G4 - G8]X18</v>
      </c>
      <c r="B246" s="114" t="s">
        <v>612</v>
      </c>
      <c r="C246" s="42" t="s">
        <v>613</v>
      </c>
      <c r="D246" s="45">
        <v>18</v>
      </c>
      <c r="E246" s="64">
        <v>252.5</v>
      </c>
      <c r="F246" s="201"/>
      <c r="G246" s="41"/>
      <c r="H246" s="208"/>
      <c r="I246" s="259" t="str">
        <f t="shared" si="35"/>
        <v>LONDRINA [ETAPA 04 - AREAS EXTERNAS G4 - G8]1/1900</v>
      </c>
      <c r="J246" s="53" t="str">
        <f t="shared" si="34"/>
        <v>Remanescente1/1900</v>
      </c>
      <c r="K246" s="43"/>
      <c r="L246" s="43" t="s">
        <v>539</v>
      </c>
      <c r="M246" s="316">
        <v>149790.46692607005</v>
      </c>
      <c r="N246" s="494" t="str">
        <f t="shared" si="31"/>
        <v>VGV</v>
      </c>
      <c r="O246" s="491" t="str">
        <f t="shared" si="32"/>
        <v>LONDRINA [ETAPA 04 - AREAS EXTERNAS G4 - G8]VGV</v>
      </c>
      <c r="P246" s="492" t="str">
        <f t="shared" si="33"/>
        <v>VGVRemanescenteLONDRINA [ETAPA 04 - AREAS EXTERNAS G4 - G8]</v>
      </c>
      <c r="Q246" s="485"/>
    </row>
    <row r="247" spans="1:17">
      <c r="A247" s="61" t="str">
        <f t="shared" si="30"/>
        <v>LONDRINA [ETAPA 04 - AREAS EXTERNAS G4 - G8]X19</v>
      </c>
      <c r="B247" s="114" t="s">
        <v>612</v>
      </c>
      <c r="C247" s="42" t="s">
        <v>613</v>
      </c>
      <c r="D247" s="45">
        <v>19</v>
      </c>
      <c r="E247" s="64">
        <v>252.5</v>
      </c>
      <c r="F247" s="201"/>
      <c r="G247" s="41"/>
      <c r="H247" s="208"/>
      <c r="I247" s="259" t="str">
        <f t="shared" si="35"/>
        <v>LONDRINA [ETAPA 04 - AREAS EXTERNAS G4 - G8]1/1900</v>
      </c>
      <c r="J247" s="53" t="str">
        <f t="shared" si="34"/>
        <v>Remanescente1/1900</v>
      </c>
      <c r="K247" s="43"/>
      <c r="L247" s="43" t="s">
        <v>539</v>
      </c>
      <c r="M247" s="316">
        <v>149790.46692607005</v>
      </c>
      <c r="N247" s="494" t="str">
        <f t="shared" si="31"/>
        <v>VGV</v>
      </c>
      <c r="O247" s="491" t="str">
        <f t="shared" si="32"/>
        <v>LONDRINA [ETAPA 04 - AREAS EXTERNAS G4 - G8]VGV</v>
      </c>
      <c r="P247" s="492" t="str">
        <f t="shared" si="33"/>
        <v>VGVRemanescenteLONDRINA [ETAPA 04 - AREAS EXTERNAS G4 - G8]</v>
      </c>
      <c r="Q247" s="485"/>
    </row>
    <row r="248" spans="1:17">
      <c r="A248" s="61" t="str">
        <f t="shared" si="30"/>
        <v>LONDRINA [ETAPA 04 - AREAS EXTERNAS G4 - G8]X20</v>
      </c>
      <c r="B248" s="114" t="s">
        <v>612</v>
      </c>
      <c r="C248" s="42" t="s">
        <v>613</v>
      </c>
      <c r="D248" s="45">
        <v>20</v>
      </c>
      <c r="E248" s="64">
        <v>252.5</v>
      </c>
      <c r="F248" s="201"/>
      <c r="G248" s="41"/>
      <c r="H248" s="208"/>
      <c r="I248" s="259" t="str">
        <f t="shared" si="35"/>
        <v>LONDRINA [ETAPA 04 - AREAS EXTERNAS G4 - G8]1/1900</v>
      </c>
      <c r="J248" s="53" t="str">
        <f t="shared" si="34"/>
        <v>Remanescente1/1900</v>
      </c>
      <c r="K248" s="43"/>
      <c r="L248" s="43" t="s">
        <v>539</v>
      </c>
      <c r="M248" s="316">
        <v>149790.46692607005</v>
      </c>
      <c r="N248" s="494" t="str">
        <f t="shared" si="31"/>
        <v>VGV</v>
      </c>
      <c r="O248" s="491" t="str">
        <f t="shared" si="32"/>
        <v>LONDRINA [ETAPA 04 - AREAS EXTERNAS G4 - G8]VGV</v>
      </c>
      <c r="P248" s="492" t="str">
        <f t="shared" si="33"/>
        <v>VGVRemanescenteLONDRINA [ETAPA 04 - AREAS EXTERNAS G4 - G8]</v>
      </c>
      <c r="Q248" s="485"/>
    </row>
    <row r="249" spans="1:17">
      <c r="A249" s="61" t="str">
        <f t="shared" si="30"/>
        <v>LONDRINA [ETAPA 04 - AREAS EXTERNAS G4 - G8]X21</v>
      </c>
      <c r="B249" s="114" t="s">
        <v>612</v>
      </c>
      <c r="C249" s="42" t="s">
        <v>613</v>
      </c>
      <c r="D249" s="45">
        <v>21</v>
      </c>
      <c r="E249" s="64">
        <v>252.5</v>
      </c>
      <c r="F249" s="201"/>
      <c r="G249" s="41"/>
      <c r="H249" s="208"/>
      <c r="I249" s="259" t="str">
        <f t="shared" si="35"/>
        <v>LONDRINA [ETAPA 04 - AREAS EXTERNAS G4 - G8]1/1900</v>
      </c>
      <c r="J249" s="53" t="str">
        <f t="shared" si="34"/>
        <v>Remanescente1/1900</v>
      </c>
      <c r="K249" s="43"/>
      <c r="L249" s="43" t="s">
        <v>539</v>
      </c>
      <c r="M249" s="316">
        <v>149790.46692607005</v>
      </c>
      <c r="N249" s="494" t="str">
        <f t="shared" si="31"/>
        <v>VGV</v>
      </c>
      <c r="O249" s="491" t="str">
        <f t="shared" si="32"/>
        <v>LONDRINA [ETAPA 04 - AREAS EXTERNAS G4 - G8]VGV</v>
      </c>
      <c r="P249" s="492" t="str">
        <f t="shared" si="33"/>
        <v>VGVRemanescenteLONDRINA [ETAPA 04 - AREAS EXTERNAS G4 - G8]</v>
      </c>
      <c r="Q249" s="485"/>
    </row>
    <row r="250" spans="1:17">
      <c r="A250" s="61" t="str">
        <f t="shared" si="30"/>
        <v>LONDRINA [ETAPA 04 - AREAS EXTERNAS G4 - G8]X22</v>
      </c>
      <c r="B250" s="114" t="s">
        <v>612</v>
      </c>
      <c r="C250" s="42" t="s">
        <v>613</v>
      </c>
      <c r="D250" s="45">
        <v>22</v>
      </c>
      <c r="E250" s="64">
        <v>252.5</v>
      </c>
      <c r="F250" s="201"/>
      <c r="G250" s="41"/>
      <c r="H250" s="208"/>
      <c r="I250" s="259" t="str">
        <f t="shared" si="35"/>
        <v>LONDRINA [ETAPA 04 - AREAS EXTERNAS G4 - G8]1/1900</v>
      </c>
      <c r="J250" s="53" t="str">
        <f t="shared" si="34"/>
        <v>Remanescente1/1900</v>
      </c>
      <c r="K250" s="43"/>
      <c r="L250" s="43" t="s">
        <v>539</v>
      </c>
      <c r="M250" s="316">
        <v>149790.46692607005</v>
      </c>
      <c r="N250" s="494" t="str">
        <f t="shared" si="31"/>
        <v>VGV</v>
      </c>
      <c r="O250" s="491" t="str">
        <f t="shared" si="32"/>
        <v>LONDRINA [ETAPA 04 - AREAS EXTERNAS G4 - G8]VGV</v>
      </c>
      <c r="P250" s="492" t="str">
        <f t="shared" si="33"/>
        <v>VGVRemanescenteLONDRINA [ETAPA 04 - AREAS EXTERNAS G4 - G8]</v>
      </c>
      <c r="Q250" s="485"/>
    </row>
    <row r="251" spans="1:17">
      <c r="A251" s="61" t="str">
        <f t="shared" si="30"/>
        <v>LONDRINA [ETAPA 04 - AREAS EXTERNAS G4 - G8]X23</v>
      </c>
      <c r="B251" s="114" t="s">
        <v>612</v>
      </c>
      <c r="C251" s="42" t="s">
        <v>613</v>
      </c>
      <c r="D251" s="45">
        <v>23</v>
      </c>
      <c r="E251" s="64">
        <v>252.5</v>
      </c>
      <c r="F251" s="201">
        <v>5121</v>
      </c>
      <c r="G251" s="41" t="s">
        <v>1501</v>
      </c>
      <c r="H251" s="208">
        <v>44271</v>
      </c>
      <c r="I251" s="259" t="str">
        <f t="shared" si="35"/>
        <v>LONDRINA [ETAPA 04 - AREAS EXTERNAS G4 - G8]3/2021</v>
      </c>
      <c r="J251" s="53" t="str">
        <f t="shared" si="34"/>
        <v>Remanescente3/2021</v>
      </c>
      <c r="K251" s="43">
        <v>143726</v>
      </c>
      <c r="L251" s="43" t="s">
        <v>539</v>
      </c>
      <c r="M251" s="316">
        <v>0</v>
      </c>
      <c r="N251" s="494" t="str">
        <f t="shared" si="31"/>
        <v>VENDA</v>
      </c>
      <c r="O251" s="491" t="str">
        <f t="shared" si="32"/>
        <v>LONDRINA [ETAPA 04 - AREAS EXTERNAS G4 - G8]VENDA</v>
      </c>
      <c r="P251" s="492" t="str">
        <f t="shared" si="33"/>
        <v>VENDARemanescenteLONDRINA [ETAPA 04 - AREAS EXTERNAS G4 - G8]</v>
      </c>
      <c r="Q251" s="485"/>
    </row>
    <row r="252" spans="1:17">
      <c r="A252" s="61" t="str">
        <f t="shared" si="30"/>
        <v>LONDRINA [ETAPA 04 - AREAS EXTERNAS G4 - G8]X24</v>
      </c>
      <c r="B252" s="114" t="s">
        <v>612</v>
      </c>
      <c r="C252" s="42" t="s">
        <v>613</v>
      </c>
      <c r="D252" s="45">
        <v>24</v>
      </c>
      <c r="E252" s="64">
        <v>252.5</v>
      </c>
      <c r="F252" s="201">
        <v>5126</v>
      </c>
      <c r="G252" s="41" t="s">
        <v>1488</v>
      </c>
      <c r="H252" s="208">
        <v>44280</v>
      </c>
      <c r="I252" s="259" t="str">
        <f t="shared" si="35"/>
        <v>LONDRINA [ETAPA 04 - AREAS EXTERNAS G4 - G8]3/2021</v>
      </c>
      <c r="J252" s="53" t="str">
        <f t="shared" si="34"/>
        <v>Remanescente3/2021</v>
      </c>
      <c r="K252" s="43">
        <v>143312.4</v>
      </c>
      <c r="L252" s="43" t="s">
        <v>539</v>
      </c>
      <c r="M252" s="316">
        <v>0</v>
      </c>
      <c r="N252" s="494" t="str">
        <f t="shared" si="31"/>
        <v>VENDA</v>
      </c>
      <c r="O252" s="491" t="str">
        <f t="shared" si="32"/>
        <v>LONDRINA [ETAPA 04 - AREAS EXTERNAS G4 - G8]VENDA</v>
      </c>
      <c r="P252" s="492" t="str">
        <f t="shared" si="33"/>
        <v>VENDARemanescenteLONDRINA [ETAPA 04 - AREAS EXTERNAS G4 - G8]</v>
      </c>
      <c r="Q252" s="485"/>
    </row>
    <row r="253" spans="1:17">
      <c r="A253" s="61" t="str">
        <f t="shared" si="30"/>
        <v>LONDRINA [ETAPA 04 - AREAS EXTERNAS G4 - G8]X25</v>
      </c>
      <c r="B253" s="114" t="s">
        <v>612</v>
      </c>
      <c r="C253" s="42" t="s">
        <v>613</v>
      </c>
      <c r="D253" s="45">
        <v>25</v>
      </c>
      <c r="E253" s="64">
        <v>252.5</v>
      </c>
      <c r="F253" s="201">
        <v>5127</v>
      </c>
      <c r="G253" s="41" t="s">
        <v>1488</v>
      </c>
      <c r="H253" s="208">
        <v>44280</v>
      </c>
      <c r="I253" s="259" t="str">
        <f t="shared" si="35"/>
        <v>LONDRINA [ETAPA 04 - AREAS EXTERNAS G4 - G8]3/2021</v>
      </c>
      <c r="J253" s="53" t="str">
        <f t="shared" si="34"/>
        <v>Remanescente3/2021</v>
      </c>
      <c r="K253" s="43">
        <v>143312.4</v>
      </c>
      <c r="L253" s="43" t="s">
        <v>539</v>
      </c>
      <c r="M253" s="316">
        <v>0</v>
      </c>
      <c r="N253" s="494" t="str">
        <f t="shared" si="31"/>
        <v>VENDA</v>
      </c>
      <c r="O253" s="491" t="str">
        <f t="shared" si="32"/>
        <v>LONDRINA [ETAPA 04 - AREAS EXTERNAS G4 - G8]VENDA</v>
      </c>
      <c r="P253" s="492" t="str">
        <f t="shared" si="33"/>
        <v>VENDARemanescenteLONDRINA [ETAPA 04 - AREAS EXTERNAS G4 - G8]</v>
      </c>
      <c r="Q253" s="485"/>
    </row>
    <row r="254" spans="1:17">
      <c r="A254" s="61" t="str">
        <f t="shared" si="30"/>
        <v>LONDRINA [ETAPA 04 - AREAS EXTERNAS G4 - G8]X26</v>
      </c>
      <c r="B254" s="114" t="s">
        <v>612</v>
      </c>
      <c r="C254" s="42" t="s">
        <v>613</v>
      </c>
      <c r="D254" s="45">
        <v>26</v>
      </c>
      <c r="E254" s="64">
        <v>252.5</v>
      </c>
      <c r="F254" s="201">
        <v>5128</v>
      </c>
      <c r="G254" s="41" t="s">
        <v>1488</v>
      </c>
      <c r="H254" s="208">
        <v>44280</v>
      </c>
      <c r="I254" s="259" t="str">
        <f t="shared" si="35"/>
        <v>LONDRINA [ETAPA 04 - AREAS EXTERNAS G4 - G8]3/2021</v>
      </c>
      <c r="J254" s="53" t="str">
        <f t="shared" si="34"/>
        <v>Remanescente3/2021</v>
      </c>
      <c r="K254" s="43">
        <v>143312.4</v>
      </c>
      <c r="L254" s="43" t="s">
        <v>539</v>
      </c>
      <c r="M254" s="316">
        <v>0</v>
      </c>
      <c r="N254" s="494" t="str">
        <f t="shared" si="31"/>
        <v>VENDA</v>
      </c>
      <c r="O254" s="491" t="str">
        <f t="shared" si="32"/>
        <v>LONDRINA [ETAPA 04 - AREAS EXTERNAS G4 - G8]VENDA</v>
      </c>
      <c r="P254" s="492" t="str">
        <f t="shared" si="33"/>
        <v>VENDARemanescenteLONDRINA [ETAPA 04 - AREAS EXTERNAS G4 - G8]</v>
      </c>
      <c r="Q254" s="485"/>
    </row>
    <row r="255" spans="1:17">
      <c r="A255" s="61" t="str">
        <f t="shared" si="30"/>
        <v>LONDRINA [ETAPA 04 - AREAS EXTERNAS G4 - G8]X27</v>
      </c>
      <c r="B255" s="114" t="s">
        <v>612</v>
      </c>
      <c r="C255" s="42" t="s">
        <v>613</v>
      </c>
      <c r="D255" s="45">
        <v>27</v>
      </c>
      <c r="E255" s="64">
        <v>252.5</v>
      </c>
      <c r="F255" s="243">
        <v>3136</v>
      </c>
      <c r="G255" s="41" t="s">
        <v>1073</v>
      </c>
      <c r="H255" s="208">
        <v>43762</v>
      </c>
      <c r="I255" s="259" t="str">
        <f t="shared" si="35"/>
        <v>LONDRINA [ETAPA 04 - AREAS EXTERNAS G4 - G8]10/2019</v>
      </c>
      <c r="J255" s="53" t="str">
        <f t="shared" si="34"/>
        <v>Remanescente10/2019</v>
      </c>
      <c r="K255" s="43">
        <v>105280</v>
      </c>
      <c r="L255" s="43" t="s">
        <v>539</v>
      </c>
      <c r="M255" s="190">
        <v>0</v>
      </c>
      <c r="N255" s="494" t="str">
        <f t="shared" si="31"/>
        <v>VENDA</v>
      </c>
      <c r="O255" s="491" t="str">
        <f t="shared" si="32"/>
        <v>LONDRINA [ETAPA 04 - AREAS EXTERNAS G4 - G8]VENDA</v>
      </c>
      <c r="P255" s="492" t="str">
        <f t="shared" si="33"/>
        <v>VENDARemanescenteLONDRINA [ETAPA 04 - AREAS EXTERNAS G4 - G8]</v>
      </c>
      <c r="Q255" s="485"/>
    </row>
    <row r="256" spans="1:17">
      <c r="A256" s="61" t="str">
        <f t="shared" si="30"/>
        <v>LONDRINA [ETAPA 04 - AREAS EXTERNAS G4 - G8]X28</v>
      </c>
      <c r="B256" s="114" t="s">
        <v>612</v>
      </c>
      <c r="C256" s="42" t="s">
        <v>613</v>
      </c>
      <c r="D256" s="45">
        <v>28</v>
      </c>
      <c r="E256" s="64">
        <v>439.76</v>
      </c>
      <c r="F256" s="243">
        <v>3137</v>
      </c>
      <c r="G256" s="41" t="s">
        <v>1073</v>
      </c>
      <c r="H256" s="208">
        <v>43762</v>
      </c>
      <c r="I256" s="259" t="str">
        <f t="shared" si="35"/>
        <v>LONDRINA [ETAPA 04 - AREAS EXTERNAS G4 - G8]10/2019</v>
      </c>
      <c r="J256" s="53" t="str">
        <f t="shared" si="34"/>
        <v>Remanescente10/2019</v>
      </c>
      <c r="K256" s="43">
        <v>164500</v>
      </c>
      <c r="L256" s="43" t="s">
        <v>539</v>
      </c>
      <c r="M256" s="190">
        <v>0</v>
      </c>
      <c r="N256" s="494" t="str">
        <f t="shared" si="31"/>
        <v>VENDA</v>
      </c>
      <c r="O256" s="491" t="str">
        <f t="shared" si="32"/>
        <v>LONDRINA [ETAPA 04 - AREAS EXTERNAS G4 - G8]VENDA</v>
      </c>
      <c r="P256" s="492" t="str">
        <f t="shared" si="33"/>
        <v>VENDARemanescenteLONDRINA [ETAPA 04 - AREAS EXTERNAS G4 - G8]</v>
      </c>
      <c r="Q256" s="485"/>
    </row>
    <row r="257" spans="1:17">
      <c r="A257" s="61" t="str">
        <f t="shared" si="30"/>
        <v>LONDRINA [ETAPA 04 - AREAS EXTERNAS G4 - G8]XIV1</v>
      </c>
      <c r="B257" s="114" t="s">
        <v>612</v>
      </c>
      <c r="C257" s="42" t="s">
        <v>614</v>
      </c>
      <c r="D257" s="45">
        <v>1</v>
      </c>
      <c r="E257" s="64">
        <v>279.54000000000002</v>
      </c>
      <c r="F257" s="201"/>
      <c r="G257" s="41" t="s">
        <v>951</v>
      </c>
      <c r="H257" s="208">
        <v>43565</v>
      </c>
      <c r="I257" s="259" t="str">
        <f t="shared" si="35"/>
        <v>LONDRINA [ETAPA 04 - AREAS EXTERNAS G4 - G8]4/2019</v>
      </c>
      <c r="J257" s="53" t="str">
        <f t="shared" si="34"/>
        <v>Remanescente4/2019</v>
      </c>
      <c r="K257" s="43">
        <v>135325.01</v>
      </c>
      <c r="L257" s="43" t="s">
        <v>539</v>
      </c>
      <c r="M257" s="190">
        <v>0</v>
      </c>
      <c r="N257" s="494" t="str">
        <f t="shared" si="31"/>
        <v>VENDA</v>
      </c>
      <c r="O257" s="491" t="str">
        <f t="shared" si="32"/>
        <v>LONDRINA [ETAPA 04 - AREAS EXTERNAS G4 - G8]VENDA</v>
      </c>
      <c r="P257" s="492" t="str">
        <f t="shared" si="33"/>
        <v>VENDARemanescenteLONDRINA [ETAPA 04 - AREAS EXTERNAS G4 - G8]</v>
      </c>
      <c r="Q257" s="485"/>
    </row>
    <row r="258" spans="1:17">
      <c r="A258" s="61" t="str">
        <f t="shared" si="30"/>
        <v>LONDRINA [ETAPA 04 - AREAS EXTERNAS G4 - G8]XIV2</v>
      </c>
      <c r="B258" s="114" t="s">
        <v>612</v>
      </c>
      <c r="C258" s="42" t="s">
        <v>614</v>
      </c>
      <c r="D258" s="45">
        <v>2</v>
      </c>
      <c r="E258" s="64">
        <v>257</v>
      </c>
      <c r="F258" s="243">
        <v>7250</v>
      </c>
      <c r="G258" s="41" t="s">
        <v>975</v>
      </c>
      <c r="H258" s="208">
        <v>43609</v>
      </c>
      <c r="I258" s="259" t="str">
        <f t="shared" si="35"/>
        <v>LONDRINA [ETAPA 04 - AREAS EXTERNAS G4 - G8]5/2019</v>
      </c>
      <c r="J258" s="53" t="str">
        <f t="shared" si="34"/>
        <v>Remanescente5/2019</v>
      </c>
      <c r="K258" s="43">
        <v>112800</v>
      </c>
      <c r="L258" s="43" t="s">
        <v>539</v>
      </c>
      <c r="M258" s="190">
        <v>0</v>
      </c>
      <c r="N258" s="494" t="str">
        <f t="shared" si="31"/>
        <v>VENDA</v>
      </c>
      <c r="O258" s="491" t="str">
        <f t="shared" si="32"/>
        <v>LONDRINA [ETAPA 04 - AREAS EXTERNAS G4 - G8]VENDA</v>
      </c>
      <c r="P258" s="492" t="str">
        <f t="shared" si="33"/>
        <v>VENDARemanescenteLONDRINA [ETAPA 04 - AREAS EXTERNAS G4 - G8]</v>
      </c>
      <c r="Q258" s="485"/>
    </row>
    <row r="259" spans="1:17">
      <c r="A259" s="61" t="str">
        <f t="shared" si="30"/>
        <v>LONDRINA [ETAPA 04 - AREAS EXTERNAS G4 - G8]XIV3</v>
      </c>
      <c r="B259" s="114" t="s">
        <v>612</v>
      </c>
      <c r="C259" s="42" t="s">
        <v>614</v>
      </c>
      <c r="D259" s="45">
        <v>3</v>
      </c>
      <c r="E259" s="64">
        <v>257</v>
      </c>
      <c r="F259" s="201"/>
      <c r="G259" s="41" t="s">
        <v>901</v>
      </c>
      <c r="H259" s="208">
        <v>43487</v>
      </c>
      <c r="I259" s="259" t="str">
        <f t="shared" si="35"/>
        <v>LONDRINA [ETAPA 04 - AREAS EXTERNAS G4 - G8]1/2019</v>
      </c>
      <c r="J259" s="53" t="str">
        <f t="shared" si="34"/>
        <v>Remanescente1/2019</v>
      </c>
      <c r="K259" s="43">
        <v>120790</v>
      </c>
      <c r="L259" s="43" t="s">
        <v>539</v>
      </c>
      <c r="M259" s="43">
        <v>0</v>
      </c>
      <c r="N259" s="494" t="str">
        <f t="shared" si="31"/>
        <v>VENDA</v>
      </c>
      <c r="O259" s="491" t="str">
        <f t="shared" si="32"/>
        <v>LONDRINA [ETAPA 04 - AREAS EXTERNAS G4 - G8]VENDA</v>
      </c>
      <c r="P259" s="492" t="str">
        <f t="shared" si="33"/>
        <v>VENDARemanescenteLONDRINA [ETAPA 04 - AREAS EXTERNAS G4 - G8]</v>
      </c>
      <c r="Q259" s="485"/>
    </row>
    <row r="260" spans="1:17">
      <c r="A260" s="61" t="str">
        <f t="shared" si="30"/>
        <v>LONDRINA [ETAPA 04 - AREAS EXTERNAS G4 - G8]XIV4</v>
      </c>
      <c r="B260" s="114" t="s">
        <v>612</v>
      </c>
      <c r="C260" s="42" t="s">
        <v>614</v>
      </c>
      <c r="D260" s="45">
        <v>4</v>
      </c>
      <c r="E260" s="64">
        <v>257</v>
      </c>
      <c r="F260" s="201"/>
      <c r="G260" s="41" t="s">
        <v>901</v>
      </c>
      <c r="H260" s="208">
        <v>43483</v>
      </c>
      <c r="I260" s="259" t="str">
        <f t="shared" si="35"/>
        <v>LONDRINA [ETAPA 04 - AREAS EXTERNAS G4 - G8]1/2019</v>
      </c>
      <c r="J260" s="53" t="str">
        <f t="shared" si="34"/>
        <v>Remanescente1/2019</v>
      </c>
      <c r="K260" s="43">
        <v>120790</v>
      </c>
      <c r="L260" s="43" t="s">
        <v>539</v>
      </c>
      <c r="M260" s="43">
        <v>0</v>
      </c>
      <c r="N260" s="494" t="str">
        <f t="shared" si="31"/>
        <v>VENDA</v>
      </c>
      <c r="O260" s="491" t="str">
        <f t="shared" si="32"/>
        <v>LONDRINA [ETAPA 04 - AREAS EXTERNAS G4 - G8]VENDA</v>
      </c>
      <c r="P260" s="492" t="str">
        <f t="shared" si="33"/>
        <v>VENDARemanescenteLONDRINA [ETAPA 04 - AREAS EXTERNAS G4 - G8]</v>
      </c>
      <c r="Q260" s="485"/>
    </row>
    <row r="261" spans="1:17">
      <c r="A261" s="61" t="str">
        <f t="shared" ref="A261:A324" si="36">CONCATENATE(B261,C261,D261)</f>
        <v>LONDRINA [ETAPA 04 - AREAS EXTERNAS G4 - G8]XIV5</v>
      </c>
      <c r="B261" s="114" t="s">
        <v>612</v>
      </c>
      <c r="C261" s="42" t="s">
        <v>614</v>
      </c>
      <c r="D261" s="45">
        <v>5</v>
      </c>
      <c r="E261" s="64">
        <v>257</v>
      </c>
      <c r="F261" s="243">
        <v>7017</v>
      </c>
      <c r="G261" s="41" t="s">
        <v>940</v>
      </c>
      <c r="H261" s="208">
        <v>43525</v>
      </c>
      <c r="I261" s="259" t="str">
        <f t="shared" si="35"/>
        <v>LONDRINA [ETAPA 04 - AREAS EXTERNAS G4 - G8]3/2019</v>
      </c>
      <c r="J261" s="53" t="str">
        <f t="shared" si="34"/>
        <v>Remanescente3/2019</v>
      </c>
      <c r="K261" s="43">
        <v>124413.42</v>
      </c>
      <c r="L261" s="43" t="s">
        <v>539</v>
      </c>
      <c r="M261" s="190">
        <v>0</v>
      </c>
      <c r="N261" s="494" t="str">
        <f t="shared" ref="N261:N324" si="37">IF(M261&gt;0,"VGV","VENDA")</f>
        <v>VENDA</v>
      </c>
      <c r="O261" s="491" t="str">
        <f t="shared" si="32"/>
        <v>LONDRINA [ETAPA 04 - AREAS EXTERNAS G4 - G8]VENDA</v>
      </c>
      <c r="P261" s="492" t="str">
        <f t="shared" si="33"/>
        <v>VENDARemanescenteLONDRINA [ETAPA 04 - AREAS EXTERNAS G4 - G8]</v>
      </c>
      <c r="Q261" s="485"/>
    </row>
    <row r="262" spans="1:17">
      <c r="A262" s="61" t="str">
        <f t="shared" si="36"/>
        <v>LONDRINA [ETAPA 04 - AREAS EXTERNAS G4 - G8]XIV6</v>
      </c>
      <c r="B262" s="114" t="s">
        <v>612</v>
      </c>
      <c r="C262" s="42" t="s">
        <v>614</v>
      </c>
      <c r="D262" s="45">
        <v>6</v>
      </c>
      <c r="E262" s="64">
        <v>257</v>
      </c>
      <c r="F262" s="201">
        <v>5116</v>
      </c>
      <c r="G262" s="41" t="s">
        <v>1502</v>
      </c>
      <c r="H262" s="208">
        <v>44256</v>
      </c>
      <c r="I262" s="259" t="str">
        <f t="shared" si="35"/>
        <v>LONDRINA [ETAPA 04 - AREAS EXTERNAS G4 - G8]3/2021</v>
      </c>
      <c r="J262" s="53" t="str">
        <f t="shared" si="34"/>
        <v>Remanescente3/2021</v>
      </c>
      <c r="K262" s="43">
        <v>131599.9</v>
      </c>
      <c r="L262" s="43" t="s">
        <v>539</v>
      </c>
      <c r="M262" s="316">
        <v>0</v>
      </c>
      <c r="N262" s="494" t="str">
        <f t="shared" si="37"/>
        <v>VENDA</v>
      </c>
      <c r="O262" s="491" t="str">
        <f t="shared" ref="O262:O325" si="38">CONCATENATE(B262,N262)</f>
        <v>LONDRINA [ETAPA 04 - AREAS EXTERNAS G4 - G8]VENDA</v>
      </c>
      <c r="P262" s="492" t="str">
        <f t="shared" ref="P262:P325" si="39">CONCATENATE(N262,L262,B262)</f>
        <v>VENDARemanescenteLONDRINA [ETAPA 04 - AREAS EXTERNAS G4 - G8]</v>
      </c>
      <c r="Q262" s="485"/>
    </row>
    <row r="263" spans="1:17">
      <c r="A263" s="61" t="str">
        <f t="shared" si="36"/>
        <v>LONDRINA [ETAPA 04 - AREAS EXTERNAS G4 - G8]XIV7</v>
      </c>
      <c r="B263" s="114" t="s">
        <v>612</v>
      </c>
      <c r="C263" s="42" t="s">
        <v>614</v>
      </c>
      <c r="D263" s="45">
        <v>7</v>
      </c>
      <c r="E263" s="64">
        <v>257</v>
      </c>
      <c r="F263" s="201">
        <v>5118</v>
      </c>
      <c r="G263" s="41" t="s">
        <v>1502</v>
      </c>
      <c r="H263" s="208">
        <v>44256</v>
      </c>
      <c r="I263" s="259" t="str">
        <f t="shared" si="35"/>
        <v>LONDRINA [ETAPA 04 - AREAS EXTERNAS G4 - G8]3/2021</v>
      </c>
      <c r="J263" s="53" t="str">
        <f t="shared" ref="J263:J326" si="40">CONCATENATE(L263,MONTH(H263),"/",YEAR(H263))</f>
        <v>Remanescente3/2021</v>
      </c>
      <c r="K263" s="43">
        <v>131599.9</v>
      </c>
      <c r="L263" s="43" t="s">
        <v>539</v>
      </c>
      <c r="M263" s="316">
        <v>0</v>
      </c>
      <c r="N263" s="494" t="str">
        <f t="shared" si="37"/>
        <v>VENDA</v>
      </c>
      <c r="O263" s="491" t="str">
        <f t="shared" si="38"/>
        <v>LONDRINA [ETAPA 04 - AREAS EXTERNAS G4 - G8]VENDA</v>
      </c>
      <c r="P263" s="492" t="str">
        <f t="shared" si="39"/>
        <v>VENDARemanescenteLONDRINA [ETAPA 04 - AREAS EXTERNAS G4 - G8]</v>
      </c>
      <c r="Q263" s="485"/>
    </row>
    <row r="264" spans="1:17">
      <c r="A264" s="61" t="str">
        <f t="shared" si="36"/>
        <v>LONDRINA [ETAPA 04 - AREAS EXTERNAS G4 - G8]XIV8</v>
      </c>
      <c r="B264" s="114" t="s">
        <v>612</v>
      </c>
      <c r="C264" s="42" t="s">
        <v>614</v>
      </c>
      <c r="D264" s="45">
        <v>8</v>
      </c>
      <c r="E264" s="64">
        <v>257</v>
      </c>
      <c r="F264" s="201"/>
      <c r="G264" s="41"/>
      <c r="H264" s="208"/>
      <c r="I264" s="259" t="str">
        <f t="shared" ref="I264:I327" si="41">CONCATENATE(B264,MONTH(H264),"/",YEAR(H264))</f>
        <v>LONDRINA [ETAPA 04 - AREAS EXTERNAS G4 - G8]1/1900</v>
      </c>
      <c r="J264" s="53" t="str">
        <f t="shared" si="40"/>
        <v>Remanescente1/1900</v>
      </c>
      <c r="K264" s="43"/>
      <c r="L264" s="43" t="s">
        <v>539</v>
      </c>
      <c r="M264" s="316">
        <v>152460</v>
      </c>
      <c r="N264" s="494" t="str">
        <f t="shared" si="37"/>
        <v>VGV</v>
      </c>
      <c r="O264" s="491" t="str">
        <f t="shared" si="38"/>
        <v>LONDRINA [ETAPA 04 - AREAS EXTERNAS G4 - G8]VGV</v>
      </c>
      <c r="P264" s="492" t="str">
        <f t="shared" si="39"/>
        <v>VGVRemanescenteLONDRINA [ETAPA 04 - AREAS EXTERNAS G4 - G8]</v>
      </c>
      <c r="Q264" s="485"/>
    </row>
    <row r="265" spans="1:17">
      <c r="A265" s="61" t="str">
        <f t="shared" si="36"/>
        <v>LONDRINA [ETAPA 04 - AREAS EXTERNAS G4 - G8]XIV9</v>
      </c>
      <c r="B265" s="114" t="s">
        <v>612</v>
      </c>
      <c r="C265" s="42" t="s">
        <v>614</v>
      </c>
      <c r="D265" s="45">
        <v>9</v>
      </c>
      <c r="E265" s="64">
        <v>257</v>
      </c>
      <c r="F265" s="201">
        <v>5108</v>
      </c>
      <c r="G265" s="41" t="s">
        <v>1503</v>
      </c>
      <c r="H265" s="208">
        <v>44258</v>
      </c>
      <c r="I265" s="259" t="str">
        <f t="shared" si="41"/>
        <v>LONDRINA [ETAPA 04 - AREAS EXTERNAS G4 - G8]3/2021</v>
      </c>
      <c r="J265" s="53" t="str">
        <f t="shared" si="40"/>
        <v>Remanescente3/2021</v>
      </c>
      <c r="K265" s="43">
        <v>143312.4</v>
      </c>
      <c r="L265" s="43" t="s">
        <v>539</v>
      </c>
      <c r="M265" s="316">
        <v>0</v>
      </c>
      <c r="N265" s="494" t="str">
        <f t="shared" si="37"/>
        <v>VENDA</v>
      </c>
      <c r="O265" s="491" t="str">
        <f t="shared" si="38"/>
        <v>LONDRINA [ETAPA 04 - AREAS EXTERNAS G4 - G8]VENDA</v>
      </c>
      <c r="P265" s="492" t="str">
        <f t="shared" si="39"/>
        <v>VENDARemanescenteLONDRINA [ETAPA 04 - AREAS EXTERNAS G4 - G8]</v>
      </c>
      <c r="Q265" s="485"/>
    </row>
    <row r="266" spans="1:17">
      <c r="A266" s="61" t="str">
        <f t="shared" si="36"/>
        <v>LONDRINA [ETAPA 04 - AREAS EXTERNAS G4 - G8]XIV10</v>
      </c>
      <c r="B266" s="114" t="s">
        <v>612</v>
      </c>
      <c r="C266" s="42" t="s">
        <v>614</v>
      </c>
      <c r="D266" s="45">
        <v>10</v>
      </c>
      <c r="E266" s="64">
        <v>257</v>
      </c>
      <c r="F266" s="243">
        <v>4769</v>
      </c>
      <c r="G266" s="41" t="s">
        <v>1177</v>
      </c>
      <c r="H266" s="208">
        <v>44076</v>
      </c>
      <c r="I266" s="259" t="str">
        <f t="shared" si="41"/>
        <v>LONDRINA [ETAPA 04 - AREAS EXTERNAS G4 - G8]9/2020</v>
      </c>
      <c r="J266" s="53" t="str">
        <f t="shared" si="40"/>
        <v>Remanescente9/2020</v>
      </c>
      <c r="K266" s="43">
        <v>124080</v>
      </c>
      <c r="L266" s="43" t="s">
        <v>539</v>
      </c>
      <c r="M266" s="190">
        <v>0</v>
      </c>
      <c r="N266" s="494" t="str">
        <f t="shared" si="37"/>
        <v>VENDA</v>
      </c>
      <c r="O266" s="491" t="str">
        <f t="shared" si="38"/>
        <v>LONDRINA [ETAPA 04 - AREAS EXTERNAS G4 - G8]VENDA</v>
      </c>
      <c r="P266" s="492" t="str">
        <f t="shared" si="39"/>
        <v>VENDARemanescenteLONDRINA [ETAPA 04 - AREAS EXTERNAS G4 - G8]</v>
      </c>
      <c r="Q266" s="485"/>
    </row>
    <row r="267" spans="1:17">
      <c r="A267" s="61" t="str">
        <f t="shared" si="36"/>
        <v>LONDRINA [ETAPA 04 - AREAS EXTERNAS G4 - G8]XIV11</v>
      </c>
      <c r="B267" s="114" t="s">
        <v>612</v>
      </c>
      <c r="C267" s="42" t="s">
        <v>614</v>
      </c>
      <c r="D267" s="45">
        <v>11</v>
      </c>
      <c r="E267" s="64">
        <v>257</v>
      </c>
      <c r="F267" s="243">
        <v>4682</v>
      </c>
      <c r="G267" s="41" t="s">
        <v>1272</v>
      </c>
      <c r="H267" s="208">
        <v>44050</v>
      </c>
      <c r="I267" s="259" t="str">
        <f t="shared" si="41"/>
        <v>LONDRINA [ETAPA 04 - AREAS EXTERNAS G4 - G8]8/2020</v>
      </c>
      <c r="J267" s="53" t="str">
        <f t="shared" si="40"/>
        <v>Remanescente8/2020</v>
      </c>
      <c r="K267" s="43">
        <v>119380</v>
      </c>
      <c r="L267" s="43" t="s">
        <v>539</v>
      </c>
      <c r="M267" s="190">
        <v>0</v>
      </c>
      <c r="N267" s="494" t="str">
        <f t="shared" si="37"/>
        <v>VENDA</v>
      </c>
      <c r="O267" s="491" t="str">
        <f t="shared" si="38"/>
        <v>LONDRINA [ETAPA 04 - AREAS EXTERNAS G4 - G8]VENDA</v>
      </c>
      <c r="P267" s="492" t="str">
        <f t="shared" si="39"/>
        <v>VENDARemanescenteLONDRINA [ETAPA 04 - AREAS EXTERNAS G4 - G8]</v>
      </c>
      <c r="Q267" s="485"/>
    </row>
    <row r="268" spans="1:17">
      <c r="A268" s="61" t="str">
        <f t="shared" si="36"/>
        <v>LONDRINA [ETAPA 04 - AREAS EXTERNAS G4 - G8]XIV12</v>
      </c>
      <c r="B268" s="114" t="s">
        <v>612</v>
      </c>
      <c r="C268" s="42" t="s">
        <v>614</v>
      </c>
      <c r="D268" s="45">
        <v>12</v>
      </c>
      <c r="E268" s="64">
        <v>257</v>
      </c>
      <c r="F268" s="243">
        <v>4667</v>
      </c>
      <c r="G268" s="41" t="s">
        <v>442</v>
      </c>
      <c r="H268" s="208">
        <v>44050</v>
      </c>
      <c r="I268" s="259" t="str">
        <f t="shared" si="41"/>
        <v>LONDRINA [ETAPA 04 - AREAS EXTERNAS G4 - G8]8/2020</v>
      </c>
      <c r="J268" s="53" t="str">
        <f t="shared" si="40"/>
        <v>Remanescente8/2020</v>
      </c>
      <c r="K268" s="43">
        <v>122200</v>
      </c>
      <c r="L268" s="43" t="s">
        <v>539</v>
      </c>
      <c r="M268" s="190">
        <v>0</v>
      </c>
      <c r="N268" s="494" t="str">
        <f t="shared" si="37"/>
        <v>VENDA</v>
      </c>
      <c r="O268" s="491" t="str">
        <f t="shared" si="38"/>
        <v>LONDRINA [ETAPA 04 - AREAS EXTERNAS G4 - G8]VENDA</v>
      </c>
      <c r="P268" s="492" t="str">
        <f t="shared" si="39"/>
        <v>VENDARemanescenteLONDRINA [ETAPA 04 - AREAS EXTERNAS G4 - G8]</v>
      </c>
      <c r="Q268" s="485"/>
    </row>
    <row r="269" spans="1:17">
      <c r="A269" s="61" t="str">
        <f t="shared" si="36"/>
        <v>LONDRINA [ETAPA 04 - AREAS EXTERNAS G4 - G8]XIV13</v>
      </c>
      <c r="B269" s="114" t="s">
        <v>612</v>
      </c>
      <c r="C269" s="42" t="s">
        <v>614</v>
      </c>
      <c r="D269" s="45">
        <v>13</v>
      </c>
      <c r="E269" s="64">
        <v>257</v>
      </c>
      <c r="F269" s="243">
        <v>4812</v>
      </c>
      <c r="G269" s="41" t="s">
        <v>1331</v>
      </c>
      <c r="H269" s="208">
        <v>44111</v>
      </c>
      <c r="I269" s="259" t="str">
        <f t="shared" si="41"/>
        <v>LONDRINA [ETAPA 04 - AREAS EXTERNAS G4 - G8]10/2020</v>
      </c>
      <c r="J269" s="53" t="str">
        <f t="shared" si="40"/>
        <v>Remanescente10/2020</v>
      </c>
      <c r="K269" s="43">
        <v>112800</v>
      </c>
      <c r="L269" s="43" t="s">
        <v>539</v>
      </c>
      <c r="M269" s="190">
        <v>0</v>
      </c>
      <c r="N269" s="494" t="str">
        <f t="shared" si="37"/>
        <v>VENDA</v>
      </c>
      <c r="O269" s="491" t="str">
        <f t="shared" si="38"/>
        <v>LONDRINA [ETAPA 04 - AREAS EXTERNAS G4 - G8]VENDA</v>
      </c>
      <c r="P269" s="492" t="str">
        <f t="shared" si="39"/>
        <v>VENDARemanescenteLONDRINA [ETAPA 04 - AREAS EXTERNAS G4 - G8]</v>
      </c>
      <c r="Q269" s="485"/>
    </row>
    <row r="270" spans="1:17">
      <c r="A270" s="61" t="str">
        <f t="shared" si="36"/>
        <v>LONDRINA [ETAPA 04 - AREAS EXTERNAS G4 - G8]XIV14</v>
      </c>
      <c r="B270" s="114" t="s">
        <v>612</v>
      </c>
      <c r="C270" s="42" t="s">
        <v>614</v>
      </c>
      <c r="D270" s="45">
        <v>14</v>
      </c>
      <c r="E270" s="64">
        <v>257</v>
      </c>
      <c r="F270" s="243">
        <v>4676</v>
      </c>
      <c r="G270" s="41" t="s">
        <v>1273</v>
      </c>
      <c r="H270" s="208">
        <v>44055</v>
      </c>
      <c r="I270" s="259" t="str">
        <f t="shared" si="41"/>
        <v>LONDRINA [ETAPA 04 - AREAS EXTERNAS G4 - G8]8/2020</v>
      </c>
      <c r="J270" s="53" t="str">
        <f t="shared" si="40"/>
        <v>Remanescente8/2020</v>
      </c>
      <c r="K270" s="43">
        <v>117876</v>
      </c>
      <c r="L270" s="43" t="s">
        <v>539</v>
      </c>
      <c r="M270" s="190">
        <v>0</v>
      </c>
      <c r="N270" s="494" t="str">
        <f t="shared" si="37"/>
        <v>VENDA</v>
      </c>
      <c r="O270" s="491" t="str">
        <f t="shared" si="38"/>
        <v>LONDRINA [ETAPA 04 - AREAS EXTERNAS G4 - G8]VENDA</v>
      </c>
      <c r="P270" s="492" t="str">
        <f t="shared" si="39"/>
        <v>VENDARemanescenteLONDRINA [ETAPA 04 - AREAS EXTERNAS G4 - G8]</v>
      </c>
      <c r="Q270" s="485"/>
    </row>
    <row r="271" spans="1:17">
      <c r="A271" s="61" t="str">
        <f t="shared" si="36"/>
        <v>LONDRINA [ETAPA 04 - AREAS EXTERNAS G4 - G8]XIV15</v>
      </c>
      <c r="B271" s="114" t="s">
        <v>612</v>
      </c>
      <c r="C271" s="42" t="s">
        <v>614</v>
      </c>
      <c r="D271" s="45">
        <v>15</v>
      </c>
      <c r="E271" s="64">
        <v>257</v>
      </c>
      <c r="F271" s="243">
        <v>4784</v>
      </c>
      <c r="G271" s="41" t="s">
        <v>1324</v>
      </c>
      <c r="H271" s="208">
        <v>44098</v>
      </c>
      <c r="I271" s="259" t="str">
        <f t="shared" si="41"/>
        <v>LONDRINA [ETAPA 04 - AREAS EXTERNAS G4 - G8]9/2020</v>
      </c>
      <c r="J271" s="53" t="str">
        <f t="shared" si="40"/>
        <v>Remanescente9/2020</v>
      </c>
      <c r="K271" s="43">
        <v>124080</v>
      </c>
      <c r="L271" s="43" t="s">
        <v>539</v>
      </c>
      <c r="M271" s="190">
        <v>0</v>
      </c>
      <c r="N271" s="494" t="str">
        <f t="shared" si="37"/>
        <v>VENDA</v>
      </c>
      <c r="O271" s="491" t="str">
        <f t="shared" si="38"/>
        <v>LONDRINA [ETAPA 04 - AREAS EXTERNAS G4 - G8]VENDA</v>
      </c>
      <c r="P271" s="492" t="str">
        <f t="shared" si="39"/>
        <v>VENDARemanescenteLONDRINA [ETAPA 04 - AREAS EXTERNAS G4 - G8]</v>
      </c>
      <c r="Q271" s="485"/>
    </row>
    <row r="272" spans="1:17">
      <c r="A272" s="61" t="str">
        <f t="shared" si="36"/>
        <v>LONDRINA [ETAPA 04 - AREAS EXTERNAS G4 - G8]XIV16</v>
      </c>
      <c r="B272" s="114" t="s">
        <v>612</v>
      </c>
      <c r="C272" s="42" t="s">
        <v>614</v>
      </c>
      <c r="D272" s="45">
        <v>16</v>
      </c>
      <c r="E272" s="64">
        <v>257</v>
      </c>
      <c r="F272" s="201"/>
      <c r="G272" s="41" t="s">
        <v>952</v>
      </c>
      <c r="H272" s="208">
        <v>43577</v>
      </c>
      <c r="I272" s="259" t="str">
        <f t="shared" si="41"/>
        <v>LONDRINA [ETAPA 04 - AREAS EXTERNAS G4 - G8]4/2019</v>
      </c>
      <c r="J272" s="53" t="str">
        <f t="shared" si="40"/>
        <v>Remanescente4/2019</v>
      </c>
      <c r="K272" s="43">
        <v>111971.72</v>
      </c>
      <c r="L272" s="43" t="s">
        <v>539</v>
      </c>
      <c r="M272" s="190">
        <v>0</v>
      </c>
      <c r="N272" s="494" t="str">
        <f t="shared" si="37"/>
        <v>VENDA</v>
      </c>
      <c r="O272" s="491" t="str">
        <f t="shared" si="38"/>
        <v>LONDRINA [ETAPA 04 - AREAS EXTERNAS G4 - G8]VENDA</v>
      </c>
      <c r="P272" s="492" t="str">
        <f t="shared" si="39"/>
        <v>VENDARemanescenteLONDRINA [ETAPA 04 - AREAS EXTERNAS G4 - G8]</v>
      </c>
      <c r="Q272" s="485"/>
    </row>
    <row r="273" spans="1:17">
      <c r="A273" s="61" t="str">
        <f t="shared" si="36"/>
        <v>LONDRINA [ETAPA 04 - AREAS EXTERNAS G4 - G8]XIV17</v>
      </c>
      <c r="B273" s="114" t="s">
        <v>612</v>
      </c>
      <c r="C273" s="42" t="s">
        <v>614</v>
      </c>
      <c r="D273" s="45">
        <v>17</v>
      </c>
      <c r="E273" s="64">
        <v>257</v>
      </c>
      <c r="F273" s="243">
        <v>4311</v>
      </c>
      <c r="G273" s="41" t="s">
        <v>1177</v>
      </c>
      <c r="H273" s="208">
        <v>43983</v>
      </c>
      <c r="I273" s="259" t="str">
        <f t="shared" si="41"/>
        <v>LONDRINA [ETAPA 04 - AREAS EXTERNAS G4 - G8]6/2020</v>
      </c>
      <c r="J273" s="53" t="str">
        <f t="shared" si="40"/>
        <v>Remanescente6/2020</v>
      </c>
      <c r="K273" s="43">
        <v>124080</v>
      </c>
      <c r="L273" s="43" t="s">
        <v>539</v>
      </c>
      <c r="M273" s="190">
        <v>0</v>
      </c>
      <c r="N273" s="494" t="str">
        <f t="shared" si="37"/>
        <v>VENDA</v>
      </c>
      <c r="O273" s="491" t="str">
        <f t="shared" si="38"/>
        <v>LONDRINA [ETAPA 04 - AREAS EXTERNAS G4 - G8]VENDA</v>
      </c>
      <c r="P273" s="492" t="str">
        <f t="shared" si="39"/>
        <v>VENDARemanescenteLONDRINA [ETAPA 04 - AREAS EXTERNAS G4 - G8]</v>
      </c>
      <c r="Q273" s="485"/>
    </row>
    <row r="274" spans="1:17">
      <c r="A274" s="61" t="str">
        <f t="shared" si="36"/>
        <v>LONDRINA [ETAPA 04 - AREAS EXTERNAS G4 - G8]XIV18</v>
      </c>
      <c r="B274" s="114" t="s">
        <v>612</v>
      </c>
      <c r="C274" s="42" t="s">
        <v>614</v>
      </c>
      <c r="D274" s="45">
        <v>18</v>
      </c>
      <c r="E274" s="64">
        <v>257</v>
      </c>
      <c r="F274" s="201"/>
      <c r="G274" s="41" t="s">
        <v>953</v>
      </c>
      <c r="H274" s="208">
        <v>43563</v>
      </c>
      <c r="I274" s="259" t="str">
        <f t="shared" si="41"/>
        <v>LONDRINA [ETAPA 04 - AREAS EXTERNAS G4 - G8]4/2019</v>
      </c>
      <c r="J274" s="53" t="str">
        <f t="shared" si="40"/>
        <v>Remanescente4/2019</v>
      </c>
      <c r="K274" s="43">
        <v>99531.66</v>
      </c>
      <c r="L274" s="43" t="s">
        <v>539</v>
      </c>
      <c r="M274" s="190">
        <v>0</v>
      </c>
      <c r="N274" s="494" t="str">
        <f t="shared" si="37"/>
        <v>VENDA</v>
      </c>
      <c r="O274" s="491" t="str">
        <f t="shared" si="38"/>
        <v>LONDRINA [ETAPA 04 - AREAS EXTERNAS G4 - G8]VENDA</v>
      </c>
      <c r="P274" s="492" t="str">
        <f t="shared" si="39"/>
        <v>VENDARemanescenteLONDRINA [ETAPA 04 - AREAS EXTERNAS G4 - G8]</v>
      </c>
      <c r="Q274" s="485"/>
    </row>
    <row r="275" spans="1:17">
      <c r="A275" s="61" t="str">
        <f t="shared" si="36"/>
        <v>LONDRINA [ETAPA 04 - AREAS EXTERNAS G4 - G8]XIV19</v>
      </c>
      <c r="B275" s="114" t="s">
        <v>612</v>
      </c>
      <c r="C275" s="42" t="s">
        <v>614</v>
      </c>
      <c r="D275" s="45">
        <v>19</v>
      </c>
      <c r="E275" s="64">
        <v>257</v>
      </c>
      <c r="F275" s="243">
        <v>7243</v>
      </c>
      <c r="G275" s="41" t="s">
        <v>976</v>
      </c>
      <c r="H275" s="208">
        <v>43595</v>
      </c>
      <c r="I275" s="259" t="str">
        <f t="shared" si="41"/>
        <v>LONDRINA [ETAPA 04 - AREAS EXTERNAS G4 - G8]5/2019</v>
      </c>
      <c r="J275" s="53" t="str">
        <f t="shared" si="40"/>
        <v>Remanescente5/2019</v>
      </c>
      <c r="K275" s="43">
        <v>99531.16</v>
      </c>
      <c r="L275" s="43" t="s">
        <v>539</v>
      </c>
      <c r="M275" s="190">
        <v>0</v>
      </c>
      <c r="N275" s="494" t="str">
        <f t="shared" si="37"/>
        <v>VENDA</v>
      </c>
      <c r="O275" s="491" t="str">
        <f t="shared" si="38"/>
        <v>LONDRINA [ETAPA 04 - AREAS EXTERNAS G4 - G8]VENDA</v>
      </c>
      <c r="P275" s="492" t="str">
        <f t="shared" si="39"/>
        <v>VENDARemanescenteLONDRINA [ETAPA 04 - AREAS EXTERNAS G4 - G8]</v>
      </c>
      <c r="Q275" s="485"/>
    </row>
    <row r="276" spans="1:17">
      <c r="A276" s="61" t="str">
        <f t="shared" si="36"/>
        <v>LONDRINA [ETAPA 04 - AREAS EXTERNAS G4 - G8]XIV20</v>
      </c>
      <c r="B276" s="114" t="s">
        <v>612</v>
      </c>
      <c r="C276" s="42" t="s">
        <v>614</v>
      </c>
      <c r="D276" s="45">
        <v>20</v>
      </c>
      <c r="E276" s="64">
        <v>257</v>
      </c>
      <c r="F276" s="201"/>
      <c r="G276" s="41" t="s">
        <v>909</v>
      </c>
      <c r="H276" s="208">
        <v>43455</v>
      </c>
      <c r="I276" s="259" t="str">
        <f t="shared" si="41"/>
        <v>LONDRINA [ETAPA 04 - AREAS EXTERNAS G4 - G8]12/2018</v>
      </c>
      <c r="J276" s="53" t="str">
        <f t="shared" si="40"/>
        <v>Remanescente12/2018</v>
      </c>
      <c r="K276" s="43">
        <v>94000</v>
      </c>
      <c r="L276" s="43" t="s">
        <v>539</v>
      </c>
      <c r="M276" s="43">
        <v>0</v>
      </c>
      <c r="N276" s="494" t="str">
        <f t="shared" si="37"/>
        <v>VENDA</v>
      </c>
      <c r="O276" s="491" t="str">
        <f t="shared" si="38"/>
        <v>LONDRINA [ETAPA 04 - AREAS EXTERNAS G4 - G8]VENDA</v>
      </c>
      <c r="P276" s="492" t="str">
        <f t="shared" si="39"/>
        <v>VENDARemanescenteLONDRINA [ETAPA 04 - AREAS EXTERNAS G4 - G8]</v>
      </c>
      <c r="Q276" s="485"/>
    </row>
    <row r="277" spans="1:17">
      <c r="A277" s="61" t="str">
        <f t="shared" si="36"/>
        <v>LONDRINA [ETAPA 04 - AREAS EXTERNAS G4 - G8]XIV21</v>
      </c>
      <c r="B277" s="114" t="s">
        <v>612</v>
      </c>
      <c r="C277" s="42" t="s">
        <v>614</v>
      </c>
      <c r="D277" s="45">
        <v>21</v>
      </c>
      <c r="E277" s="64">
        <v>257</v>
      </c>
      <c r="F277" s="201"/>
      <c r="G277" s="41" t="s">
        <v>909</v>
      </c>
      <c r="H277" s="208">
        <v>43455</v>
      </c>
      <c r="I277" s="259" t="str">
        <f t="shared" si="41"/>
        <v>LONDRINA [ETAPA 04 - AREAS EXTERNAS G4 - G8]12/2018</v>
      </c>
      <c r="J277" s="53" t="str">
        <f t="shared" si="40"/>
        <v>Remanescente12/2018</v>
      </c>
      <c r="K277" s="43">
        <v>94000</v>
      </c>
      <c r="L277" s="43" t="s">
        <v>539</v>
      </c>
      <c r="M277" s="43">
        <v>0</v>
      </c>
      <c r="N277" s="494" t="str">
        <f t="shared" si="37"/>
        <v>VENDA</v>
      </c>
      <c r="O277" s="491" t="str">
        <f t="shared" si="38"/>
        <v>LONDRINA [ETAPA 04 - AREAS EXTERNAS G4 - G8]VENDA</v>
      </c>
      <c r="P277" s="492" t="str">
        <f t="shared" si="39"/>
        <v>VENDARemanescenteLONDRINA [ETAPA 04 - AREAS EXTERNAS G4 - G8]</v>
      </c>
      <c r="Q277" s="485"/>
    </row>
    <row r="278" spans="1:17">
      <c r="A278" s="61" t="str">
        <f t="shared" si="36"/>
        <v>LONDRINA [ETAPA 04 - AREAS EXTERNAS G4 - G8]XIV22</v>
      </c>
      <c r="B278" s="114" t="s">
        <v>612</v>
      </c>
      <c r="C278" s="42" t="s">
        <v>614</v>
      </c>
      <c r="D278" s="45">
        <v>22</v>
      </c>
      <c r="E278" s="64">
        <v>257</v>
      </c>
      <c r="F278" s="201"/>
      <c r="G278" s="41" t="s">
        <v>906</v>
      </c>
      <c r="H278" s="208">
        <v>43479</v>
      </c>
      <c r="I278" s="259" t="str">
        <f t="shared" si="41"/>
        <v>LONDRINA [ETAPA 04 - AREAS EXTERNAS G4 - G8]1/2019</v>
      </c>
      <c r="J278" s="53" t="str">
        <f t="shared" si="40"/>
        <v>Remanescente1/2019</v>
      </c>
      <c r="K278" s="43">
        <v>96632</v>
      </c>
      <c r="L278" s="43" t="s">
        <v>539</v>
      </c>
      <c r="M278" s="43">
        <v>0</v>
      </c>
      <c r="N278" s="494" t="str">
        <f t="shared" si="37"/>
        <v>VENDA</v>
      </c>
      <c r="O278" s="491" t="str">
        <f t="shared" si="38"/>
        <v>LONDRINA [ETAPA 04 - AREAS EXTERNAS G4 - G8]VENDA</v>
      </c>
      <c r="P278" s="492" t="str">
        <f t="shared" si="39"/>
        <v>VENDARemanescenteLONDRINA [ETAPA 04 - AREAS EXTERNAS G4 - G8]</v>
      </c>
      <c r="Q278" s="485"/>
    </row>
    <row r="279" spans="1:17">
      <c r="A279" s="61" t="str">
        <f t="shared" si="36"/>
        <v>LONDRINA [ETAPA 04 - AREAS EXTERNAS G4 - G8]XIV23</v>
      </c>
      <c r="B279" s="114" t="s">
        <v>612</v>
      </c>
      <c r="C279" s="42" t="s">
        <v>614</v>
      </c>
      <c r="D279" s="45">
        <v>23</v>
      </c>
      <c r="E279" s="64">
        <v>261.19</v>
      </c>
      <c r="F279" s="201"/>
      <c r="G279" s="41" t="s">
        <v>1111</v>
      </c>
      <c r="H279" s="208">
        <v>43773</v>
      </c>
      <c r="I279" s="259" t="str">
        <f t="shared" si="41"/>
        <v>LONDRINA [ETAPA 04 - AREAS EXTERNAS G4 - G8]11/2019</v>
      </c>
      <c r="J279" s="53" t="str">
        <f t="shared" si="40"/>
        <v>Remanescente11/2019</v>
      </c>
      <c r="K279" s="43">
        <v>101153.4</v>
      </c>
      <c r="L279" s="43" t="s">
        <v>539</v>
      </c>
      <c r="M279" s="190">
        <v>0</v>
      </c>
      <c r="N279" s="494" t="str">
        <f t="shared" si="37"/>
        <v>VENDA</v>
      </c>
      <c r="O279" s="491" t="str">
        <f t="shared" si="38"/>
        <v>LONDRINA [ETAPA 04 - AREAS EXTERNAS G4 - G8]VENDA</v>
      </c>
      <c r="P279" s="492" t="str">
        <f t="shared" si="39"/>
        <v>VENDARemanescenteLONDRINA [ETAPA 04 - AREAS EXTERNAS G4 - G8]</v>
      </c>
      <c r="Q279" s="485"/>
    </row>
    <row r="280" spans="1:17">
      <c r="A280" s="61" t="str">
        <f t="shared" si="36"/>
        <v>LONDRINA [ETAPA 04 - AREAS EXTERNAS G4 - G8]XIV24</v>
      </c>
      <c r="B280" s="114" t="s">
        <v>612</v>
      </c>
      <c r="C280" s="42" t="s">
        <v>614</v>
      </c>
      <c r="D280" s="45">
        <v>24</v>
      </c>
      <c r="E280" s="64">
        <v>254.95</v>
      </c>
      <c r="F280" s="201"/>
      <c r="G280" s="41" t="s">
        <v>880</v>
      </c>
      <c r="H280" s="208">
        <v>43439</v>
      </c>
      <c r="I280" s="259" t="str">
        <f t="shared" si="41"/>
        <v>LONDRINA [ETAPA 04 - AREAS EXTERNAS G4 - G8]12/2018</v>
      </c>
      <c r="J280" s="53" t="str">
        <f t="shared" si="40"/>
        <v>Remanescente12/2018</v>
      </c>
      <c r="K280" s="43">
        <v>94068.14</v>
      </c>
      <c r="L280" s="43" t="s">
        <v>539</v>
      </c>
      <c r="M280" s="43">
        <v>0</v>
      </c>
      <c r="N280" s="494" t="str">
        <f t="shared" si="37"/>
        <v>VENDA</v>
      </c>
      <c r="O280" s="491" t="str">
        <f t="shared" si="38"/>
        <v>LONDRINA [ETAPA 04 - AREAS EXTERNAS G4 - G8]VENDA</v>
      </c>
      <c r="P280" s="492" t="str">
        <f t="shared" si="39"/>
        <v>VENDARemanescenteLONDRINA [ETAPA 04 - AREAS EXTERNAS G4 - G8]</v>
      </c>
      <c r="Q280" s="485"/>
    </row>
    <row r="281" spans="1:17">
      <c r="A281" s="61" t="str">
        <f t="shared" si="36"/>
        <v>LONDRINA [ETAPA 04 - AREAS EXTERNAS G4 - G8]XIV25</v>
      </c>
      <c r="B281" s="114" t="s">
        <v>612</v>
      </c>
      <c r="C281" s="42" t="s">
        <v>614</v>
      </c>
      <c r="D281" s="45">
        <v>25</v>
      </c>
      <c r="E281" s="64">
        <v>254.95</v>
      </c>
      <c r="F281" s="243">
        <v>3135</v>
      </c>
      <c r="G281" s="41" t="s">
        <v>1074</v>
      </c>
      <c r="H281" s="208">
        <v>43760</v>
      </c>
      <c r="I281" s="259" t="str">
        <f t="shared" si="41"/>
        <v>LONDRINA [ETAPA 04 - AREAS EXTERNAS G4 - G8]10/2019</v>
      </c>
      <c r="J281" s="53" t="str">
        <f t="shared" si="40"/>
        <v>Remanescente10/2019</v>
      </c>
      <c r="K281" s="43">
        <v>93800.35</v>
      </c>
      <c r="L281" s="43" t="s">
        <v>539</v>
      </c>
      <c r="M281" s="190">
        <v>0</v>
      </c>
      <c r="N281" s="494" t="str">
        <f t="shared" si="37"/>
        <v>VENDA</v>
      </c>
      <c r="O281" s="491" t="str">
        <f t="shared" si="38"/>
        <v>LONDRINA [ETAPA 04 - AREAS EXTERNAS G4 - G8]VENDA</v>
      </c>
      <c r="P281" s="492" t="str">
        <f t="shared" si="39"/>
        <v>VENDARemanescenteLONDRINA [ETAPA 04 - AREAS EXTERNAS G4 - G8]</v>
      </c>
      <c r="Q281" s="485"/>
    </row>
    <row r="282" spans="1:17">
      <c r="A282" s="61" t="str">
        <f t="shared" si="36"/>
        <v>LONDRINA [ETAPA 04 - AREAS EXTERNAS G4 - G8]XIV26</v>
      </c>
      <c r="B282" s="114" t="s">
        <v>612</v>
      </c>
      <c r="C282" s="42" t="s">
        <v>614</v>
      </c>
      <c r="D282" s="45">
        <v>26</v>
      </c>
      <c r="E282" s="64">
        <v>532.03</v>
      </c>
      <c r="F282" s="201"/>
      <c r="G282" s="41" t="s">
        <v>1062</v>
      </c>
      <c r="H282" s="208">
        <v>43728</v>
      </c>
      <c r="I282" s="259" t="str">
        <f t="shared" si="41"/>
        <v>LONDRINA [ETAPA 04 - AREAS EXTERNAS G4 - G8]9/2019</v>
      </c>
      <c r="J282" s="53" t="str">
        <f t="shared" si="40"/>
        <v>Remanescente9/2019</v>
      </c>
      <c r="K282" s="43">
        <v>195802</v>
      </c>
      <c r="L282" s="43" t="s">
        <v>539</v>
      </c>
      <c r="M282" s="190">
        <v>0</v>
      </c>
      <c r="N282" s="494" t="str">
        <f t="shared" si="37"/>
        <v>VENDA</v>
      </c>
      <c r="O282" s="491" t="str">
        <f t="shared" si="38"/>
        <v>LONDRINA [ETAPA 04 - AREAS EXTERNAS G4 - G8]VENDA</v>
      </c>
      <c r="P282" s="492" t="str">
        <f t="shared" si="39"/>
        <v>VENDARemanescenteLONDRINA [ETAPA 04 - AREAS EXTERNAS G4 - G8]</v>
      </c>
      <c r="Q282" s="485"/>
    </row>
    <row r="283" spans="1:17">
      <c r="A283" s="61" t="str">
        <f t="shared" si="36"/>
        <v>LONDRINA [ETAPA 04 - AREAS EXTERNAS G4 - G8]XVII1</v>
      </c>
      <c r="B283" s="114" t="s">
        <v>612</v>
      </c>
      <c r="C283" s="42" t="s">
        <v>615</v>
      </c>
      <c r="D283" s="45">
        <v>1</v>
      </c>
      <c r="E283" s="64">
        <v>372.83</v>
      </c>
      <c r="F283" s="201"/>
      <c r="G283" s="41"/>
      <c r="H283" s="208"/>
      <c r="I283" s="259" t="str">
        <f t="shared" si="41"/>
        <v>LONDRINA [ETAPA 04 - AREAS EXTERNAS G4 - G8]1/1900</v>
      </c>
      <c r="J283" s="53" t="str">
        <f t="shared" si="40"/>
        <v>Remanescente1/1900</v>
      </c>
      <c r="K283" s="43"/>
      <c r="L283" s="43" t="s">
        <v>539</v>
      </c>
      <c r="M283" s="316">
        <v>177414.88379999998</v>
      </c>
      <c r="N283" s="494" t="str">
        <f t="shared" si="37"/>
        <v>VGV</v>
      </c>
      <c r="O283" s="491" t="str">
        <f t="shared" si="38"/>
        <v>LONDRINA [ETAPA 04 - AREAS EXTERNAS G4 - G8]VGV</v>
      </c>
      <c r="P283" s="492" t="str">
        <f t="shared" si="39"/>
        <v>VGVRemanescenteLONDRINA [ETAPA 04 - AREAS EXTERNAS G4 - G8]</v>
      </c>
      <c r="Q283" s="485"/>
    </row>
    <row r="284" spans="1:17">
      <c r="A284" s="61" t="str">
        <f t="shared" si="36"/>
        <v>LONDRINA [ETAPA 04 - AREAS EXTERNAS G4 - G8]XVII2</v>
      </c>
      <c r="B284" s="114" t="s">
        <v>612</v>
      </c>
      <c r="C284" s="42" t="s">
        <v>615</v>
      </c>
      <c r="D284" s="45">
        <v>2</v>
      </c>
      <c r="E284" s="64">
        <v>265.01</v>
      </c>
      <c r="F284" s="201"/>
      <c r="G284" s="41" t="s">
        <v>88</v>
      </c>
      <c r="H284" s="208">
        <v>43774</v>
      </c>
      <c r="I284" s="259" t="str">
        <f t="shared" si="41"/>
        <v>LONDRINA [ETAPA 04 - AREAS EXTERNAS G4 - G8]11/2019</v>
      </c>
      <c r="J284" s="53" t="str">
        <f t="shared" si="40"/>
        <v>Remanescente11/2019</v>
      </c>
      <c r="K284" s="43">
        <v>89300</v>
      </c>
      <c r="L284" s="43" t="s">
        <v>539</v>
      </c>
      <c r="M284" s="190">
        <v>0</v>
      </c>
      <c r="N284" s="494" t="str">
        <f t="shared" si="37"/>
        <v>VENDA</v>
      </c>
      <c r="O284" s="491" t="str">
        <f t="shared" si="38"/>
        <v>LONDRINA [ETAPA 04 - AREAS EXTERNAS G4 - G8]VENDA</v>
      </c>
      <c r="P284" s="492" t="str">
        <f t="shared" si="39"/>
        <v>VENDARemanescenteLONDRINA [ETAPA 04 - AREAS EXTERNAS G4 - G8]</v>
      </c>
      <c r="Q284" s="485"/>
    </row>
    <row r="285" spans="1:17">
      <c r="A285" s="61" t="str">
        <f t="shared" si="36"/>
        <v>LONDRINA [ETAPA 04 - AREAS EXTERNAS G4 - G8]XVII3</v>
      </c>
      <c r="B285" s="114" t="s">
        <v>612</v>
      </c>
      <c r="C285" s="42" t="s">
        <v>615</v>
      </c>
      <c r="D285" s="45">
        <v>3</v>
      </c>
      <c r="E285" s="64">
        <v>265.01</v>
      </c>
      <c r="F285" s="201"/>
      <c r="G285" s="41"/>
      <c r="H285" s="208"/>
      <c r="I285" s="259" t="str">
        <f t="shared" si="41"/>
        <v>LONDRINA [ETAPA 04 - AREAS EXTERNAS G4 - G8]1/1900</v>
      </c>
      <c r="J285" s="53" t="str">
        <f t="shared" si="40"/>
        <v>Remanescente1/1900</v>
      </c>
      <c r="K285" s="43"/>
      <c r="L285" s="43" t="s">
        <v>539</v>
      </c>
      <c r="M285" s="316">
        <v>124950</v>
      </c>
      <c r="N285" s="494" t="str">
        <f t="shared" si="37"/>
        <v>VGV</v>
      </c>
      <c r="O285" s="491" t="str">
        <f t="shared" si="38"/>
        <v>LONDRINA [ETAPA 04 - AREAS EXTERNAS G4 - G8]VGV</v>
      </c>
      <c r="P285" s="492" t="str">
        <f t="shared" si="39"/>
        <v>VGVRemanescenteLONDRINA [ETAPA 04 - AREAS EXTERNAS G4 - G8]</v>
      </c>
      <c r="Q285" s="485"/>
    </row>
    <row r="286" spans="1:17">
      <c r="A286" s="61" t="str">
        <f t="shared" si="36"/>
        <v>LONDRINA [ETAPA 04 - AREAS EXTERNAS G4 - G8]XVII4</v>
      </c>
      <c r="B286" s="114" t="s">
        <v>612</v>
      </c>
      <c r="C286" s="42" t="s">
        <v>615</v>
      </c>
      <c r="D286" s="45">
        <v>4</v>
      </c>
      <c r="E286" s="64">
        <v>265.01</v>
      </c>
      <c r="F286" s="201">
        <v>5093</v>
      </c>
      <c r="G286" s="41" t="s">
        <v>1504</v>
      </c>
      <c r="H286" s="208">
        <v>44256</v>
      </c>
      <c r="I286" s="259" t="str">
        <f t="shared" si="41"/>
        <v>LONDRINA [ETAPA 04 - AREAS EXTERNAS G4 - G8]3/2021</v>
      </c>
      <c r="J286" s="53" t="str">
        <f t="shared" si="40"/>
        <v>Remanescente3/2021</v>
      </c>
      <c r="K286" s="43">
        <v>117453</v>
      </c>
      <c r="L286" s="43" t="s">
        <v>539</v>
      </c>
      <c r="M286" s="316">
        <v>0</v>
      </c>
      <c r="N286" s="494" t="str">
        <f t="shared" si="37"/>
        <v>VENDA</v>
      </c>
      <c r="O286" s="491" t="str">
        <f t="shared" si="38"/>
        <v>LONDRINA [ETAPA 04 - AREAS EXTERNAS G4 - G8]VENDA</v>
      </c>
      <c r="P286" s="492" t="str">
        <f t="shared" si="39"/>
        <v>VENDARemanescenteLONDRINA [ETAPA 04 - AREAS EXTERNAS G4 - G8]</v>
      </c>
      <c r="Q286" s="485"/>
    </row>
    <row r="287" spans="1:17">
      <c r="A287" s="61" t="str">
        <f t="shared" si="36"/>
        <v>LONDRINA [ETAPA 04 - AREAS EXTERNAS G4 - G8]XVII5</v>
      </c>
      <c r="B287" s="114" t="s">
        <v>612</v>
      </c>
      <c r="C287" s="42" t="s">
        <v>615</v>
      </c>
      <c r="D287" s="45">
        <v>5</v>
      </c>
      <c r="E287" s="64">
        <v>265.01</v>
      </c>
      <c r="F287" s="201"/>
      <c r="G287" s="41"/>
      <c r="H287" s="208"/>
      <c r="I287" s="259" t="str">
        <f t="shared" si="41"/>
        <v>LONDRINA [ETAPA 04 - AREAS EXTERNAS G4 - G8]1/1900</v>
      </c>
      <c r="J287" s="53" t="str">
        <f t="shared" si="40"/>
        <v>Remanescente1/1900</v>
      </c>
      <c r="K287" s="43"/>
      <c r="L287" s="43" t="s">
        <v>539</v>
      </c>
      <c r="M287" s="316">
        <v>124950</v>
      </c>
      <c r="N287" s="494" t="str">
        <f t="shared" si="37"/>
        <v>VGV</v>
      </c>
      <c r="O287" s="491" t="str">
        <f t="shared" si="38"/>
        <v>LONDRINA [ETAPA 04 - AREAS EXTERNAS G4 - G8]VGV</v>
      </c>
      <c r="P287" s="492" t="str">
        <f t="shared" si="39"/>
        <v>VGVRemanescenteLONDRINA [ETAPA 04 - AREAS EXTERNAS G4 - G8]</v>
      </c>
      <c r="Q287" s="485"/>
    </row>
    <row r="288" spans="1:17">
      <c r="A288" s="61" t="str">
        <f t="shared" si="36"/>
        <v>LONDRINA [ETAPA 04 - AREAS EXTERNAS G4 - G8]XVII6</v>
      </c>
      <c r="B288" s="114" t="s">
        <v>612</v>
      </c>
      <c r="C288" s="42" t="s">
        <v>615</v>
      </c>
      <c r="D288" s="45">
        <v>6</v>
      </c>
      <c r="E288" s="64">
        <v>265.01</v>
      </c>
      <c r="F288" s="201"/>
      <c r="G288" s="41"/>
      <c r="H288" s="208"/>
      <c r="I288" s="259" t="str">
        <f t="shared" si="41"/>
        <v>LONDRINA [ETAPA 04 - AREAS EXTERNAS G4 - G8]1/1900</v>
      </c>
      <c r="J288" s="53" t="str">
        <f t="shared" si="40"/>
        <v>Remanescente1/1900</v>
      </c>
      <c r="K288" s="43"/>
      <c r="L288" s="43" t="s">
        <v>539</v>
      </c>
      <c r="M288" s="316">
        <v>124950</v>
      </c>
      <c r="N288" s="494" t="str">
        <f t="shared" si="37"/>
        <v>VGV</v>
      </c>
      <c r="O288" s="491" t="str">
        <f t="shared" si="38"/>
        <v>LONDRINA [ETAPA 04 - AREAS EXTERNAS G4 - G8]VGV</v>
      </c>
      <c r="P288" s="492" t="str">
        <f t="shared" si="39"/>
        <v>VGVRemanescenteLONDRINA [ETAPA 04 - AREAS EXTERNAS G4 - G8]</v>
      </c>
      <c r="Q288" s="485"/>
    </row>
    <row r="289" spans="1:17">
      <c r="A289" s="61" t="str">
        <f t="shared" si="36"/>
        <v>LONDRINA [ETAPA 04 - AREAS EXTERNAS G4 - G8]XVII7</v>
      </c>
      <c r="B289" s="114" t="s">
        <v>612</v>
      </c>
      <c r="C289" s="42" t="s">
        <v>615</v>
      </c>
      <c r="D289" s="45">
        <v>7</v>
      </c>
      <c r="E289" s="64">
        <v>265.01</v>
      </c>
      <c r="F289" s="201"/>
      <c r="G289" s="41"/>
      <c r="H289" s="208"/>
      <c r="I289" s="259" t="str">
        <f t="shared" si="41"/>
        <v>LONDRINA [ETAPA 04 - AREAS EXTERNAS G4 - G8]1/1900</v>
      </c>
      <c r="J289" s="53" t="str">
        <f t="shared" si="40"/>
        <v>Remanescente1/1900</v>
      </c>
      <c r="K289" s="43"/>
      <c r="L289" s="43" t="s">
        <v>539</v>
      </c>
      <c r="M289" s="316">
        <v>124950</v>
      </c>
      <c r="N289" s="494" t="str">
        <f t="shared" si="37"/>
        <v>VGV</v>
      </c>
      <c r="O289" s="491" t="str">
        <f t="shared" si="38"/>
        <v>LONDRINA [ETAPA 04 - AREAS EXTERNAS G4 - G8]VGV</v>
      </c>
      <c r="P289" s="492" t="str">
        <f t="shared" si="39"/>
        <v>VGVRemanescenteLONDRINA [ETAPA 04 - AREAS EXTERNAS G4 - G8]</v>
      </c>
      <c r="Q289" s="485"/>
    </row>
    <row r="290" spans="1:17">
      <c r="A290" s="61" t="str">
        <f t="shared" si="36"/>
        <v>LONDRINA [ETAPA 04 - AREAS EXTERNAS G4 - G8]XVII8</v>
      </c>
      <c r="B290" s="114" t="s">
        <v>612</v>
      </c>
      <c r="C290" s="42" t="s">
        <v>615</v>
      </c>
      <c r="D290" s="45">
        <v>8</v>
      </c>
      <c r="E290" s="64">
        <v>265.01</v>
      </c>
      <c r="F290" s="201"/>
      <c r="G290" s="41"/>
      <c r="H290" s="208"/>
      <c r="I290" s="259" t="str">
        <f t="shared" si="41"/>
        <v>LONDRINA [ETAPA 04 - AREAS EXTERNAS G4 - G8]1/1900</v>
      </c>
      <c r="J290" s="53" t="str">
        <f t="shared" si="40"/>
        <v>Remanescente1/1900</v>
      </c>
      <c r="K290" s="43"/>
      <c r="L290" s="43" t="s">
        <v>539</v>
      </c>
      <c r="M290" s="316">
        <v>124950</v>
      </c>
      <c r="N290" s="494" t="str">
        <f t="shared" si="37"/>
        <v>VGV</v>
      </c>
      <c r="O290" s="491" t="str">
        <f t="shared" si="38"/>
        <v>LONDRINA [ETAPA 04 - AREAS EXTERNAS G4 - G8]VGV</v>
      </c>
      <c r="P290" s="492" t="str">
        <f t="shared" si="39"/>
        <v>VGVRemanescenteLONDRINA [ETAPA 04 - AREAS EXTERNAS G4 - G8]</v>
      </c>
      <c r="Q290" s="485"/>
    </row>
    <row r="291" spans="1:17">
      <c r="A291" s="61" t="str">
        <f t="shared" si="36"/>
        <v>LONDRINA [ETAPA 04 - AREAS EXTERNAS G4 - G8]XVII9</v>
      </c>
      <c r="B291" s="114" t="s">
        <v>612</v>
      </c>
      <c r="C291" s="42" t="s">
        <v>615</v>
      </c>
      <c r="D291" s="45">
        <v>9</v>
      </c>
      <c r="E291" s="64">
        <v>265.01</v>
      </c>
      <c r="F291" s="201"/>
      <c r="G291" s="41"/>
      <c r="H291" s="208"/>
      <c r="I291" s="259" t="str">
        <f t="shared" si="41"/>
        <v>LONDRINA [ETAPA 04 - AREAS EXTERNAS G4 - G8]1/1900</v>
      </c>
      <c r="J291" s="53" t="str">
        <f t="shared" si="40"/>
        <v>Remanescente1/1900</v>
      </c>
      <c r="K291" s="43"/>
      <c r="L291" s="43" t="s">
        <v>539</v>
      </c>
      <c r="M291" s="316">
        <v>124950</v>
      </c>
      <c r="N291" s="494" t="str">
        <f t="shared" si="37"/>
        <v>VGV</v>
      </c>
      <c r="O291" s="491" t="str">
        <f t="shared" si="38"/>
        <v>LONDRINA [ETAPA 04 - AREAS EXTERNAS G4 - G8]VGV</v>
      </c>
      <c r="P291" s="492" t="str">
        <f t="shared" si="39"/>
        <v>VGVRemanescenteLONDRINA [ETAPA 04 - AREAS EXTERNAS G4 - G8]</v>
      </c>
      <c r="Q291" s="485"/>
    </row>
    <row r="292" spans="1:17">
      <c r="A292" s="61" t="str">
        <f t="shared" si="36"/>
        <v>LONDRINA [ETAPA 04 - AREAS EXTERNAS G4 - G8]XVII10</v>
      </c>
      <c r="B292" s="114" t="s">
        <v>612</v>
      </c>
      <c r="C292" s="42" t="s">
        <v>615</v>
      </c>
      <c r="D292" s="45">
        <v>10</v>
      </c>
      <c r="E292" s="64">
        <v>265.01</v>
      </c>
      <c r="F292" s="201"/>
      <c r="G292" s="41"/>
      <c r="H292" s="208"/>
      <c r="I292" s="259" t="str">
        <f t="shared" si="41"/>
        <v>LONDRINA [ETAPA 04 - AREAS EXTERNAS G4 - G8]1/1900</v>
      </c>
      <c r="J292" s="53" t="str">
        <f t="shared" si="40"/>
        <v>Remanescente1/1900</v>
      </c>
      <c r="K292" s="43"/>
      <c r="L292" s="43" t="s">
        <v>539</v>
      </c>
      <c r="M292" s="316">
        <v>124950</v>
      </c>
      <c r="N292" s="494" t="str">
        <f t="shared" si="37"/>
        <v>VGV</v>
      </c>
      <c r="O292" s="491" t="str">
        <f t="shared" si="38"/>
        <v>LONDRINA [ETAPA 04 - AREAS EXTERNAS G4 - G8]VGV</v>
      </c>
      <c r="P292" s="492" t="str">
        <f t="shared" si="39"/>
        <v>VGVRemanescenteLONDRINA [ETAPA 04 - AREAS EXTERNAS G4 - G8]</v>
      </c>
      <c r="Q292" s="485"/>
    </row>
    <row r="293" spans="1:17">
      <c r="A293" s="61" t="str">
        <f t="shared" si="36"/>
        <v>LONDRINA [ETAPA 04 - AREAS EXTERNAS G4 - G8]XVII11</v>
      </c>
      <c r="B293" s="114" t="s">
        <v>612</v>
      </c>
      <c r="C293" s="42" t="s">
        <v>615</v>
      </c>
      <c r="D293" s="45">
        <v>11</v>
      </c>
      <c r="E293" s="64">
        <v>265.01</v>
      </c>
      <c r="F293" s="201"/>
      <c r="G293" s="41" t="s">
        <v>931</v>
      </c>
      <c r="H293" s="208">
        <v>43514</v>
      </c>
      <c r="I293" s="259" t="str">
        <f t="shared" si="41"/>
        <v>LONDRINA [ETAPA 04 - AREAS EXTERNAS G4 - G8]2/2019</v>
      </c>
      <c r="J293" s="53" t="str">
        <f t="shared" si="40"/>
        <v>Remanescente2/2019</v>
      </c>
      <c r="K293" s="43">
        <v>76916.350000000006</v>
      </c>
      <c r="L293" s="43" t="s">
        <v>539</v>
      </c>
      <c r="M293" s="190">
        <v>0</v>
      </c>
      <c r="N293" s="494" t="str">
        <f t="shared" si="37"/>
        <v>VENDA</v>
      </c>
      <c r="O293" s="491" t="str">
        <f t="shared" si="38"/>
        <v>LONDRINA [ETAPA 04 - AREAS EXTERNAS G4 - G8]VENDA</v>
      </c>
      <c r="P293" s="492" t="str">
        <f t="shared" si="39"/>
        <v>VENDARemanescenteLONDRINA [ETAPA 04 - AREAS EXTERNAS G4 - G8]</v>
      </c>
      <c r="Q293" s="485"/>
    </row>
    <row r="294" spans="1:17">
      <c r="A294" s="61" t="str">
        <f t="shared" si="36"/>
        <v>LONDRINA [ETAPA 04 - AREAS EXTERNAS G4 - G8]XVII12</v>
      </c>
      <c r="B294" s="114" t="s">
        <v>612</v>
      </c>
      <c r="C294" s="42" t="s">
        <v>615</v>
      </c>
      <c r="D294" s="45">
        <v>12</v>
      </c>
      <c r="E294" s="64">
        <v>264.81</v>
      </c>
      <c r="F294" s="243">
        <v>7020</v>
      </c>
      <c r="G294" s="41" t="s">
        <v>942</v>
      </c>
      <c r="H294" s="208">
        <v>43525</v>
      </c>
      <c r="I294" s="259" t="str">
        <f t="shared" si="41"/>
        <v>LONDRINA [ETAPA 04 - AREAS EXTERNAS G4 - G8]3/2019</v>
      </c>
      <c r="J294" s="53" t="str">
        <f t="shared" si="40"/>
        <v>Remanescente3/2019</v>
      </c>
      <c r="K294" s="43">
        <v>74676.42</v>
      </c>
      <c r="L294" s="43" t="s">
        <v>539</v>
      </c>
      <c r="M294" s="190">
        <v>0</v>
      </c>
      <c r="N294" s="494" t="str">
        <f t="shared" si="37"/>
        <v>VENDA</v>
      </c>
      <c r="O294" s="491" t="str">
        <f t="shared" si="38"/>
        <v>LONDRINA [ETAPA 04 - AREAS EXTERNAS G4 - G8]VENDA</v>
      </c>
      <c r="P294" s="492" t="str">
        <f t="shared" si="39"/>
        <v>VENDARemanescenteLONDRINA [ETAPA 04 - AREAS EXTERNAS G4 - G8]</v>
      </c>
      <c r="Q294" s="485"/>
    </row>
    <row r="295" spans="1:17">
      <c r="A295" s="61" t="str">
        <f t="shared" si="36"/>
        <v>LONDRINA [ETAPA 04 - AREAS EXTERNAS G4 - G8]XVII13</v>
      </c>
      <c r="B295" s="114" t="s">
        <v>612</v>
      </c>
      <c r="C295" s="42" t="s">
        <v>615</v>
      </c>
      <c r="D295" s="45">
        <v>13</v>
      </c>
      <c r="E295" s="64">
        <v>264.81</v>
      </c>
      <c r="F295" s="201"/>
      <c r="G295" s="41" t="s">
        <v>303</v>
      </c>
      <c r="H295" s="208">
        <v>43558</v>
      </c>
      <c r="I295" s="259" t="str">
        <f t="shared" si="41"/>
        <v>LONDRINA [ETAPA 04 - AREAS EXTERNAS G4 - G8]4/2019</v>
      </c>
      <c r="J295" s="53" t="str">
        <f t="shared" si="40"/>
        <v>Remanescente4/2019</v>
      </c>
      <c r="K295" s="43">
        <v>79346.16</v>
      </c>
      <c r="L295" s="43" t="s">
        <v>539</v>
      </c>
      <c r="M295" s="190">
        <v>0</v>
      </c>
      <c r="N295" s="494" t="str">
        <f t="shared" si="37"/>
        <v>VENDA</v>
      </c>
      <c r="O295" s="491" t="str">
        <f t="shared" si="38"/>
        <v>LONDRINA [ETAPA 04 - AREAS EXTERNAS G4 - G8]VENDA</v>
      </c>
      <c r="P295" s="492" t="str">
        <f t="shared" si="39"/>
        <v>VENDARemanescenteLONDRINA [ETAPA 04 - AREAS EXTERNAS G4 - G8]</v>
      </c>
      <c r="Q295" s="485"/>
    </row>
    <row r="296" spans="1:17">
      <c r="A296" s="61" t="str">
        <f t="shared" si="36"/>
        <v>LONDRINA [ETAPA 04 - AREAS EXTERNAS G4 - G8]XVII14</v>
      </c>
      <c r="B296" s="114" t="s">
        <v>612</v>
      </c>
      <c r="C296" s="42" t="s">
        <v>615</v>
      </c>
      <c r="D296" s="45">
        <v>14</v>
      </c>
      <c r="E296" s="64">
        <v>264.81</v>
      </c>
      <c r="F296" s="243">
        <v>5050</v>
      </c>
      <c r="G296" s="41" t="s">
        <v>1485</v>
      </c>
      <c r="H296" s="208">
        <v>44249</v>
      </c>
      <c r="I296" s="259" t="str">
        <f t="shared" si="41"/>
        <v>LONDRINA [ETAPA 04 - AREAS EXTERNAS G4 - G8]2/2021</v>
      </c>
      <c r="J296" s="53" t="str">
        <f t="shared" si="40"/>
        <v>Remanescente2/2021</v>
      </c>
      <c r="K296" s="43">
        <v>103635</v>
      </c>
      <c r="L296" s="43" t="s">
        <v>539</v>
      </c>
      <c r="M296" s="316">
        <v>0</v>
      </c>
      <c r="N296" s="494" t="str">
        <f t="shared" si="37"/>
        <v>VENDA</v>
      </c>
      <c r="O296" s="491" t="str">
        <f t="shared" si="38"/>
        <v>LONDRINA [ETAPA 04 - AREAS EXTERNAS G4 - G8]VENDA</v>
      </c>
      <c r="P296" s="492" t="str">
        <f t="shared" si="39"/>
        <v>VENDARemanescenteLONDRINA [ETAPA 04 - AREAS EXTERNAS G4 - G8]</v>
      </c>
      <c r="Q296" s="485"/>
    </row>
    <row r="297" spans="1:17">
      <c r="A297" s="61" t="str">
        <f t="shared" si="36"/>
        <v>LONDRINA [ETAPA 04 - AREAS EXTERNAS G4 - G8]XVII15</v>
      </c>
      <c r="B297" s="114" t="s">
        <v>612</v>
      </c>
      <c r="C297" s="42" t="s">
        <v>615</v>
      </c>
      <c r="D297" s="45">
        <v>15</v>
      </c>
      <c r="E297" s="64">
        <v>264.81</v>
      </c>
      <c r="F297" s="243">
        <v>7016</v>
      </c>
      <c r="G297" s="41" t="s">
        <v>943</v>
      </c>
      <c r="H297" s="208">
        <v>43510</v>
      </c>
      <c r="I297" s="259" t="str">
        <f t="shared" si="41"/>
        <v>LONDRINA [ETAPA 04 - AREAS EXTERNAS G4 - G8]2/2019</v>
      </c>
      <c r="J297" s="53" t="str">
        <f t="shared" si="40"/>
        <v>Remanescente2/2019</v>
      </c>
      <c r="K297" s="43">
        <v>74676.42</v>
      </c>
      <c r="L297" s="43" t="s">
        <v>539</v>
      </c>
      <c r="M297" s="190">
        <v>0</v>
      </c>
      <c r="N297" s="494" t="str">
        <f t="shared" si="37"/>
        <v>VENDA</v>
      </c>
      <c r="O297" s="491" t="str">
        <f t="shared" si="38"/>
        <v>LONDRINA [ETAPA 04 - AREAS EXTERNAS G4 - G8]VENDA</v>
      </c>
      <c r="P297" s="492" t="str">
        <f t="shared" si="39"/>
        <v>VENDARemanescenteLONDRINA [ETAPA 04 - AREAS EXTERNAS G4 - G8]</v>
      </c>
      <c r="Q297" s="485"/>
    </row>
    <row r="298" spans="1:17">
      <c r="A298" s="61" t="str">
        <f t="shared" si="36"/>
        <v>LONDRINA [ETAPA 04 - AREAS EXTERNAS G4 - G8]XVII16</v>
      </c>
      <c r="B298" s="114" t="s">
        <v>612</v>
      </c>
      <c r="C298" s="42" t="s">
        <v>615</v>
      </c>
      <c r="D298" s="45">
        <v>16</v>
      </c>
      <c r="E298" s="64">
        <v>264.81</v>
      </c>
      <c r="F298" s="201"/>
      <c r="G298" s="41" t="s">
        <v>1063</v>
      </c>
      <c r="H298" s="208">
        <v>43710</v>
      </c>
      <c r="I298" s="259" t="str">
        <f t="shared" si="41"/>
        <v>LONDRINA [ETAPA 04 - AREAS EXTERNAS G4 - G8]9/2019</v>
      </c>
      <c r="J298" s="53" t="str">
        <f t="shared" si="40"/>
        <v>Remanescente9/2019</v>
      </c>
      <c r="K298" s="43">
        <v>73131.649999999994</v>
      </c>
      <c r="L298" s="43" t="s">
        <v>539</v>
      </c>
      <c r="M298" s="190">
        <v>0</v>
      </c>
      <c r="N298" s="494" t="str">
        <f t="shared" si="37"/>
        <v>VENDA</v>
      </c>
      <c r="O298" s="491" t="str">
        <f t="shared" si="38"/>
        <v>LONDRINA [ETAPA 04 - AREAS EXTERNAS G4 - G8]VENDA</v>
      </c>
      <c r="P298" s="492" t="str">
        <f t="shared" si="39"/>
        <v>VENDARemanescenteLONDRINA [ETAPA 04 - AREAS EXTERNAS G4 - G8]</v>
      </c>
      <c r="Q298" s="485"/>
    </row>
    <row r="299" spans="1:17">
      <c r="A299" s="61" t="str">
        <f t="shared" si="36"/>
        <v>LONDRINA [ETAPA 04 - AREAS EXTERNAS G4 - G8]XVII17</v>
      </c>
      <c r="B299" s="114" t="s">
        <v>612</v>
      </c>
      <c r="C299" s="42" t="s">
        <v>615</v>
      </c>
      <c r="D299" s="45">
        <v>17</v>
      </c>
      <c r="E299" s="64">
        <v>372.89</v>
      </c>
      <c r="F299" s="201"/>
      <c r="G299" s="41" t="s">
        <v>930</v>
      </c>
      <c r="H299" s="208">
        <v>43511</v>
      </c>
      <c r="I299" s="259" t="str">
        <f t="shared" si="41"/>
        <v>LONDRINA [ETAPA 04 - AREAS EXTERNAS G4 - G8]2/2019</v>
      </c>
      <c r="J299" s="53" t="str">
        <f t="shared" si="40"/>
        <v>Remanescente2/2019</v>
      </c>
      <c r="K299" s="43">
        <v>105154.98</v>
      </c>
      <c r="L299" s="43" t="s">
        <v>539</v>
      </c>
      <c r="M299" s="190">
        <v>0</v>
      </c>
      <c r="N299" s="494" t="str">
        <f t="shared" si="37"/>
        <v>VENDA</v>
      </c>
      <c r="O299" s="491" t="str">
        <f t="shared" si="38"/>
        <v>LONDRINA [ETAPA 04 - AREAS EXTERNAS G4 - G8]VENDA</v>
      </c>
      <c r="P299" s="492" t="str">
        <f t="shared" si="39"/>
        <v>VENDARemanescenteLONDRINA [ETAPA 04 - AREAS EXTERNAS G4 - G8]</v>
      </c>
      <c r="Q299" s="485"/>
    </row>
    <row r="300" spans="1:17">
      <c r="A300" s="61" t="str">
        <f t="shared" si="36"/>
        <v>LONDRINA [ETAPA 04 - CONDOMINIO ARAGUARI]L1</v>
      </c>
      <c r="B300" s="114" t="s">
        <v>878</v>
      </c>
      <c r="C300" s="42" t="s">
        <v>621</v>
      </c>
      <c r="D300" s="45">
        <v>1</v>
      </c>
      <c r="E300" s="64">
        <v>382.45</v>
      </c>
      <c r="F300" s="243">
        <v>4973</v>
      </c>
      <c r="G300" s="41" t="s">
        <v>1411</v>
      </c>
      <c r="H300" s="208">
        <v>44202</v>
      </c>
      <c r="I300" s="259" t="str">
        <f t="shared" si="41"/>
        <v>LONDRINA [ETAPA 04 - CONDOMINIO ARAGUARI]1/2021</v>
      </c>
      <c r="J300" s="53" t="str">
        <f t="shared" si="40"/>
        <v>Remanescente1/2021</v>
      </c>
      <c r="K300" s="43">
        <v>183300</v>
      </c>
      <c r="L300" s="43" t="s">
        <v>539</v>
      </c>
      <c r="M300" s="190">
        <v>0</v>
      </c>
      <c r="N300" s="494" t="str">
        <f t="shared" si="37"/>
        <v>VENDA</v>
      </c>
      <c r="O300" s="491" t="str">
        <f t="shared" si="38"/>
        <v>LONDRINA [ETAPA 04 - CONDOMINIO ARAGUARI]VENDA</v>
      </c>
      <c r="P300" s="492" t="str">
        <f t="shared" si="39"/>
        <v>VENDARemanescenteLONDRINA [ETAPA 04 - CONDOMINIO ARAGUARI]</v>
      </c>
      <c r="Q300" s="485"/>
    </row>
    <row r="301" spans="1:17">
      <c r="A301" s="61" t="str">
        <f t="shared" si="36"/>
        <v>LONDRINA [ETAPA 04 - CONDOMINIO ARAGUARI]L2</v>
      </c>
      <c r="B301" s="114" t="s">
        <v>878</v>
      </c>
      <c r="C301" s="42" t="s">
        <v>621</v>
      </c>
      <c r="D301" s="45">
        <v>2</v>
      </c>
      <c r="E301" s="64">
        <v>255.91</v>
      </c>
      <c r="F301" s="201"/>
      <c r="G301" s="41" t="s">
        <v>1053</v>
      </c>
      <c r="H301" s="208">
        <v>43691</v>
      </c>
      <c r="I301" s="259" t="str">
        <f t="shared" si="41"/>
        <v>LONDRINA [ETAPA 04 - CONDOMINIO ARAGUARI]8/2019</v>
      </c>
      <c r="J301" s="53" t="str">
        <f t="shared" si="40"/>
        <v>Remanescente8/2019</v>
      </c>
      <c r="K301" s="43">
        <v>101520</v>
      </c>
      <c r="L301" s="43" t="s">
        <v>539</v>
      </c>
      <c r="M301" s="190">
        <v>0</v>
      </c>
      <c r="N301" s="494" t="str">
        <f t="shared" si="37"/>
        <v>VENDA</v>
      </c>
      <c r="O301" s="491" t="str">
        <f t="shared" si="38"/>
        <v>LONDRINA [ETAPA 04 - CONDOMINIO ARAGUARI]VENDA</v>
      </c>
      <c r="P301" s="492" t="str">
        <f t="shared" si="39"/>
        <v>VENDARemanescenteLONDRINA [ETAPA 04 - CONDOMINIO ARAGUARI]</v>
      </c>
      <c r="Q301" s="485"/>
    </row>
    <row r="302" spans="1:17">
      <c r="A302" s="61" t="str">
        <f t="shared" si="36"/>
        <v>LONDRINA [ETAPA 04 - CONDOMINIO ARAGUARI]L3</v>
      </c>
      <c r="B302" s="114" t="s">
        <v>878</v>
      </c>
      <c r="C302" s="42" t="s">
        <v>621</v>
      </c>
      <c r="D302" s="45">
        <v>3</v>
      </c>
      <c r="E302" s="64">
        <v>252.96</v>
      </c>
      <c r="F302" s="243">
        <v>4213</v>
      </c>
      <c r="G302" s="41" t="s">
        <v>1169</v>
      </c>
      <c r="H302" s="208">
        <v>43992</v>
      </c>
      <c r="I302" s="259" t="str">
        <f t="shared" si="41"/>
        <v>LONDRINA [ETAPA 04 - CONDOMINIO ARAGUARI]6/2020</v>
      </c>
      <c r="J302" s="53" t="str">
        <f t="shared" si="40"/>
        <v>Remanescente6/2020</v>
      </c>
      <c r="K302" s="43">
        <v>101520</v>
      </c>
      <c r="L302" s="43" t="s">
        <v>539</v>
      </c>
      <c r="M302" s="190">
        <v>0</v>
      </c>
      <c r="N302" s="494" t="str">
        <f t="shared" si="37"/>
        <v>VENDA</v>
      </c>
      <c r="O302" s="491" t="str">
        <f t="shared" si="38"/>
        <v>LONDRINA [ETAPA 04 - CONDOMINIO ARAGUARI]VENDA</v>
      </c>
      <c r="P302" s="492" t="str">
        <f t="shared" si="39"/>
        <v>VENDARemanescenteLONDRINA [ETAPA 04 - CONDOMINIO ARAGUARI]</v>
      </c>
      <c r="Q302" s="485"/>
    </row>
    <row r="303" spans="1:17">
      <c r="A303" s="61" t="str">
        <f t="shared" si="36"/>
        <v>LONDRINA [ETAPA 04 - CONDOMINIO ARAGUARI]L4</v>
      </c>
      <c r="B303" s="114" t="s">
        <v>878</v>
      </c>
      <c r="C303" s="42" t="s">
        <v>621</v>
      </c>
      <c r="D303" s="45">
        <v>4</v>
      </c>
      <c r="E303" s="64">
        <v>266.76</v>
      </c>
      <c r="F303" s="243">
        <v>3110</v>
      </c>
      <c r="G303" s="41" t="s">
        <v>1072</v>
      </c>
      <c r="H303" s="208">
        <v>43741</v>
      </c>
      <c r="I303" s="259" t="str">
        <f t="shared" si="41"/>
        <v>LONDRINA [ETAPA 04 - CONDOMINIO ARAGUARI]10/2019</v>
      </c>
      <c r="J303" s="53" t="str">
        <f t="shared" si="40"/>
        <v>Remanescente10/2019</v>
      </c>
      <c r="K303" s="43">
        <v>99640.8</v>
      </c>
      <c r="L303" s="43" t="s">
        <v>539</v>
      </c>
      <c r="M303" s="190">
        <v>0</v>
      </c>
      <c r="N303" s="494" t="str">
        <f t="shared" si="37"/>
        <v>VENDA</v>
      </c>
      <c r="O303" s="491" t="str">
        <f t="shared" si="38"/>
        <v>LONDRINA [ETAPA 04 - CONDOMINIO ARAGUARI]VENDA</v>
      </c>
      <c r="P303" s="492" t="str">
        <f t="shared" si="39"/>
        <v>VENDARemanescenteLONDRINA [ETAPA 04 - CONDOMINIO ARAGUARI]</v>
      </c>
      <c r="Q303" s="485"/>
    </row>
    <row r="304" spans="1:17">
      <c r="A304" s="61" t="str">
        <f t="shared" si="36"/>
        <v>LONDRINA [ETAPA 04 - CONDOMINIO ARAGUARI]L5</v>
      </c>
      <c r="B304" s="114" t="s">
        <v>878</v>
      </c>
      <c r="C304" s="42" t="s">
        <v>621</v>
      </c>
      <c r="D304" s="45">
        <v>5</v>
      </c>
      <c r="E304" s="64">
        <v>266.76</v>
      </c>
      <c r="F304" s="201"/>
      <c r="G304" s="41" t="s">
        <v>1138</v>
      </c>
      <c r="H304" s="208">
        <v>43864</v>
      </c>
      <c r="I304" s="259" t="str">
        <f t="shared" si="41"/>
        <v>LONDRINA [ETAPA 04 - CONDOMINIO ARAGUARI]2/2020</v>
      </c>
      <c r="J304" s="53" t="str">
        <f t="shared" si="40"/>
        <v>Remanescente2/2020</v>
      </c>
      <c r="K304" s="43">
        <v>101519.4</v>
      </c>
      <c r="L304" s="43" t="s">
        <v>539</v>
      </c>
      <c r="M304" s="190">
        <v>0</v>
      </c>
      <c r="N304" s="494" t="str">
        <f t="shared" si="37"/>
        <v>VENDA</v>
      </c>
      <c r="O304" s="491" t="str">
        <f t="shared" si="38"/>
        <v>LONDRINA [ETAPA 04 - CONDOMINIO ARAGUARI]VENDA</v>
      </c>
      <c r="P304" s="492" t="str">
        <f t="shared" si="39"/>
        <v>VENDARemanescenteLONDRINA [ETAPA 04 - CONDOMINIO ARAGUARI]</v>
      </c>
      <c r="Q304" s="485"/>
    </row>
    <row r="305" spans="1:17">
      <c r="A305" s="61" t="str">
        <f t="shared" si="36"/>
        <v>LONDRINA [ETAPA 04 - CONDOMINIO ARAGUARI]L6</v>
      </c>
      <c r="B305" s="114" t="s">
        <v>878</v>
      </c>
      <c r="C305" s="42" t="s">
        <v>621</v>
      </c>
      <c r="D305" s="45">
        <v>6</v>
      </c>
      <c r="E305" s="64">
        <v>266.76</v>
      </c>
      <c r="F305" s="243">
        <v>3818</v>
      </c>
      <c r="G305" s="41" t="s">
        <v>1147</v>
      </c>
      <c r="H305" s="208">
        <v>43907</v>
      </c>
      <c r="I305" s="259" t="str">
        <f t="shared" si="41"/>
        <v>LONDRINA [ETAPA 04 - CONDOMINIO ARAGUARI]3/2020</v>
      </c>
      <c r="J305" s="53" t="str">
        <f t="shared" si="40"/>
        <v>Remanescente3/2020</v>
      </c>
      <c r="K305" s="43">
        <v>101520</v>
      </c>
      <c r="L305" s="43" t="s">
        <v>539</v>
      </c>
      <c r="M305" s="190">
        <v>0</v>
      </c>
      <c r="N305" s="494" t="str">
        <f t="shared" si="37"/>
        <v>VENDA</v>
      </c>
      <c r="O305" s="491" t="str">
        <f t="shared" si="38"/>
        <v>LONDRINA [ETAPA 04 - CONDOMINIO ARAGUARI]VENDA</v>
      </c>
      <c r="P305" s="492" t="str">
        <f t="shared" si="39"/>
        <v>VENDARemanescenteLONDRINA [ETAPA 04 - CONDOMINIO ARAGUARI]</v>
      </c>
      <c r="Q305" s="485"/>
    </row>
    <row r="306" spans="1:17">
      <c r="A306" s="61" t="str">
        <f t="shared" si="36"/>
        <v>LONDRINA [ETAPA 04 - CONDOMINIO ARAGUARI]L7</v>
      </c>
      <c r="B306" s="114" t="s">
        <v>878</v>
      </c>
      <c r="C306" s="42" t="s">
        <v>621</v>
      </c>
      <c r="D306" s="45">
        <v>7</v>
      </c>
      <c r="E306" s="64">
        <v>266.76</v>
      </c>
      <c r="F306" s="201"/>
      <c r="G306" s="41" t="s">
        <v>1108</v>
      </c>
      <c r="H306" s="208">
        <v>43773</v>
      </c>
      <c r="I306" s="259" t="str">
        <f t="shared" si="41"/>
        <v>LONDRINA [ETAPA 04 - CONDOMINIO ARAGUARI]11/2019</v>
      </c>
      <c r="J306" s="53" t="str">
        <f t="shared" si="40"/>
        <v>Remanescente11/2019</v>
      </c>
      <c r="K306" s="43">
        <v>101520</v>
      </c>
      <c r="L306" s="43" t="s">
        <v>539</v>
      </c>
      <c r="M306" s="190">
        <v>0</v>
      </c>
      <c r="N306" s="494" t="str">
        <f t="shared" si="37"/>
        <v>VENDA</v>
      </c>
      <c r="O306" s="491" t="str">
        <f t="shared" si="38"/>
        <v>LONDRINA [ETAPA 04 - CONDOMINIO ARAGUARI]VENDA</v>
      </c>
      <c r="P306" s="492" t="str">
        <f t="shared" si="39"/>
        <v>VENDARemanescenteLONDRINA [ETAPA 04 - CONDOMINIO ARAGUARI]</v>
      </c>
      <c r="Q306" s="485"/>
    </row>
    <row r="307" spans="1:17">
      <c r="A307" s="61" t="str">
        <f t="shared" si="36"/>
        <v>LONDRINA [ETAPA 04 - CONDOMINIO ARAGUARI]L8</v>
      </c>
      <c r="B307" s="114" t="s">
        <v>878</v>
      </c>
      <c r="C307" s="42" t="s">
        <v>621</v>
      </c>
      <c r="D307" s="45">
        <v>8</v>
      </c>
      <c r="E307" s="64">
        <v>266.76</v>
      </c>
      <c r="F307" s="201"/>
      <c r="G307" s="41" t="s">
        <v>1064</v>
      </c>
      <c r="H307" s="208">
        <v>43735</v>
      </c>
      <c r="I307" s="259" t="str">
        <f t="shared" si="41"/>
        <v>LONDRINA [ETAPA 04 - CONDOMINIO ARAGUARI]9/2019</v>
      </c>
      <c r="J307" s="53" t="str">
        <f t="shared" si="40"/>
        <v>Remanescente9/2019</v>
      </c>
      <c r="K307" s="43">
        <v>101520</v>
      </c>
      <c r="L307" s="43" t="s">
        <v>539</v>
      </c>
      <c r="M307" s="190">
        <v>0</v>
      </c>
      <c r="N307" s="494" t="str">
        <f t="shared" si="37"/>
        <v>VENDA</v>
      </c>
      <c r="O307" s="491" t="str">
        <f t="shared" si="38"/>
        <v>LONDRINA [ETAPA 04 - CONDOMINIO ARAGUARI]VENDA</v>
      </c>
      <c r="P307" s="492" t="str">
        <f t="shared" si="39"/>
        <v>VENDARemanescenteLONDRINA [ETAPA 04 - CONDOMINIO ARAGUARI]</v>
      </c>
      <c r="Q307" s="485"/>
    </row>
    <row r="308" spans="1:17">
      <c r="A308" s="61" t="str">
        <f t="shared" si="36"/>
        <v>LONDRINA [ETAPA 04 - CONDOMINIO ARAGUARI]L9</v>
      </c>
      <c r="B308" s="114" t="s">
        <v>878</v>
      </c>
      <c r="C308" s="42" t="s">
        <v>621</v>
      </c>
      <c r="D308" s="45">
        <v>9</v>
      </c>
      <c r="E308" s="64">
        <v>266.76</v>
      </c>
      <c r="F308" s="243">
        <v>4186</v>
      </c>
      <c r="G308" s="41" t="s">
        <v>1170</v>
      </c>
      <c r="H308" s="208">
        <v>43997</v>
      </c>
      <c r="I308" s="259" t="str">
        <f t="shared" si="41"/>
        <v>LONDRINA [ETAPA 04 - CONDOMINIO ARAGUARI]6/2020</v>
      </c>
      <c r="J308" s="53" t="str">
        <f t="shared" si="40"/>
        <v>Remanescente6/2020</v>
      </c>
      <c r="K308" s="43">
        <v>101520</v>
      </c>
      <c r="L308" s="43" t="s">
        <v>539</v>
      </c>
      <c r="M308" s="190">
        <v>0</v>
      </c>
      <c r="N308" s="494" t="str">
        <f t="shared" si="37"/>
        <v>VENDA</v>
      </c>
      <c r="O308" s="491" t="str">
        <f t="shared" si="38"/>
        <v>LONDRINA [ETAPA 04 - CONDOMINIO ARAGUARI]VENDA</v>
      </c>
      <c r="P308" s="492" t="str">
        <f t="shared" si="39"/>
        <v>VENDARemanescenteLONDRINA [ETAPA 04 - CONDOMINIO ARAGUARI]</v>
      </c>
      <c r="Q308" s="485"/>
    </row>
    <row r="309" spans="1:17">
      <c r="A309" s="61" t="str">
        <f t="shared" si="36"/>
        <v>LONDRINA [ETAPA 04 - CONDOMINIO ARAGUARI]L10</v>
      </c>
      <c r="B309" s="114" t="s">
        <v>878</v>
      </c>
      <c r="C309" s="42" t="s">
        <v>621</v>
      </c>
      <c r="D309" s="45">
        <v>10</v>
      </c>
      <c r="E309" s="64">
        <v>266.76</v>
      </c>
      <c r="F309" s="201"/>
      <c r="G309" s="41" t="s">
        <v>1115</v>
      </c>
      <c r="H309" s="208">
        <v>43815</v>
      </c>
      <c r="I309" s="259" t="str">
        <f t="shared" si="41"/>
        <v>LONDRINA [ETAPA 04 - CONDOMINIO ARAGUARI]12/2019</v>
      </c>
      <c r="J309" s="53" t="str">
        <f t="shared" si="40"/>
        <v>Remanescente12/2019</v>
      </c>
      <c r="K309" s="43">
        <v>92120</v>
      </c>
      <c r="L309" s="43" t="s">
        <v>539</v>
      </c>
      <c r="M309" s="190"/>
      <c r="N309" s="494" t="str">
        <f t="shared" si="37"/>
        <v>VENDA</v>
      </c>
      <c r="O309" s="491" t="str">
        <f t="shared" si="38"/>
        <v>LONDRINA [ETAPA 04 - CONDOMINIO ARAGUARI]VENDA</v>
      </c>
      <c r="P309" s="492" t="str">
        <f t="shared" si="39"/>
        <v>VENDARemanescenteLONDRINA [ETAPA 04 - CONDOMINIO ARAGUARI]</v>
      </c>
      <c r="Q309" s="485"/>
    </row>
    <row r="310" spans="1:17">
      <c r="A310" s="61" t="str">
        <f t="shared" si="36"/>
        <v>LONDRINA [ETAPA 04 - CONDOMINIO ARAGUARI]L11</v>
      </c>
      <c r="B310" s="114" t="s">
        <v>878</v>
      </c>
      <c r="C310" s="42" t="s">
        <v>621</v>
      </c>
      <c r="D310" s="45">
        <v>11</v>
      </c>
      <c r="E310" s="64">
        <v>266.76</v>
      </c>
      <c r="F310" s="243">
        <v>4678</v>
      </c>
      <c r="G310" s="41" t="s">
        <v>1259</v>
      </c>
      <c r="H310" s="208">
        <v>44057</v>
      </c>
      <c r="I310" s="259" t="str">
        <f t="shared" si="41"/>
        <v>LONDRINA [ETAPA 04 - CONDOMINIO ARAGUARI]8/2020</v>
      </c>
      <c r="J310" s="53" t="str">
        <f t="shared" si="40"/>
        <v>Remanescente8/2020</v>
      </c>
      <c r="K310" s="43">
        <v>108100</v>
      </c>
      <c r="L310" s="43" t="s">
        <v>539</v>
      </c>
      <c r="M310" s="190">
        <v>0</v>
      </c>
      <c r="N310" s="494" t="str">
        <f t="shared" si="37"/>
        <v>VENDA</v>
      </c>
      <c r="O310" s="491" t="str">
        <f t="shared" si="38"/>
        <v>LONDRINA [ETAPA 04 - CONDOMINIO ARAGUARI]VENDA</v>
      </c>
      <c r="P310" s="492" t="str">
        <f t="shared" si="39"/>
        <v>VENDARemanescenteLONDRINA [ETAPA 04 - CONDOMINIO ARAGUARI]</v>
      </c>
      <c r="Q310" s="485"/>
    </row>
    <row r="311" spans="1:17">
      <c r="A311" s="61" t="str">
        <f t="shared" si="36"/>
        <v>LONDRINA [ETAPA 04 - CONDOMINIO ARAGUARI]L12</v>
      </c>
      <c r="B311" s="114" t="s">
        <v>878</v>
      </c>
      <c r="C311" s="42" t="s">
        <v>621</v>
      </c>
      <c r="D311" s="45">
        <v>12</v>
      </c>
      <c r="E311" s="64">
        <v>266.76</v>
      </c>
      <c r="F311" s="243">
        <v>4395</v>
      </c>
      <c r="G311" s="41" t="s">
        <v>1235</v>
      </c>
      <c r="H311" s="208">
        <v>44017</v>
      </c>
      <c r="I311" s="259" t="str">
        <f t="shared" si="41"/>
        <v>LONDRINA [ETAPA 04 - CONDOMINIO ARAGUARI]7/2020</v>
      </c>
      <c r="J311" s="53" t="str">
        <f t="shared" si="40"/>
        <v>Remanescente7/2020</v>
      </c>
      <c r="K311" s="43">
        <v>101520.1</v>
      </c>
      <c r="L311" s="43" t="s">
        <v>539</v>
      </c>
      <c r="M311" s="190">
        <v>0</v>
      </c>
      <c r="N311" s="494" t="str">
        <f t="shared" si="37"/>
        <v>VENDA</v>
      </c>
      <c r="O311" s="491" t="str">
        <f t="shared" si="38"/>
        <v>LONDRINA [ETAPA 04 - CONDOMINIO ARAGUARI]VENDA</v>
      </c>
      <c r="P311" s="492" t="str">
        <f t="shared" si="39"/>
        <v>VENDARemanescenteLONDRINA [ETAPA 04 - CONDOMINIO ARAGUARI]</v>
      </c>
      <c r="Q311" s="485"/>
    </row>
    <row r="312" spans="1:17">
      <c r="A312" s="61" t="str">
        <f t="shared" si="36"/>
        <v>LONDRINA [ETAPA 04 - CONDOMINIO ARAGUARI]L13</v>
      </c>
      <c r="B312" s="114" t="s">
        <v>878</v>
      </c>
      <c r="C312" s="42" t="s">
        <v>621</v>
      </c>
      <c r="D312" s="45">
        <v>13</v>
      </c>
      <c r="E312" s="64">
        <v>266.76</v>
      </c>
      <c r="F312" s="243">
        <v>4313</v>
      </c>
      <c r="G312" s="41" t="s">
        <v>1165</v>
      </c>
      <c r="H312" s="208">
        <v>44001</v>
      </c>
      <c r="I312" s="259" t="str">
        <f t="shared" si="41"/>
        <v>LONDRINA [ETAPA 04 - CONDOMINIO ARAGUARI]6/2020</v>
      </c>
      <c r="J312" s="53" t="str">
        <f t="shared" si="40"/>
        <v>Remanescente6/2020</v>
      </c>
      <c r="K312" s="43">
        <v>99640</v>
      </c>
      <c r="L312" s="43" t="s">
        <v>539</v>
      </c>
      <c r="M312" s="190">
        <v>0</v>
      </c>
      <c r="N312" s="494" t="str">
        <f t="shared" si="37"/>
        <v>VENDA</v>
      </c>
      <c r="O312" s="491" t="str">
        <f t="shared" si="38"/>
        <v>LONDRINA [ETAPA 04 - CONDOMINIO ARAGUARI]VENDA</v>
      </c>
      <c r="P312" s="492" t="str">
        <f t="shared" si="39"/>
        <v>VENDARemanescenteLONDRINA [ETAPA 04 - CONDOMINIO ARAGUARI]</v>
      </c>
      <c r="Q312" s="485"/>
    </row>
    <row r="313" spans="1:17">
      <c r="A313" s="61" t="str">
        <f t="shared" si="36"/>
        <v>LONDRINA [ETAPA 04 - CONDOMINIO ARAGUARI]L14</v>
      </c>
      <c r="B313" s="114" t="s">
        <v>878</v>
      </c>
      <c r="C313" s="42" t="s">
        <v>621</v>
      </c>
      <c r="D313" s="45">
        <v>14</v>
      </c>
      <c r="E313" s="64">
        <v>266.76</v>
      </c>
      <c r="F313" s="243">
        <v>4312</v>
      </c>
      <c r="G313" s="41" t="s">
        <v>1164</v>
      </c>
      <c r="H313" s="208">
        <v>44001</v>
      </c>
      <c r="I313" s="259" t="str">
        <f t="shared" si="41"/>
        <v>LONDRINA [ETAPA 04 - CONDOMINIO ARAGUARI]6/2020</v>
      </c>
      <c r="J313" s="53" t="str">
        <f t="shared" si="40"/>
        <v>Remanescente6/2020</v>
      </c>
      <c r="K313" s="43">
        <v>99640</v>
      </c>
      <c r="L313" s="43" t="s">
        <v>539</v>
      </c>
      <c r="M313" s="190">
        <v>0</v>
      </c>
      <c r="N313" s="494" t="str">
        <f t="shared" si="37"/>
        <v>VENDA</v>
      </c>
      <c r="O313" s="491" t="str">
        <f t="shared" si="38"/>
        <v>LONDRINA [ETAPA 04 - CONDOMINIO ARAGUARI]VENDA</v>
      </c>
      <c r="P313" s="492" t="str">
        <f t="shared" si="39"/>
        <v>VENDARemanescenteLONDRINA [ETAPA 04 - CONDOMINIO ARAGUARI]</v>
      </c>
      <c r="Q313" s="485"/>
    </row>
    <row r="314" spans="1:17">
      <c r="A314" s="61" t="str">
        <f t="shared" si="36"/>
        <v>LONDRINA [ETAPA 04 - CONDOMINIO ARAGUARI]L15</v>
      </c>
      <c r="B314" s="114" t="s">
        <v>878</v>
      </c>
      <c r="C314" s="42" t="s">
        <v>621</v>
      </c>
      <c r="D314" s="45">
        <v>15</v>
      </c>
      <c r="E314" s="64">
        <v>266.76</v>
      </c>
      <c r="F314" s="243">
        <v>4166</v>
      </c>
      <c r="G314" s="41" t="s">
        <v>1171</v>
      </c>
      <c r="H314" s="208">
        <v>43992</v>
      </c>
      <c r="I314" s="259" t="str">
        <f t="shared" si="41"/>
        <v>LONDRINA [ETAPA 04 - CONDOMINIO ARAGUARI]6/2020</v>
      </c>
      <c r="J314" s="53" t="str">
        <f t="shared" si="40"/>
        <v>Remanescente6/2020</v>
      </c>
      <c r="K314" s="43">
        <v>101520</v>
      </c>
      <c r="L314" s="43" t="s">
        <v>539</v>
      </c>
      <c r="M314" s="190">
        <v>0</v>
      </c>
      <c r="N314" s="494" t="str">
        <f t="shared" si="37"/>
        <v>VENDA</v>
      </c>
      <c r="O314" s="491" t="str">
        <f t="shared" si="38"/>
        <v>LONDRINA [ETAPA 04 - CONDOMINIO ARAGUARI]VENDA</v>
      </c>
      <c r="P314" s="492" t="str">
        <f t="shared" si="39"/>
        <v>VENDARemanescenteLONDRINA [ETAPA 04 - CONDOMINIO ARAGUARI]</v>
      </c>
      <c r="Q314" s="485"/>
    </row>
    <row r="315" spans="1:17">
      <c r="A315" s="61" t="str">
        <f t="shared" si="36"/>
        <v>LONDRINA [ETAPA 04 - CONDOMINIO ARAGUARI]L16</v>
      </c>
      <c r="B315" s="114" t="s">
        <v>878</v>
      </c>
      <c r="C315" s="42" t="s">
        <v>621</v>
      </c>
      <c r="D315" s="45">
        <v>16</v>
      </c>
      <c r="E315" s="64">
        <v>361.11</v>
      </c>
      <c r="F315" s="243"/>
      <c r="G315" s="41"/>
      <c r="H315" s="208"/>
      <c r="I315" s="259" t="str">
        <f t="shared" si="41"/>
        <v>LONDRINA [ETAPA 04 - CONDOMINIO ARAGUARI]1/1900</v>
      </c>
      <c r="J315" s="53" t="str">
        <f t="shared" si="40"/>
        <v>Remanescente1/1900</v>
      </c>
      <c r="K315" s="43"/>
      <c r="L315" s="43" t="s">
        <v>539</v>
      </c>
      <c r="M315" s="43">
        <v>175109.63</v>
      </c>
      <c r="N315" s="494" t="str">
        <f t="shared" si="37"/>
        <v>VGV</v>
      </c>
      <c r="O315" s="491" t="str">
        <f t="shared" si="38"/>
        <v>LONDRINA [ETAPA 04 - CONDOMINIO ARAGUARI]VGV</v>
      </c>
      <c r="P315" s="492" t="str">
        <f t="shared" si="39"/>
        <v>VGVRemanescenteLONDRINA [ETAPA 04 - CONDOMINIO ARAGUARI]</v>
      </c>
      <c r="Q315" s="485"/>
    </row>
    <row r="316" spans="1:17">
      <c r="A316" s="61" t="str">
        <f t="shared" si="36"/>
        <v>LONDRINA [ETAPA 04 - CONDOMINIO ARAGUARI]LI1</v>
      </c>
      <c r="B316" s="114" t="s">
        <v>878</v>
      </c>
      <c r="C316" s="42" t="s">
        <v>622</v>
      </c>
      <c r="D316" s="45">
        <v>1</v>
      </c>
      <c r="E316" s="64">
        <v>396.16</v>
      </c>
      <c r="F316" s="201">
        <v>5073</v>
      </c>
      <c r="G316" s="41" t="s">
        <v>1491</v>
      </c>
      <c r="H316" s="208">
        <v>44256</v>
      </c>
      <c r="I316" s="259" t="str">
        <f t="shared" si="41"/>
        <v>LONDRINA [ETAPA 04 - CONDOMINIO ARAGUARI]3/2021</v>
      </c>
      <c r="J316" s="53" t="str">
        <f t="shared" si="40"/>
        <v>Remanescente3/2021</v>
      </c>
      <c r="K316" s="43">
        <v>218660.73</v>
      </c>
      <c r="L316" s="43" t="s">
        <v>539</v>
      </c>
      <c r="M316" s="316">
        <v>0</v>
      </c>
      <c r="N316" s="494" t="str">
        <f t="shared" si="37"/>
        <v>VENDA</v>
      </c>
      <c r="O316" s="491" t="str">
        <f t="shared" si="38"/>
        <v>LONDRINA [ETAPA 04 - CONDOMINIO ARAGUARI]VENDA</v>
      </c>
      <c r="P316" s="492" t="str">
        <f t="shared" si="39"/>
        <v>VENDARemanescenteLONDRINA [ETAPA 04 - CONDOMINIO ARAGUARI]</v>
      </c>
      <c r="Q316" s="485"/>
    </row>
    <row r="317" spans="1:17">
      <c r="A317" s="61" t="str">
        <f t="shared" si="36"/>
        <v>LONDRINA [ETAPA 04 - CONDOMINIO ARAGUARI]LI2</v>
      </c>
      <c r="B317" s="114" t="s">
        <v>878</v>
      </c>
      <c r="C317" s="42" t="s">
        <v>622</v>
      </c>
      <c r="D317" s="45">
        <v>2</v>
      </c>
      <c r="E317" s="64">
        <v>281.16000000000003</v>
      </c>
      <c r="F317" s="201"/>
      <c r="G317" s="41"/>
      <c r="H317" s="208"/>
      <c r="I317" s="259" t="str">
        <f t="shared" si="41"/>
        <v>LONDRINA [ETAPA 04 - CONDOMINIO ARAGUARI]1/1900</v>
      </c>
      <c r="J317" s="53" t="str">
        <f t="shared" si="40"/>
        <v>Remanescente1/1900</v>
      </c>
      <c r="K317" s="187"/>
      <c r="L317" s="43" t="s">
        <v>539</v>
      </c>
      <c r="M317" s="316">
        <v>186945.02719200001</v>
      </c>
      <c r="N317" s="494" t="str">
        <f t="shared" si="37"/>
        <v>VGV</v>
      </c>
      <c r="O317" s="491" t="str">
        <f t="shared" si="38"/>
        <v>LONDRINA [ETAPA 04 - CONDOMINIO ARAGUARI]VGV</v>
      </c>
      <c r="P317" s="492" t="str">
        <f t="shared" si="39"/>
        <v>VGVRemanescenteLONDRINA [ETAPA 04 - CONDOMINIO ARAGUARI]</v>
      </c>
      <c r="Q317" s="485"/>
    </row>
    <row r="318" spans="1:17">
      <c r="A318" s="61" t="str">
        <f t="shared" si="36"/>
        <v>LONDRINA [ETAPA 04 - CONDOMINIO ARAGUARI]LI3</v>
      </c>
      <c r="B318" s="114" t="s">
        <v>878</v>
      </c>
      <c r="C318" s="42" t="s">
        <v>622</v>
      </c>
      <c r="D318" s="45">
        <v>3</v>
      </c>
      <c r="E318" s="64">
        <v>281.16000000000003</v>
      </c>
      <c r="F318" s="201"/>
      <c r="G318" s="41"/>
      <c r="H318" s="208"/>
      <c r="I318" s="259" t="str">
        <f t="shared" si="41"/>
        <v>LONDRINA [ETAPA 04 - CONDOMINIO ARAGUARI]1/1900</v>
      </c>
      <c r="J318" s="53" t="str">
        <f t="shared" si="40"/>
        <v>Remanescente1/1900</v>
      </c>
      <c r="K318" s="43"/>
      <c r="L318" s="43" t="s">
        <v>539</v>
      </c>
      <c r="M318" s="316">
        <v>186945.02719200001</v>
      </c>
      <c r="N318" s="494" t="str">
        <f t="shared" si="37"/>
        <v>VGV</v>
      </c>
      <c r="O318" s="491" t="str">
        <f t="shared" si="38"/>
        <v>LONDRINA [ETAPA 04 - CONDOMINIO ARAGUARI]VGV</v>
      </c>
      <c r="P318" s="492" t="str">
        <f t="shared" si="39"/>
        <v>VGVRemanescenteLONDRINA [ETAPA 04 - CONDOMINIO ARAGUARI]</v>
      </c>
      <c r="Q318" s="485"/>
    </row>
    <row r="319" spans="1:17">
      <c r="A319" s="61" t="str">
        <f t="shared" si="36"/>
        <v>LONDRINA [ETAPA 04 - CONDOMINIO ARAGUARI]LI4</v>
      </c>
      <c r="B319" s="114" t="s">
        <v>878</v>
      </c>
      <c r="C319" s="42" t="s">
        <v>622</v>
      </c>
      <c r="D319" s="45">
        <v>4</v>
      </c>
      <c r="E319" s="64">
        <v>281.16000000000003</v>
      </c>
      <c r="F319" s="201"/>
      <c r="G319" s="41"/>
      <c r="H319" s="208"/>
      <c r="I319" s="259" t="str">
        <f t="shared" si="41"/>
        <v>LONDRINA [ETAPA 04 - CONDOMINIO ARAGUARI]1/1900</v>
      </c>
      <c r="J319" s="53" t="str">
        <f t="shared" si="40"/>
        <v>Remanescente1/1900</v>
      </c>
      <c r="K319" s="43"/>
      <c r="L319" s="43" t="s">
        <v>539</v>
      </c>
      <c r="M319" s="316">
        <v>186945.02719200001</v>
      </c>
      <c r="N319" s="494" t="str">
        <f t="shared" si="37"/>
        <v>VGV</v>
      </c>
      <c r="O319" s="491" t="str">
        <f t="shared" si="38"/>
        <v>LONDRINA [ETAPA 04 - CONDOMINIO ARAGUARI]VGV</v>
      </c>
      <c r="P319" s="492" t="str">
        <f t="shared" si="39"/>
        <v>VGVRemanescenteLONDRINA [ETAPA 04 - CONDOMINIO ARAGUARI]</v>
      </c>
      <c r="Q319" s="485"/>
    </row>
    <row r="320" spans="1:17">
      <c r="A320" s="61" t="str">
        <f t="shared" si="36"/>
        <v>LONDRINA [ETAPA 04 - CONDOMINIO ARAGUARI]LI5</v>
      </c>
      <c r="B320" s="114" t="s">
        <v>878</v>
      </c>
      <c r="C320" s="42" t="s">
        <v>622</v>
      </c>
      <c r="D320" s="45">
        <v>5</v>
      </c>
      <c r="E320" s="64">
        <v>281.16000000000003</v>
      </c>
      <c r="F320" s="201"/>
      <c r="G320" s="41"/>
      <c r="H320" s="208"/>
      <c r="I320" s="259" t="str">
        <f t="shared" si="41"/>
        <v>LONDRINA [ETAPA 04 - CONDOMINIO ARAGUARI]1/1900</v>
      </c>
      <c r="J320" s="53" t="str">
        <f t="shared" si="40"/>
        <v>Remanescente1/1900</v>
      </c>
      <c r="K320" s="43"/>
      <c r="L320" s="43" t="s">
        <v>539</v>
      </c>
      <c r="M320" s="316">
        <v>186945.02719200001</v>
      </c>
      <c r="N320" s="494" t="str">
        <f t="shared" si="37"/>
        <v>VGV</v>
      </c>
      <c r="O320" s="491" t="str">
        <f t="shared" si="38"/>
        <v>LONDRINA [ETAPA 04 - CONDOMINIO ARAGUARI]VGV</v>
      </c>
      <c r="P320" s="492" t="str">
        <f t="shared" si="39"/>
        <v>VGVRemanescenteLONDRINA [ETAPA 04 - CONDOMINIO ARAGUARI]</v>
      </c>
      <c r="Q320" s="485"/>
    </row>
    <row r="321" spans="1:17">
      <c r="A321" s="61" t="str">
        <f t="shared" si="36"/>
        <v>LONDRINA [ETAPA 04 - CONDOMINIO ARAGUARI]LI6</v>
      </c>
      <c r="B321" s="114" t="s">
        <v>878</v>
      </c>
      <c r="C321" s="42" t="s">
        <v>622</v>
      </c>
      <c r="D321" s="45">
        <v>6</v>
      </c>
      <c r="E321" s="64">
        <v>281.16000000000003</v>
      </c>
      <c r="F321" s="201"/>
      <c r="G321" s="41"/>
      <c r="H321" s="208"/>
      <c r="I321" s="259" t="str">
        <f t="shared" si="41"/>
        <v>LONDRINA [ETAPA 04 - CONDOMINIO ARAGUARI]1/1900</v>
      </c>
      <c r="J321" s="53" t="str">
        <f t="shared" si="40"/>
        <v>Remanescente1/1900</v>
      </c>
      <c r="K321" s="43"/>
      <c r="L321" s="43" t="s">
        <v>539</v>
      </c>
      <c r="M321" s="316">
        <v>186945.02719200001</v>
      </c>
      <c r="N321" s="494" t="str">
        <f t="shared" si="37"/>
        <v>VGV</v>
      </c>
      <c r="O321" s="491" t="str">
        <f t="shared" si="38"/>
        <v>LONDRINA [ETAPA 04 - CONDOMINIO ARAGUARI]VGV</v>
      </c>
      <c r="P321" s="492" t="str">
        <f t="shared" si="39"/>
        <v>VGVRemanescenteLONDRINA [ETAPA 04 - CONDOMINIO ARAGUARI]</v>
      </c>
      <c r="Q321" s="485"/>
    </row>
    <row r="322" spans="1:17">
      <c r="A322" s="61" t="str">
        <f t="shared" si="36"/>
        <v>LONDRINA [ETAPA 04 - CONDOMINIO ARAGUARI]LI7</v>
      </c>
      <c r="B322" s="114" t="s">
        <v>878</v>
      </c>
      <c r="C322" s="42" t="s">
        <v>622</v>
      </c>
      <c r="D322" s="45">
        <v>7</v>
      </c>
      <c r="E322" s="64">
        <v>281.16000000000003</v>
      </c>
      <c r="F322" s="201"/>
      <c r="G322" s="41"/>
      <c r="H322" s="208"/>
      <c r="I322" s="259" t="str">
        <f t="shared" si="41"/>
        <v>LONDRINA [ETAPA 04 - CONDOMINIO ARAGUARI]1/1900</v>
      </c>
      <c r="J322" s="53" t="str">
        <f t="shared" si="40"/>
        <v>Remanescente1/1900</v>
      </c>
      <c r="K322" s="43"/>
      <c r="L322" s="43" t="s">
        <v>539</v>
      </c>
      <c r="M322" s="316">
        <v>186945.02719200001</v>
      </c>
      <c r="N322" s="494" t="str">
        <f t="shared" si="37"/>
        <v>VGV</v>
      </c>
      <c r="O322" s="491" t="str">
        <f t="shared" si="38"/>
        <v>LONDRINA [ETAPA 04 - CONDOMINIO ARAGUARI]VGV</v>
      </c>
      <c r="P322" s="492" t="str">
        <f t="shared" si="39"/>
        <v>VGVRemanescenteLONDRINA [ETAPA 04 - CONDOMINIO ARAGUARI]</v>
      </c>
      <c r="Q322" s="485"/>
    </row>
    <row r="323" spans="1:17">
      <c r="A323" s="61" t="str">
        <f t="shared" si="36"/>
        <v>LONDRINA [ETAPA 04 - CONDOMINIO ARAGUARI]LI8</v>
      </c>
      <c r="B323" s="114" t="s">
        <v>878</v>
      </c>
      <c r="C323" s="42" t="s">
        <v>622</v>
      </c>
      <c r="D323" s="45">
        <v>8</v>
      </c>
      <c r="E323" s="64">
        <v>267.08</v>
      </c>
      <c r="F323" s="201"/>
      <c r="G323" s="41" t="s">
        <v>877</v>
      </c>
      <c r="H323" s="208">
        <v>43439</v>
      </c>
      <c r="I323" s="259" t="str">
        <f t="shared" si="41"/>
        <v>LONDRINA [ETAPA 04 - CONDOMINIO ARAGUARI]12/2018</v>
      </c>
      <c r="J323" s="53" t="str">
        <f t="shared" si="40"/>
        <v>Remanescente12/2018</v>
      </c>
      <c r="K323" s="43">
        <v>125527.55</v>
      </c>
      <c r="L323" s="43" t="s">
        <v>539</v>
      </c>
      <c r="M323" s="43">
        <v>0</v>
      </c>
      <c r="N323" s="494" t="str">
        <f t="shared" si="37"/>
        <v>VENDA</v>
      </c>
      <c r="O323" s="491" t="str">
        <f t="shared" si="38"/>
        <v>LONDRINA [ETAPA 04 - CONDOMINIO ARAGUARI]VENDA</v>
      </c>
      <c r="P323" s="492" t="str">
        <f t="shared" si="39"/>
        <v>VENDARemanescenteLONDRINA [ETAPA 04 - CONDOMINIO ARAGUARI]</v>
      </c>
      <c r="Q323" s="485"/>
    </row>
    <row r="324" spans="1:17">
      <c r="A324" s="61" t="str">
        <f t="shared" si="36"/>
        <v>LONDRINA [ETAPA 04 - CONDOMINIO ARAGUARI]LI9</v>
      </c>
      <c r="B324" s="114" t="s">
        <v>878</v>
      </c>
      <c r="C324" s="42" t="s">
        <v>622</v>
      </c>
      <c r="D324" s="45">
        <v>9</v>
      </c>
      <c r="E324" s="64">
        <v>267.08</v>
      </c>
      <c r="F324" s="201"/>
      <c r="G324" s="41"/>
      <c r="H324" s="208"/>
      <c r="I324" s="259" t="str">
        <f t="shared" si="41"/>
        <v>LONDRINA [ETAPA 04 - CONDOMINIO ARAGUARI]1/1900</v>
      </c>
      <c r="J324" s="53" t="str">
        <f t="shared" si="40"/>
        <v>Remanescente1/1900</v>
      </c>
      <c r="K324" s="43"/>
      <c r="L324" s="43" t="s">
        <v>539</v>
      </c>
      <c r="M324" s="316">
        <v>153088.92060000001</v>
      </c>
      <c r="N324" s="494" t="str">
        <f t="shared" si="37"/>
        <v>VGV</v>
      </c>
      <c r="O324" s="491" t="str">
        <f t="shared" si="38"/>
        <v>LONDRINA [ETAPA 04 - CONDOMINIO ARAGUARI]VGV</v>
      </c>
      <c r="P324" s="492" t="str">
        <f t="shared" si="39"/>
        <v>VGVRemanescenteLONDRINA [ETAPA 04 - CONDOMINIO ARAGUARI]</v>
      </c>
      <c r="Q324" s="485"/>
    </row>
    <row r="325" spans="1:17">
      <c r="A325" s="61" t="str">
        <f t="shared" ref="A325:A388" si="42">CONCATENATE(B325,C325,D325)</f>
        <v>LONDRINA [ETAPA 04 - CONDOMINIO ARAGUARI]LI10</v>
      </c>
      <c r="B325" s="114" t="s">
        <v>878</v>
      </c>
      <c r="C325" s="42" t="s">
        <v>622</v>
      </c>
      <c r="D325" s="45">
        <v>10</v>
      </c>
      <c r="E325" s="64">
        <v>267.08</v>
      </c>
      <c r="F325" s="201"/>
      <c r="G325" s="41"/>
      <c r="H325" s="208"/>
      <c r="I325" s="259" t="str">
        <f t="shared" si="41"/>
        <v>LONDRINA [ETAPA 04 - CONDOMINIO ARAGUARI]1/1900</v>
      </c>
      <c r="J325" s="53" t="str">
        <f t="shared" si="40"/>
        <v>Remanescente1/1900</v>
      </c>
      <c r="K325" s="43"/>
      <c r="L325" s="43" t="s">
        <v>539</v>
      </c>
      <c r="M325" s="316">
        <v>153088.92060000001</v>
      </c>
      <c r="N325" s="494" t="str">
        <f t="shared" ref="N325:N388" si="43">IF(M325&gt;0,"VGV","VENDA")</f>
        <v>VGV</v>
      </c>
      <c r="O325" s="491" t="str">
        <f t="shared" si="38"/>
        <v>LONDRINA [ETAPA 04 - CONDOMINIO ARAGUARI]VGV</v>
      </c>
      <c r="P325" s="492" t="str">
        <f t="shared" si="39"/>
        <v>VGVRemanescenteLONDRINA [ETAPA 04 - CONDOMINIO ARAGUARI]</v>
      </c>
      <c r="Q325" s="485"/>
    </row>
    <row r="326" spans="1:17">
      <c r="A326" s="61" t="str">
        <f t="shared" si="42"/>
        <v>LONDRINA [ETAPA 04 - CONDOMINIO ARAGUARI]LI11</v>
      </c>
      <c r="B326" s="114" t="s">
        <v>878</v>
      </c>
      <c r="C326" s="42" t="s">
        <v>622</v>
      </c>
      <c r="D326" s="45">
        <v>11</v>
      </c>
      <c r="E326" s="64">
        <v>267.08</v>
      </c>
      <c r="F326" s="201"/>
      <c r="G326" s="41"/>
      <c r="H326" s="208"/>
      <c r="I326" s="259" t="str">
        <f t="shared" si="41"/>
        <v>LONDRINA [ETAPA 04 - CONDOMINIO ARAGUARI]1/1900</v>
      </c>
      <c r="J326" s="53" t="str">
        <f t="shared" si="40"/>
        <v>Remanescente1/1900</v>
      </c>
      <c r="K326" s="43"/>
      <c r="L326" s="43" t="s">
        <v>539</v>
      </c>
      <c r="M326" s="316">
        <v>153088.92060000001</v>
      </c>
      <c r="N326" s="494" t="str">
        <f t="shared" si="43"/>
        <v>VGV</v>
      </c>
      <c r="O326" s="491" t="str">
        <f t="shared" ref="O326:O389" si="44">CONCATENATE(B326,N326)</f>
        <v>LONDRINA [ETAPA 04 - CONDOMINIO ARAGUARI]VGV</v>
      </c>
      <c r="P326" s="492" t="str">
        <f t="shared" ref="P326:P389" si="45">CONCATENATE(N326,L326,B326)</f>
        <v>VGVRemanescenteLONDRINA [ETAPA 04 - CONDOMINIO ARAGUARI]</v>
      </c>
      <c r="Q326" s="485"/>
    </row>
    <row r="327" spans="1:17">
      <c r="A327" s="61" t="str">
        <f t="shared" si="42"/>
        <v>LONDRINA [ETAPA 04 - CONDOMINIO ARAGUARI]LI12</v>
      </c>
      <c r="B327" s="114" t="s">
        <v>878</v>
      </c>
      <c r="C327" s="42" t="s">
        <v>622</v>
      </c>
      <c r="D327" s="45">
        <v>12</v>
      </c>
      <c r="E327" s="64">
        <v>267.08</v>
      </c>
      <c r="F327" s="201"/>
      <c r="G327" s="41"/>
      <c r="H327" s="208"/>
      <c r="I327" s="259" t="str">
        <f t="shared" si="41"/>
        <v>LONDRINA [ETAPA 04 - CONDOMINIO ARAGUARI]1/1900</v>
      </c>
      <c r="J327" s="53" t="str">
        <f t="shared" ref="J327:J390" si="46">CONCATENATE(L327,MONTH(H327),"/",YEAR(H327))</f>
        <v>Remanescente1/1900</v>
      </c>
      <c r="K327" s="43"/>
      <c r="L327" s="43" t="s">
        <v>539</v>
      </c>
      <c r="M327" s="316">
        <v>153088.92060000001</v>
      </c>
      <c r="N327" s="494" t="str">
        <f t="shared" si="43"/>
        <v>VGV</v>
      </c>
      <c r="O327" s="491" t="str">
        <f t="shared" si="44"/>
        <v>LONDRINA [ETAPA 04 - CONDOMINIO ARAGUARI]VGV</v>
      </c>
      <c r="P327" s="492" t="str">
        <f t="shared" si="45"/>
        <v>VGVRemanescenteLONDRINA [ETAPA 04 - CONDOMINIO ARAGUARI]</v>
      </c>
      <c r="Q327" s="485"/>
    </row>
    <row r="328" spans="1:17">
      <c r="A328" s="61" t="str">
        <f t="shared" si="42"/>
        <v>LONDRINA [ETAPA 04 - CONDOMINIO ARAGUARI]LI13</v>
      </c>
      <c r="B328" s="114" t="s">
        <v>878</v>
      </c>
      <c r="C328" s="42" t="s">
        <v>622</v>
      </c>
      <c r="D328" s="45">
        <v>13</v>
      </c>
      <c r="E328" s="64">
        <v>267.08</v>
      </c>
      <c r="F328" s="201"/>
      <c r="G328" s="41"/>
      <c r="H328" s="208"/>
      <c r="I328" s="259" t="str">
        <f t="shared" ref="I328:I391" si="47">CONCATENATE(B328,MONTH(H328),"/",YEAR(H328))</f>
        <v>LONDRINA [ETAPA 04 - CONDOMINIO ARAGUARI]1/1900</v>
      </c>
      <c r="J328" s="53" t="str">
        <f t="shared" si="46"/>
        <v>Remanescente1/1900</v>
      </c>
      <c r="K328" s="43"/>
      <c r="L328" s="43" t="s">
        <v>539</v>
      </c>
      <c r="M328" s="316">
        <v>153088.92060000001</v>
      </c>
      <c r="N328" s="494" t="str">
        <f t="shared" si="43"/>
        <v>VGV</v>
      </c>
      <c r="O328" s="491" t="str">
        <f t="shared" si="44"/>
        <v>LONDRINA [ETAPA 04 - CONDOMINIO ARAGUARI]VGV</v>
      </c>
      <c r="P328" s="492" t="str">
        <f t="shared" si="45"/>
        <v>VGVRemanescenteLONDRINA [ETAPA 04 - CONDOMINIO ARAGUARI]</v>
      </c>
      <c r="Q328" s="485"/>
    </row>
    <row r="329" spans="1:17">
      <c r="A329" s="61" t="str">
        <f t="shared" si="42"/>
        <v>LONDRINA [ETAPA 04 - CONDOMINIO ARAGUARI]LI14</v>
      </c>
      <c r="B329" s="114" t="s">
        <v>878</v>
      </c>
      <c r="C329" s="42" t="s">
        <v>622</v>
      </c>
      <c r="D329" s="45">
        <v>14</v>
      </c>
      <c r="E329" s="64">
        <v>349</v>
      </c>
      <c r="F329" s="243">
        <v>5004</v>
      </c>
      <c r="G329" s="41" t="s">
        <v>1413</v>
      </c>
      <c r="H329" s="208">
        <v>44216</v>
      </c>
      <c r="I329" s="259" t="str">
        <f t="shared" si="47"/>
        <v>LONDRINA [ETAPA 04 - CONDOMINIO ARAGUARI]1/2021</v>
      </c>
      <c r="J329" s="53" t="str">
        <f t="shared" si="46"/>
        <v>Remanescente1/2021</v>
      </c>
      <c r="K329" s="43">
        <v>182074.2</v>
      </c>
      <c r="L329" s="43" t="s">
        <v>539</v>
      </c>
      <c r="M329" s="190">
        <v>0</v>
      </c>
      <c r="N329" s="494" t="str">
        <f t="shared" si="43"/>
        <v>VENDA</v>
      </c>
      <c r="O329" s="491" t="str">
        <f t="shared" si="44"/>
        <v>LONDRINA [ETAPA 04 - CONDOMINIO ARAGUARI]VENDA</v>
      </c>
      <c r="P329" s="492" t="str">
        <f t="shared" si="45"/>
        <v>VENDARemanescenteLONDRINA [ETAPA 04 - CONDOMINIO ARAGUARI]</v>
      </c>
      <c r="Q329" s="485"/>
    </row>
    <row r="330" spans="1:17">
      <c r="A330" s="61" t="str">
        <f t="shared" si="42"/>
        <v>LONDRINA [ETAPA 04 - CONDOMINIO ARAGUARI]XLIV1</v>
      </c>
      <c r="B330" s="114" t="s">
        <v>878</v>
      </c>
      <c r="C330" s="42" t="s">
        <v>623</v>
      </c>
      <c r="D330" s="45">
        <v>1</v>
      </c>
      <c r="E330" s="64"/>
      <c r="F330" s="201"/>
      <c r="G330" s="41"/>
      <c r="H330" s="208"/>
      <c r="I330" s="259" t="str">
        <f t="shared" si="47"/>
        <v>LONDRINA [ETAPA 04 - CONDOMINIO ARAGUARI]1/1900</v>
      </c>
      <c r="J330" s="53" t="str">
        <f t="shared" si="46"/>
        <v>Remanescente1/1900</v>
      </c>
      <c r="K330" s="43"/>
      <c r="L330" s="43" t="s">
        <v>539</v>
      </c>
      <c r="M330" s="316">
        <v>189642.71214000002</v>
      </c>
      <c r="N330" s="494" t="str">
        <f t="shared" si="43"/>
        <v>VGV</v>
      </c>
      <c r="O330" s="491" t="str">
        <f t="shared" si="44"/>
        <v>LONDRINA [ETAPA 04 - CONDOMINIO ARAGUARI]VGV</v>
      </c>
      <c r="P330" s="492" t="str">
        <f t="shared" si="45"/>
        <v>VGVRemanescenteLONDRINA [ETAPA 04 - CONDOMINIO ARAGUARI]</v>
      </c>
      <c r="Q330" s="485"/>
    </row>
    <row r="331" spans="1:17">
      <c r="A331" s="61" t="str">
        <f t="shared" si="42"/>
        <v>LONDRINA [ETAPA 04 - CONDOMINIO ARAGUARI]XLIV2</v>
      </c>
      <c r="B331" s="114" t="s">
        <v>878</v>
      </c>
      <c r="C331" s="42" t="s">
        <v>623</v>
      </c>
      <c r="D331" s="45">
        <v>2</v>
      </c>
      <c r="E331" s="64">
        <v>254.25</v>
      </c>
      <c r="F331" s="201"/>
      <c r="G331" s="41" t="s">
        <v>1339</v>
      </c>
      <c r="H331" s="208">
        <v>44111</v>
      </c>
      <c r="I331" s="259" t="str">
        <f t="shared" si="47"/>
        <v>LONDRINA [ETAPA 04 - CONDOMINIO ARAGUARI]10/2020</v>
      </c>
      <c r="J331" s="53" t="str">
        <f t="shared" si="46"/>
        <v>Remanescente10/2020</v>
      </c>
      <c r="K331" s="43">
        <v>147698.46</v>
      </c>
      <c r="L331" s="43" t="s">
        <v>539</v>
      </c>
      <c r="M331" s="190">
        <v>0</v>
      </c>
      <c r="N331" s="494" t="str">
        <f t="shared" si="43"/>
        <v>VENDA</v>
      </c>
      <c r="O331" s="491" t="str">
        <f t="shared" si="44"/>
        <v>LONDRINA [ETAPA 04 - CONDOMINIO ARAGUARI]VENDA</v>
      </c>
      <c r="P331" s="492" t="str">
        <f t="shared" si="45"/>
        <v>VENDARemanescenteLONDRINA [ETAPA 04 - CONDOMINIO ARAGUARI]</v>
      </c>
      <c r="Q331" s="485"/>
    </row>
    <row r="332" spans="1:17">
      <c r="A332" s="61" t="str">
        <f t="shared" si="42"/>
        <v>LONDRINA [ETAPA 04 - CONDOMINIO ARAGUARI]XLIV3</v>
      </c>
      <c r="B332" s="114" t="s">
        <v>878</v>
      </c>
      <c r="C332" s="42" t="s">
        <v>623</v>
      </c>
      <c r="D332" s="45">
        <v>3</v>
      </c>
      <c r="E332" s="64">
        <v>302.08</v>
      </c>
      <c r="F332" s="243">
        <v>3802</v>
      </c>
      <c r="G332" s="41" t="s">
        <v>1148</v>
      </c>
      <c r="H332" s="208">
        <v>43896</v>
      </c>
      <c r="I332" s="259" t="str">
        <f t="shared" si="47"/>
        <v>LONDRINA [ETAPA 04 - CONDOMINIO ARAGUARI]3/2020</v>
      </c>
      <c r="J332" s="53" t="str">
        <f t="shared" si="46"/>
        <v>Remanescente3/2020</v>
      </c>
      <c r="K332" s="43">
        <v>171000</v>
      </c>
      <c r="L332" s="43" t="s">
        <v>539</v>
      </c>
      <c r="M332" s="190">
        <v>0</v>
      </c>
      <c r="N332" s="494" t="str">
        <f t="shared" si="43"/>
        <v>VENDA</v>
      </c>
      <c r="O332" s="491" t="str">
        <f t="shared" si="44"/>
        <v>LONDRINA [ETAPA 04 - CONDOMINIO ARAGUARI]VENDA</v>
      </c>
      <c r="P332" s="492" t="str">
        <f t="shared" si="45"/>
        <v>VENDARemanescenteLONDRINA [ETAPA 04 - CONDOMINIO ARAGUARI]</v>
      </c>
      <c r="Q332" s="485"/>
    </row>
    <row r="333" spans="1:17">
      <c r="A333" s="61" t="str">
        <f t="shared" si="42"/>
        <v>LONDRINA [ETAPA 04 - CONDOMINIO ARAGUARI]XLIV4</v>
      </c>
      <c r="B333" s="114" t="s">
        <v>878</v>
      </c>
      <c r="C333" s="42" t="s">
        <v>623</v>
      </c>
      <c r="D333" s="45">
        <v>4</v>
      </c>
      <c r="E333" s="64">
        <v>321.25</v>
      </c>
      <c r="F333" s="243">
        <v>4266</v>
      </c>
      <c r="G333" s="41" t="s">
        <v>1172</v>
      </c>
      <c r="H333" s="208">
        <v>44001</v>
      </c>
      <c r="I333" s="259" t="str">
        <f t="shared" si="47"/>
        <v>LONDRINA [ETAPA 04 - CONDOMINIO ARAGUARI]6/2020</v>
      </c>
      <c r="J333" s="53" t="str">
        <f t="shared" si="46"/>
        <v>Remanescente6/2020</v>
      </c>
      <c r="K333" s="43">
        <v>172020</v>
      </c>
      <c r="L333" s="43" t="s">
        <v>539</v>
      </c>
      <c r="M333" s="190">
        <v>0</v>
      </c>
      <c r="N333" s="494" t="str">
        <f t="shared" si="43"/>
        <v>VENDA</v>
      </c>
      <c r="O333" s="491" t="str">
        <f t="shared" si="44"/>
        <v>LONDRINA [ETAPA 04 - CONDOMINIO ARAGUARI]VENDA</v>
      </c>
      <c r="P333" s="492" t="str">
        <f t="shared" si="45"/>
        <v>VENDARemanescenteLONDRINA [ETAPA 04 - CONDOMINIO ARAGUARI]</v>
      </c>
      <c r="Q333" s="485"/>
    </row>
    <row r="334" spans="1:17">
      <c r="A334" s="61" t="str">
        <f t="shared" si="42"/>
        <v>LONDRINA [ETAPA 04 - CONDOMINIO ARAGUARI]XLIV5</v>
      </c>
      <c r="B334" s="114" t="s">
        <v>878</v>
      </c>
      <c r="C334" s="42" t="s">
        <v>623</v>
      </c>
      <c r="D334" s="45">
        <v>5</v>
      </c>
      <c r="E334" s="64">
        <v>329.24</v>
      </c>
      <c r="F334" s="243">
        <v>3902</v>
      </c>
      <c r="G334" s="41" t="s">
        <v>1155</v>
      </c>
      <c r="H334" s="208">
        <v>43981</v>
      </c>
      <c r="I334" s="259" t="str">
        <f t="shared" si="47"/>
        <v>LONDRINA [ETAPA 04 - CONDOMINIO ARAGUARI]5/2020</v>
      </c>
      <c r="J334" s="53" t="str">
        <f t="shared" si="46"/>
        <v>Remanescente5/2020</v>
      </c>
      <c r="K334" s="43">
        <v>182360</v>
      </c>
      <c r="L334" s="43" t="s">
        <v>539</v>
      </c>
      <c r="M334" s="190">
        <v>0</v>
      </c>
      <c r="N334" s="494" t="str">
        <f t="shared" si="43"/>
        <v>VENDA</v>
      </c>
      <c r="O334" s="491" t="str">
        <f t="shared" si="44"/>
        <v>LONDRINA [ETAPA 04 - CONDOMINIO ARAGUARI]VENDA</v>
      </c>
      <c r="P334" s="492" t="str">
        <f t="shared" si="45"/>
        <v>VENDARemanescenteLONDRINA [ETAPA 04 - CONDOMINIO ARAGUARI]</v>
      </c>
      <c r="Q334" s="485"/>
    </row>
    <row r="335" spans="1:17">
      <c r="A335" s="61" t="str">
        <f t="shared" si="42"/>
        <v>LONDRINA [ETAPA 04 - CONDOMINIO ARAGUARI]XLIX1</v>
      </c>
      <c r="B335" s="114" t="s">
        <v>878</v>
      </c>
      <c r="C335" s="42" t="s">
        <v>620</v>
      </c>
      <c r="D335" s="45">
        <v>1</v>
      </c>
      <c r="E335" s="64">
        <v>333.9</v>
      </c>
      <c r="F335" s="243">
        <v>5001</v>
      </c>
      <c r="G335" s="41" t="s">
        <v>1414</v>
      </c>
      <c r="H335" s="208">
        <v>44211</v>
      </c>
      <c r="I335" s="259" t="str">
        <f t="shared" si="47"/>
        <v>LONDRINA [ETAPA 04 - CONDOMINIO ARAGUARI]1/2021</v>
      </c>
      <c r="J335" s="53" t="str">
        <f t="shared" si="46"/>
        <v>Remanescente1/2021</v>
      </c>
      <c r="K335" s="43">
        <v>169200</v>
      </c>
      <c r="L335" s="43" t="s">
        <v>539</v>
      </c>
      <c r="M335" s="190">
        <v>0</v>
      </c>
      <c r="N335" s="494" t="str">
        <f t="shared" si="43"/>
        <v>VENDA</v>
      </c>
      <c r="O335" s="491" t="str">
        <f t="shared" si="44"/>
        <v>LONDRINA [ETAPA 04 - CONDOMINIO ARAGUARI]VENDA</v>
      </c>
      <c r="P335" s="492" t="str">
        <f t="shared" si="45"/>
        <v>VENDARemanescenteLONDRINA [ETAPA 04 - CONDOMINIO ARAGUARI]</v>
      </c>
      <c r="Q335" s="485"/>
    </row>
    <row r="336" spans="1:17">
      <c r="A336" s="61" t="str">
        <f t="shared" si="42"/>
        <v>LONDRINA [ETAPA 04 - CONDOMINIO ARAGUARI]XLIX2</v>
      </c>
      <c r="B336" s="114" t="s">
        <v>878</v>
      </c>
      <c r="C336" s="42" t="s">
        <v>620</v>
      </c>
      <c r="D336" s="45">
        <v>2</v>
      </c>
      <c r="E336" s="64">
        <v>269.45999999999998</v>
      </c>
      <c r="F336" s="64"/>
      <c r="G336" s="41" t="s">
        <v>918</v>
      </c>
      <c r="H336" s="208">
        <v>43497</v>
      </c>
      <c r="I336" s="259" t="str">
        <f t="shared" si="47"/>
        <v>LONDRINA [ETAPA 04 - CONDOMINIO ARAGUARI]2/2019</v>
      </c>
      <c r="J336" s="53" t="str">
        <f t="shared" si="46"/>
        <v>Remanescente2/2019</v>
      </c>
      <c r="K336" s="43">
        <v>116089.92</v>
      </c>
      <c r="L336" s="43" t="s">
        <v>539</v>
      </c>
      <c r="M336" s="190">
        <v>0</v>
      </c>
      <c r="N336" s="494" t="str">
        <f t="shared" si="43"/>
        <v>VENDA</v>
      </c>
      <c r="O336" s="491" t="str">
        <f t="shared" si="44"/>
        <v>LONDRINA [ETAPA 04 - CONDOMINIO ARAGUARI]VENDA</v>
      </c>
      <c r="P336" s="492" t="str">
        <f t="shared" si="45"/>
        <v>VENDARemanescenteLONDRINA [ETAPA 04 - CONDOMINIO ARAGUARI]</v>
      </c>
      <c r="Q336" s="485"/>
    </row>
    <row r="337" spans="1:17">
      <c r="A337" s="61" t="str">
        <f t="shared" si="42"/>
        <v>LONDRINA [ETAPA 04 - CONDOMINIO ARAGUARI]XLIX3</v>
      </c>
      <c r="B337" s="114" t="s">
        <v>878</v>
      </c>
      <c r="C337" s="42" t="s">
        <v>620</v>
      </c>
      <c r="D337" s="45">
        <v>3</v>
      </c>
      <c r="E337" s="64">
        <v>269.45999999999998</v>
      </c>
      <c r="F337" s="201"/>
      <c r="G337" s="41" t="s">
        <v>1340</v>
      </c>
      <c r="H337" s="208">
        <v>44123</v>
      </c>
      <c r="I337" s="259" t="str">
        <f t="shared" si="47"/>
        <v>LONDRINA [ETAPA 04 - CONDOMINIO ARAGUARI]10/2020</v>
      </c>
      <c r="J337" s="53" t="str">
        <f t="shared" si="46"/>
        <v>Remanescente10/2020</v>
      </c>
      <c r="K337" s="43">
        <v>126532.68</v>
      </c>
      <c r="L337" s="43" t="s">
        <v>539</v>
      </c>
      <c r="M337" s="190">
        <v>0</v>
      </c>
      <c r="N337" s="494" t="str">
        <f t="shared" si="43"/>
        <v>VENDA</v>
      </c>
      <c r="O337" s="491" t="str">
        <f t="shared" si="44"/>
        <v>LONDRINA [ETAPA 04 - CONDOMINIO ARAGUARI]VENDA</v>
      </c>
      <c r="P337" s="492" t="str">
        <f t="shared" si="45"/>
        <v>VENDARemanescenteLONDRINA [ETAPA 04 - CONDOMINIO ARAGUARI]</v>
      </c>
      <c r="Q337" s="485"/>
    </row>
    <row r="338" spans="1:17">
      <c r="A338" s="61" t="str">
        <f t="shared" si="42"/>
        <v>LONDRINA [ETAPA 04 - CONDOMINIO ARAGUARI]XLIX4</v>
      </c>
      <c r="B338" s="114" t="s">
        <v>878</v>
      </c>
      <c r="C338" s="42" t="s">
        <v>620</v>
      </c>
      <c r="D338" s="45">
        <v>4</v>
      </c>
      <c r="E338" s="64">
        <v>250.41</v>
      </c>
      <c r="F338" s="243">
        <v>4520</v>
      </c>
      <c r="G338" s="41" t="s">
        <v>1236</v>
      </c>
      <c r="H338" s="208">
        <v>44018</v>
      </c>
      <c r="I338" s="259" t="str">
        <f t="shared" si="47"/>
        <v>LONDRINA [ETAPA 04 - CONDOMINIO ARAGUARI]7/2020</v>
      </c>
      <c r="J338" s="53" t="str">
        <f t="shared" si="46"/>
        <v>Remanescente7/2020</v>
      </c>
      <c r="K338" s="43">
        <v>108100</v>
      </c>
      <c r="L338" s="43" t="s">
        <v>539</v>
      </c>
      <c r="M338" s="190">
        <v>0</v>
      </c>
      <c r="N338" s="494" t="str">
        <f t="shared" si="43"/>
        <v>VENDA</v>
      </c>
      <c r="O338" s="491" t="str">
        <f t="shared" si="44"/>
        <v>LONDRINA [ETAPA 04 - CONDOMINIO ARAGUARI]VENDA</v>
      </c>
      <c r="P338" s="492" t="str">
        <f t="shared" si="45"/>
        <v>VENDARemanescenteLONDRINA [ETAPA 04 - CONDOMINIO ARAGUARI]</v>
      </c>
      <c r="Q338" s="485"/>
    </row>
    <row r="339" spans="1:17">
      <c r="A339" s="61" t="str">
        <f t="shared" si="42"/>
        <v>LONDRINA [ETAPA 04 - CONDOMINIO ARAGUARI]XLIX5</v>
      </c>
      <c r="B339" s="114" t="s">
        <v>878</v>
      </c>
      <c r="C339" s="42" t="s">
        <v>620</v>
      </c>
      <c r="D339" s="45">
        <v>5</v>
      </c>
      <c r="E339" s="64">
        <v>256.73</v>
      </c>
      <c r="F339" s="201"/>
      <c r="G339" s="41" t="s">
        <v>947</v>
      </c>
      <c r="H339" s="208">
        <v>43564</v>
      </c>
      <c r="I339" s="259" t="str">
        <f t="shared" si="47"/>
        <v>LONDRINA [ETAPA 04 - CONDOMINIO ARAGUARI]4/2019</v>
      </c>
      <c r="J339" s="53" t="str">
        <f t="shared" si="46"/>
        <v>Remanescente4/2019</v>
      </c>
      <c r="K339" s="43">
        <v>120555.12</v>
      </c>
      <c r="L339" s="43" t="s">
        <v>539</v>
      </c>
      <c r="M339" s="190">
        <v>0</v>
      </c>
      <c r="N339" s="494" t="str">
        <f t="shared" si="43"/>
        <v>VENDA</v>
      </c>
      <c r="O339" s="491" t="str">
        <f t="shared" si="44"/>
        <v>LONDRINA [ETAPA 04 - CONDOMINIO ARAGUARI]VENDA</v>
      </c>
      <c r="P339" s="492" t="str">
        <f t="shared" si="45"/>
        <v>VENDARemanescenteLONDRINA [ETAPA 04 - CONDOMINIO ARAGUARI]</v>
      </c>
      <c r="Q339" s="485"/>
    </row>
    <row r="340" spans="1:17">
      <c r="A340" s="61" t="str">
        <f t="shared" si="42"/>
        <v>LONDRINA [ETAPA 04 - CONDOMINIO ARAGUARI]XLIX6</v>
      </c>
      <c r="B340" s="114" t="s">
        <v>878</v>
      </c>
      <c r="C340" s="42" t="s">
        <v>620</v>
      </c>
      <c r="D340" s="45">
        <v>6</v>
      </c>
      <c r="E340" s="64">
        <v>256.73</v>
      </c>
      <c r="F340" s="243">
        <v>4793</v>
      </c>
      <c r="G340" s="41" t="s">
        <v>1311</v>
      </c>
      <c r="H340" s="208">
        <v>44098</v>
      </c>
      <c r="I340" s="259" t="str">
        <f t="shared" si="47"/>
        <v>LONDRINA [ETAPA 04 - CONDOMINIO ARAGUARI]9/2020</v>
      </c>
      <c r="J340" s="53" t="str">
        <f t="shared" si="46"/>
        <v>Remanescente9/2020</v>
      </c>
      <c r="K340" s="43">
        <v>108100</v>
      </c>
      <c r="L340" s="43" t="s">
        <v>539</v>
      </c>
      <c r="M340" s="190">
        <v>0</v>
      </c>
      <c r="N340" s="494" t="str">
        <f t="shared" si="43"/>
        <v>VENDA</v>
      </c>
      <c r="O340" s="491" t="str">
        <f t="shared" si="44"/>
        <v>LONDRINA [ETAPA 04 - CONDOMINIO ARAGUARI]VENDA</v>
      </c>
      <c r="P340" s="492" t="str">
        <f t="shared" si="45"/>
        <v>VENDARemanescenteLONDRINA [ETAPA 04 - CONDOMINIO ARAGUARI]</v>
      </c>
      <c r="Q340" s="485"/>
    </row>
    <row r="341" spans="1:17">
      <c r="A341" s="61" t="str">
        <f t="shared" si="42"/>
        <v>LONDRINA [ETAPA 04 - CONDOMINIO ARAGUARI]XLIX7</v>
      </c>
      <c r="B341" s="114" t="s">
        <v>878</v>
      </c>
      <c r="C341" s="42" t="s">
        <v>620</v>
      </c>
      <c r="D341" s="45">
        <v>7</v>
      </c>
      <c r="E341" s="64">
        <v>256.73</v>
      </c>
      <c r="F341" s="64"/>
      <c r="G341" s="41" t="s">
        <v>903</v>
      </c>
      <c r="H341" s="208">
        <v>43482</v>
      </c>
      <c r="I341" s="259" t="str">
        <f t="shared" si="47"/>
        <v>LONDRINA [ETAPA 04 - CONDOMINIO ARAGUARI]1/2019</v>
      </c>
      <c r="J341" s="53" t="str">
        <f t="shared" si="46"/>
        <v>Remanescente1/2019</v>
      </c>
      <c r="K341" s="43">
        <v>104635.72</v>
      </c>
      <c r="L341" s="43" t="s">
        <v>539</v>
      </c>
      <c r="M341" s="43">
        <v>0</v>
      </c>
      <c r="N341" s="494" t="str">
        <f t="shared" si="43"/>
        <v>VENDA</v>
      </c>
      <c r="O341" s="491" t="str">
        <f t="shared" si="44"/>
        <v>LONDRINA [ETAPA 04 - CONDOMINIO ARAGUARI]VENDA</v>
      </c>
      <c r="P341" s="492" t="str">
        <f t="shared" si="45"/>
        <v>VENDARemanescenteLONDRINA [ETAPA 04 - CONDOMINIO ARAGUARI]</v>
      </c>
      <c r="Q341" s="485"/>
    </row>
    <row r="342" spans="1:17">
      <c r="A342" s="61" t="str">
        <f t="shared" si="42"/>
        <v>LONDRINA [ETAPA 04 - CONDOMINIO ARAGUARI]XLIX8</v>
      </c>
      <c r="B342" s="114" t="s">
        <v>878</v>
      </c>
      <c r="C342" s="42" t="s">
        <v>620</v>
      </c>
      <c r="D342" s="45">
        <v>8</v>
      </c>
      <c r="E342" s="64">
        <v>256.73</v>
      </c>
      <c r="F342" s="201">
        <v>5096</v>
      </c>
      <c r="G342" s="41" t="s">
        <v>1492</v>
      </c>
      <c r="H342" s="208">
        <v>44258</v>
      </c>
      <c r="I342" s="259" t="str">
        <f t="shared" si="47"/>
        <v>LONDRINA [ETAPA 04 - CONDOMINIO ARAGUARI]3/2021</v>
      </c>
      <c r="J342" s="53" t="str">
        <f t="shared" si="46"/>
        <v>Remanescente3/2021</v>
      </c>
      <c r="K342" s="43">
        <v>134177.16</v>
      </c>
      <c r="L342" s="43" t="s">
        <v>539</v>
      </c>
      <c r="M342" s="316">
        <v>0</v>
      </c>
      <c r="N342" s="494" t="str">
        <f t="shared" si="43"/>
        <v>VENDA</v>
      </c>
      <c r="O342" s="491" t="str">
        <f t="shared" si="44"/>
        <v>LONDRINA [ETAPA 04 - CONDOMINIO ARAGUARI]VENDA</v>
      </c>
      <c r="P342" s="492" t="str">
        <f t="shared" si="45"/>
        <v>VENDARemanescenteLONDRINA [ETAPA 04 - CONDOMINIO ARAGUARI]</v>
      </c>
      <c r="Q342" s="485"/>
    </row>
    <row r="343" spans="1:17">
      <c r="A343" s="61" t="str">
        <f t="shared" si="42"/>
        <v>LONDRINA [ETAPA 04 - CONDOMINIO ARAGUARI]XLIX9</v>
      </c>
      <c r="B343" s="114" t="s">
        <v>878</v>
      </c>
      <c r="C343" s="42" t="s">
        <v>620</v>
      </c>
      <c r="D343" s="45">
        <v>9</v>
      </c>
      <c r="E343" s="64">
        <v>256.73</v>
      </c>
      <c r="F343" s="243">
        <v>3138</v>
      </c>
      <c r="G343" s="41" t="s">
        <v>1083</v>
      </c>
      <c r="H343" s="208">
        <v>43761</v>
      </c>
      <c r="I343" s="259" t="str">
        <f t="shared" si="47"/>
        <v>LONDRINA [ETAPA 04 - CONDOMINIO ARAGUARI]10/2019</v>
      </c>
      <c r="J343" s="53" t="str">
        <f t="shared" si="46"/>
        <v>Remanescente10/2019</v>
      </c>
      <c r="K343" s="43">
        <v>106220.55</v>
      </c>
      <c r="L343" s="43" t="s">
        <v>539</v>
      </c>
      <c r="M343" s="190">
        <v>0</v>
      </c>
      <c r="N343" s="494" t="str">
        <f t="shared" si="43"/>
        <v>VENDA</v>
      </c>
      <c r="O343" s="491" t="str">
        <f t="shared" si="44"/>
        <v>LONDRINA [ETAPA 04 - CONDOMINIO ARAGUARI]VENDA</v>
      </c>
      <c r="P343" s="492" t="str">
        <f t="shared" si="45"/>
        <v>VENDARemanescenteLONDRINA [ETAPA 04 - CONDOMINIO ARAGUARI]</v>
      </c>
      <c r="Q343" s="485"/>
    </row>
    <row r="344" spans="1:17">
      <c r="A344" s="61" t="str">
        <f t="shared" si="42"/>
        <v>LONDRINA [ETAPA 04 - CONDOMINIO ARAGUARI]XLIX10</v>
      </c>
      <c r="B344" s="114" t="s">
        <v>878</v>
      </c>
      <c r="C344" s="42" t="s">
        <v>620</v>
      </c>
      <c r="D344" s="45">
        <v>10</v>
      </c>
      <c r="E344" s="64">
        <v>256.73</v>
      </c>
      <c r="F344" s="243">
        <v>4521</v>
      </c>
      <c r="G344" s="41" t="s">
        <v>1237</v>
      </c>
      <c r="H344" s="208">
        <v>44029</v>
      </c>
      <c r="I344" s="259" t="str">
        <f t="shared" si="47"/>
        <v>LONDRINA [ETAPA 04 - CONDOMINIO ARAGUARI]7/2020</v>
      </c>
      <c r="J344" s="53" t="str">
        <f t="shared" si="46"/>
        <v>Remanescente7/2020</v>
      </c>
      <c r="K344" s="43">
        <v>103400</v>
      </c>
      <c r="L344" s="43" t="s">
        <v>539</v>
      </c>
      <c r="M344" s="190">
        <v>0</v>
      </c>
      <c r="N344" s="494" t="str">
        <f t="shared" si="43"/>
        <v>VENDA</v>
      </c>
      <c r="O344" s="491" t="str">
        <f t="shared" si="44"/>
        <v>LONDRINA [ETAPA 04 - CONDOMINIO ARAGUARI]VENDA</v>
      </c>
      <c r="P344" s="492" t="str">
        <f t="shared" si="45"/>
        <v>VENDARemanescenteLONDRINA [ETAPA 04 - CONDOMINIO ARAGUARI]</v>
      </c>
      <c r="Q344" s="485"/>
    </row>
    <row r="345" spans="1:17">
      <c r="A345" s="61" t="str">
        <f t="shared" si="42"/>
        <v>LONDRINA [ETAPA 04 - CONDOMINIO ARAGUARI]XLIX11</v>
      </c>
      <c r="B345" s="114" t="s">
        <v>878</v>
      </c>
      <c r="C345" s="42" t="s">
        <v>620</v>
      </c>
      <c r="D345" s="45">
        <v>11</v>
      </c>
      <c r="E345" s="64">
        <v>256.73</v>
      </c>
      <c r="F345" s="243">
        <v>4519</v>
      </c>
      <c r="G345" s="41" t="s">
        <v>1238</v>
      </c>
      <c r="H345" s="208">
        <v>44029</v>
      </c>
      <c r="I345" s="259" t="str">
        <f t="shared" si="47"/>
        <v>LONDRINA [ETAPA 04 - CONDOMINIO ARAGUARI]7/2020</v>
      </c>
      <c r="J345" s="53" t="str">
        <f t="shared" si="46"/>
        <v>Remanescente7/2020</v>
      </c>
      <c r="K345" s="43">
        <v>103400</v>
      </c>
      <c r="L345" s="43" t="s">
        <v>539</v>
      </c>
      <c r="M345" s="190">
        <v>0</v>
      </c>
      <c r="N345" s="494" t="str">
        <f t="shared" si="43"/>
        <v>VENDA</v>
      </c>
      <c r="O345" s="491" t="str">
        <f t="shared" si="44"/>
        <v>LONDRINA [ETAPA 04 - CONDOMINIO ARAGUARI]VENDA</v>
      </c>
      <c r="P345" s="492" t="str">
        <f t="shared" si="45"/>
        <v>VENDARemanescenteLONDRINA [ETAPA 04 - CONDOMINIO ARAGUARI]</v>
      </c>
      <c r="Q345" s="485"/>
    </row>
    <row r="346" spans="1:17">
      <c r="A346" s="61" t="str">
        <f t="shared" si="42"/>
        <v>LONDRINA [ETAPA 04 - CONDOMINIO ARAGUARI]XLIX12</v>
      </c>
      <c r="B346" s="114" t="s">
        <v>878</v>
      </c>
      <c r="C346" s="42" t="s">
        <v>620</v>
      </c>
      <c r="D346" s="45">
        <v>12</v>
      </c>
      <c r="E346" s="64">
        <v>256.73</v>
      </c>
      <c r="F346" s="243">
        <v>4581</v>
      </c>
      <c r="G346" s="41" t="s">
        <v>1233</v>
      </c>
      <c r="H346" s="208">
        <v>44034</v>
      </c>
      <c r="I346" s="259" t="str">
        <f t="shared" si="47"/>
        <v>LONDRINA [ETAPA 04 - CONDOMINIO ARAGUARI]7/2020</v>
      </c>
      <c r="J346" s="53" t="str">
        <f t="shared" si="46"/>
        <v>Remanescente7/2020</v>
      </c>
      <c r="K346" s="43">
        <v>101520</v>
      </c>
      <c r="L346" s="43" t="s">
        <v>539</v>
      </c>
      <c r="M346" s="190">
        <v>0</v>
      </c>
      <c r="N346" s="494" t="str">
        <f t="shared" si="43"/>
        <v>VENDA</v>
      </c>
      <c r="O346" s="491" t="str">
        <f t="shared" si="44"/>
        <v>LONDRINA [ETAPA 04 - CONDOMINIO ARAGUARI]VENDA</v>
      </c>
      <c r="P346" s="492" t="str">
        <f t="shared" si="45"/>
        <v>VENDARemanescenteLONDRINA [ETAPA 04 - CONDOMINIO ARAGUARI]</v>
      </c>
      <c r="Q346" s="485"/>
    </row>
    <row r="347" spans="1:17">
      <c r="A347" s="61" t="str">
        <f t="shared" si="42"/>
        <v>LONDRINA [ETAPA 04 - CONDOMINIO ARAGUARI]XLIX13</v>
      </c>
      <c r="B347" s="114" t="s">
        <v>878</v>
      </c>
      <c r="C347" s="42" t="s">
        <v>620</v>
      </c>
      <c r="D347" s="45">
        <v>13</v>
      </c>
      <c r="E347" s="64">
        <v>256.73</v>
      </c>
      <c r="F347" s="201"/>
      <c r="G347" s="41" t="s">
        <v>1139</v>
      </c>
      <c r="H347" s="208">
        <v>43865</v>
      </c>
      <c r="I347" s="259" t="str">
        <f t="shared" si="47"/>
        <v>LONDRINA [ETAPA 04 - CONDOMINIO ARAGUARI]2/2020</v>
      </c>
      <c r="J347" s="53" t="str">
        <f t="shared" si="46"/>
        <v>Remanescente2/2020</v>
      </c>
      <c r="K347" s="43">
        <v>108099.75</v>
      </c>
      <c r="L347" s="43" t="s">
        <v>539</v>
      </c>
      <c r="M347" s="190">
        <v>0</v>
      </c>
      <c r="N347" s="494" t="str">
        <f t="shared" si="43"/>
        <v>VENDA</v>
      </c>
      <c r="O347" s="491" t="str">
        <f t="shared" si="44"/>
        <v>LONDRINA [ETAPA 04 - CONDOMINIO ARAGUARI]VENDA</v>
      </c>
      <c r="P347" s="492" t="str">
        <f t="shared" si="45"/>
        <v>VENDARemanescenteLONDRINA [ETAPA 04 - CONDOMINIO ARAGUARI]</v>
      </c>
      <c r="Q347" s="485"/>
    </row>
    <row r="348" spans="1:17">
      <c r="A348" s="61" t="str">
        <f t="shared" si="42"/>
        <v>LONDRINA [ETAPA 04 - CONDOMINIO ARAGUARI]XLIX14</v>
      </c>
      <c r="B348" s="114" t="s">
        <v>878</v>
      </c>
      <c r="C348" s="42" t="s">
        <v>620</v>
      </c>
      <c r="D348" s="45">
        <v>14</v>
      </c>
      <c r="E348" s="64">
        <v>256.73</v>
      </c>
      <c r="F348" s="243">
        <v>4648</v>
      </c>
      <c r="G348" s="41" t="s">
        <v>1260</v>
      </c>
      <c r="H348" s="208">
        <v>44046</v>
      </c>
      <c r="I348" s="259" t="str">
        <f t="shared" si="47"/>
        <v>LONDRINA [ETAPA 04 - CONDOMINIO ARAGUARI]8/2020</v>
      </c>
      <c r="J348" s="53" t="str">
        <f t="shared" si="46"/>
        <v>Remanescente8/2020</v>
      </c>
      <c r="K348" s="43">
        <v>103399.8</v>
      </c>
      <c r="L348" s="43" t="s">
        <v>539</v>
      </c>
      <c r="M348" s="190">
        <v>0</v>
      </c>
      <c r="N348" s="494" t="str">
        <f t="shared" si="43"/>
        <v>VENDA</v>
      </c>
      <c r="O348" s="491" t="str">
        <f t="shared" si="44"/>
        <v>LONDRINA [ETAPA 04 - CONDOMINIO ARAGUARI]VENDA</v>
      </c>
      <c r="P348" s="492" t="str">
        <f t="shared" si="45"/>
        <v>VENDARemanescenteLONDRINA [ETAPA 04 - CONDOMINIO ARAGUARI]</v>
      </c>
      <c r="Q348" s="485"/>
    </row>
    <row r="349" spans="1:17">
      <c r="A349" s="61" t="str">
        <f t="shared" si="42"/>
        <v>LONDRINA [ETAPA 04 - CONDOMINIO ARAGUARI]XLIX15</v>
      </c>
      <c r="B349" s="114" t="s">
        <v>878</v>
      </c>
      <c r="C349" s="42" t="s">
        <v>620</v>
      </c>
      <c r="D349" s="45">
        <v>15</v>
      </c>
      <c r="E349" s="64">
        <v>256.73</v>
      </c>
      <c r="F349" s="243">
        <v>4670</v>
      </c>
      <c r="G349" s="41" t="s">
        <v>1261</v>
      </c>
      <c r="H349" s="208">
        <v>44064</v>
      </c>
      <c r="I349" s="259" t="str">
        <f t="shared" si="47"/>
        <v>LONDRINA [ETAPA 04 - CONDOMINIO ARAGUARI]8/2020</v>
      </c>
      <c r="J349" s="53" t="str">
        <f t="shared" si="46"/>
        <v>Remanescente8/2020</v>
      </c>
      <c r="K349" s="43">
        <v>108100.6</v>
      </c>
      <c r="L349" s="43" t="s">
        <v>539</v>
      </c>
      <c r="M349" s="190">
        <v>0</v>
      </c>
      <c r="N349" s="494" t="str">
        <f t="shared" si="43"/>
        <v>VENDA</v>
      </c>
      <c r="O349" s="491" t="str">
        <f t="shared" si="44"/>
        <v>LONDRINA [ETAPA 04 - CONDOMINIO ARAGUARI]VENDA</v>
      </c>
      <c r="P349" s="492" t="str">
        <f t="shared" si="45"/>
        <v>VENDARemanescenteLONDRINA [ETAPA 04 - CONDOMINIO ARAGUARI]</v>
      </c>
      <c r="Q349" s="485"/>
    </row>
    <row r="350" spans="1:17">
      <c r="A350" s="61" t="str">
        <f t="shared" si="42"/>
        <v>LONDRINA [ETAPA 04 - CONDOMINIO ARAGUARI]XLIX16</v>
      </c>
      <c r="B350" s="114" t="s">
        <v>878</v>
      </c>
      <c r="C350" s="42" t="s">
        <v>620</v>
      </c>
      <c r="D350" s="45">
        <v>16</v>
      </c>
      <c r="E350" s="64">
        <v>256.73</v>
      </c>
      <c r="F350" s="201"/>
      <c r="G350" s="41" t="s">
        <v>1052</v>
      </c>
      <c r="H350" s="208">
        <v>43691</v>
      </c>
      <c r="I350" s="259" t="str">
        <f t="shared" si="47"/>
        <v>LONDRINA [ETAPA 04 - CONDOMINIO ARAGUARI]8/2019</v>
      </c>
      <c r="J350" s="53" t="str">
        <f t="shared" si="46"/>
        <v>Remanescente8/2019</v>
      </c>
      <c r="K350" s="43">
        <v>108100</v>
      </c>
      <c r="L350" s="43" t="s">
        <v>539</v>
      </c>
      <c r="M350" s="190">
        <v>0</v>
      </c>
      <c r="N350" s="494" t="str">
        <f t="shared" si="43"/>
        <v>VENDA</v>
      </c>
      <c r="O350" s="491" t="str">
        <f t="shared" si="44"/>
        <v>LONDRINA [ETAPA 04 - CONDOMINIO ARAGUARI]VENDA</v>
      </c>
      <c r="P350" s="492" t="str">
        <f t="shared" si="45"/>
        <v>VENDARemanescenteLONDRINA [ETAPA 04 - CONDOMINIO ARAGUARI]</v>
      </c>
      <c r="Q350" s="485"/>
    </row>
    <row r="351" spans="1:17">
      <c r="A351" s="61" t="str">
        <f t="shared" si="42"/>
        <v>LONDRINA [ETAPA 04 - CONDOMINIO ARAGUARI]XLIX17</v>
      </c>
      <c r="B351" s="114" t="s">
        <v>878</v>
      </c>
      <c r="C351" s="42" t="s">
        <v>620</v>
      </c>
      <c r="D351" s="45">
        <v>17</v>
      </c>
      <c r="E351" s="64">
        <v>256.73</v>
      </c>
      <c r="F351" s="243">
        <v>4952</v>
      </c>
      <c r="G351" s="41" t="s">
        <v>1389</v>
      </c>
      <c r="H351" s="208">
        <v>44183</v>
      </c>
      <c r="I351" s="259" t="str">
        <f t="shared" si="47"/>
        <v>LONDRINA [ETAPA 04 - CONDOMINIO ARAGUARI]12/2020</v>
      </c>
      <c r="J351" s="53" t="str">
        <f t="shared" si="46"/>
        <v>Remanescente12/2020</v>
      </c>
      <c r="K351" s="43">
        <v>134176.66</v>
      </c>
      <c r="L351" s="43" t="s">
        <v>539</v>
      </c>
      <c r="M351" s="190">
        <v>0</v>
      </c>
      <c r="N351" s="494" t="str">
        <f t="shared" si="43"/>
        <v>VENDA</v>
      </c>
      <c r="O351" s="491" t="str">
        <f t="shared" si="44"/>
        <v>LONDRINA [ETAPA 04 - CONDOMINIO ARAGUARI]VENDA</v>
      </c>
      <c r="P351" s="492" t="str">
        <f t="shared" si="45"/>
        <v>VENDARemanescenteLONDRINA [ETAPA 04 - CONDOMINIO ARAGUARI]</v>
      </c>
      <c r="Q351" s="485"/>
    </row>
    <row r="352" spans="1:17">
      <c r="A352" s="61" t="str">
        <f t="shared" si="42"/>
        <v>LONDRINA [ETAPA 04 - CONDOMINIO ARAGUARI]XLIX18</v>
      </c>
      <c r="B352" s="114" t="s">
        <v>878</v>
      </c>
      <c r="C352" s="42" t="s">
        <v>620</v>
      </c>
      <c r="D352" s="45">
        <v>18</v>
      </c>
      <c r="E352" s="64">
        <v>343.75</v>
      </c>
      <c r="F352" s="201"/>
      <c r="G352" s="41"/>
      <c r="H352" s="208"/>
      <c r="I352" s="259" t="str">
        <f t="shared" si="47"/>
        <v>LONDRINA [ETAPA 04 - CONDOMINIO ARAGUARI]1/1900</v>
      </c>
      <c r="J352" s="53" t="str">
        <f t="shared" si="46"/>
        <v>Remanescente1/1900</v>
      </c>
      <c r="K352" s="43"/>
      <c r="L352" s="43" t="s">
        <v>539</v>
      </c>
      <c r="M352" s="316">
        <v>191124.70781250001</v>
      </c>
      <c r="N352" s="494" t="str">
        <f t="shared" si="43"/>
        <v>VGV</v>
      </c>
      <c r="O352" s="491" t="str">
        <f t="shared" si="44"/>
        <v>LONDRINA [ETAPA 04 - CONDOMINIO ARAGUARI]VGV</v>
      </c>
      <c r="P352" s="492" t="str">
        <f t="shared" si="45"/>
        <v>VGVRemanescenteLONDRINA [ETAPA 04 - CONDOMINIO ARAGUARI]</v>
      </c>
      <c r="Q352" s="485"/>
    </row>
    <row r="353" spans="1:17">
      <c r="A353" s="61" t="str">
        <f t="shared" si="42"/>
        <v>LONDRINA [ETAPA 04 - CONDOMINIO ARAGUARI]XLIX19</v>
      </c>
      <c r="B353" s="114" t="s">
        <v>878</v>
      </c>
      <c r="C353" s="42" t="s">
        <v>620</v>
      </c>
      <c r="D353" s="45">
        <v>19</v>
      </c>
      <c r="E353" s="64">
        <v>363.37</v>
      </c>
      <c r="F353" s="201"/>
      <c r="G353" s="41"/>
      <c r="H353" s="208"/>
      <c r="I353" s="259" t="str">
        <f t="shared" si="47"/>
        <v>LONDRINA [ETAPA 04 - CONDOMINIO ARAGUARI]1/1900</v>
      </c>
      <c r="J353" s="53" t="str">
        <f t="shared" si="46"/>
        <v>Remanescente1/1900</v>
      </c>
      <c r="K353" s="43"/>
      <c r="L353" s="43" t="s">
        <v>539</v>
      </c>
      <c r="M353" s="316">
        <v>212771</v>
      </c>
      <c r="N353" s="494" t="str">
        <f t="shared" si="43"/>
        <v>VGV</v>
      </c>
      <c r="O353" s="491" t="str">
        <f t="shared" si="44"/>
        <v>LONDRINA [ETAPA 04 - CONDOMINIO ARAGUARI]VGV</v>
      </c>
      <c r="P353" s="492" t="str">
        <f t="shared" si="45"/>
        <v>VGVRemanescenteLONDRINA [ETAPA 04 - CONDOMINIO ARAGUARI]</v>
      </c>
      <c r="Q353" s="485"/>
    </row>
    <row r="354" spans="1:17">
      <c r="A354" s="61" t="str">
        <f t="shared" si="42"/>
        <v>LONDRINA [ETAPA 04 - CONDOMINIO ARAGUARI]XLIX20</v>
      </c>
      <c r="B354" s="114" t="s">
        <v>878</v>
      </c>
      <c r="C354" s="42" t="s">
        <v>620</v>
      </c>
      <c r="D354" s="45">
        <v>20</v>
      </c>
      <c r="E354" s="64">
        <v>263.97000000000003</v>
      </c>
      <c r="F354" s="201"/>
      <c r="G354" s="41"/>
      <c r="H354" s="208"/>
      <c r="I354" s="259" t="str">
        <f t="shared" si="47"/>
        <v>LONDRINA [ETAPA 04 - CONDOMINIO ARAGUARI]1/1900</v>
      </c>
      <c r="J354" s="53" t="str">
        <f t="shared" si="46"/>
        <v>Remanescente1/1900</v>
      </c>
      <c r="K354" s="43"/>
      <c r="L354" s="43" t="s">
        <v>539</v>
      </c>
      <c r="M354" s="316">
        <v>151306.28414999999</v>
      </c>
      <c r="N354" s="494" t="str">
        <f t="shared" si="43"/>
        <v>VGV</v>
      </c>
      <c r="O354" s="491" t="str">
        <f t="shared" si="44"/>
        <v>LONDRINA [ETAPA 04 - CONDOMINIO ARAGUARI]VGV</v>
      </c>
      <c r="P354" s="492" t="str">
        <f t="shared" si="45"/>
        <v>VGVRemanescenteLONDRINA [ETAPA 04 - CONDOMINIO ARAGUARI]</v>
      </c>
      <c r="Q354" s="485"/>
    </row>
    <row r="355" spans="1:17">
      <c r="A355" s="61" t="str">
        <f t="shared" si="42"/>
        <v>LONDRINA [ETAPA 04 - CONDOMINIO ARAGUARI]XLIX21</v>
      </c>
      <c r="B355" s="114" t="s">
        <v>878</v>
      </c>
      <c r="C355" s="42" t="s">
        <v>620</v>
      </c>
      <c r="D355" s="45">
        <v>21</v>
      </c>
      <c r="E355" s="64">
        <v>263.97000000000003</v>
      </c>
      <c r="F355" s="201"/>
      <c r="G355" s="41"/>
      <c r="H355" s="208"/>
      <c r="I355" s="259" t="str">
        <f t="shared" si="47"/>
        <v>LONDRINA [ETAPA 04 - CONDOMINIO ARAGUARI]1/1900</v>
      </c>
      <c r="J355" s="53" t="str">
        <f t="shared" si="46"/>
        <v>Remanescente1/1900</v>
      </c>
      <c r="K355" s="43"/>
      <c r="L355" s="43" t="s">
        <v>539</v>
      </c>
      <c r="M355" s="316">
        <v>151306.28414999999</v>
      </c>
      <c r="N355" s="494" t="str">
        <f t="shared" si="43"/>
        <v>VGV</v>
      </c>
      <c r="O355" s="491" t="str">
        <f t="shared" si="44"/>
        <v>LONDRINA [ETAPA 04 - CONDOMINIO ARAGUARI]VGV</v>
      </c>
      <c r="P355" s="492" t="str">
        <f t="shared" si="45"/>
        <v>VGVRemanescenteLONDRINA [ETAPA 04 - CONDOMINIO ARAGUARI]</v>
      </c>
      <c r="Q355" s="485"/>
    </row>
    <row r="356" spans="1:17">
      <c r="A356" s="61" t="str">
        <f t="shared" si="42"/>
        <v>LONDRINA [ETAPA 04 - CONDOMINIO ARAGUARI]XLIX22</v>
      </c>
      <c r="B356" s="114" t="s">
        <v>878</v>
      </c>
      <c r="C356" s="42" t="s">
        <v>620</v>
      </c>
      <c r="D356" s="45">
        <v>22</v>
      </c>
      <c r="E356" s="64">
        <v>263.97000000000003</v>
      </c>
      <c r="F356" s="201"/>
      <c r="G356" s="41"/>
      <c r="H356" s="208"/>
      <c r="I356" s="259" t="str">
        <f t="shared" si="47"/>
        <v>LONDRINA [ETAPA 04 - CONDOMINIO ARAGUARI]1/1900</v>
      </c>
      <c r="J356" s="53" t="str">
        <f t="shared" si="46"/>
        <v>Remanescente1/1900</v>
      </c>
      <c r="K356" s="43"/>
      <c r="L356" s="43" t="s">
        <v>539</v>
      </c>
      <c r="M356" s="316">
        <v>151306.28414999999</v>
      </c>
      <c r="N356" s="494" t="str">
        <f t="shared" si="43"/>
        <v>VGV</v>
      </c>
      <c r="O356" s="491" t="str">
        <f t="shared" si="44"/>
        <v>LONDRINA [ETAPA 04 - CONDOMINIO ARAGUARI]VGV</v>
      </c>
      <c r="P356" s="492" t="str">
        <f t="shared" si="45"/>
        <v>VGVRemanescenteLONDRINA [ETAPA 04 - CONDOMINIO ARAGUARI]</v>
      </c>
      <c r="Q356" s="485"/>
    </row>
    <row r="357" spans="1:17">
      <c r="A357" s="61" t="str">
        <f t="shared" si="42"/>
        <v>LONDRINA [ETAPA 04 - CONDOMINIO ARAGUARI]XLIX23</v>
      </c>
      <c r="B357" s="114" t="s">
        <v>878</v>
      </c>
      <c r="C357" s="42" t="s">
        <v>620</v>
      </c>
      <c r="D357" s="45">
        <v>23</v>
      </c>
      <c r="E357" s="64">
        <v>263.97000000000003</v>
      </c>
      <c r="F357" s="201"/>
      <c r="G357" s="41"/>
      <c r="H357" s="208"/>
      <c r="I357" s="259" t="str">
        <f t="shared" si="47"/>
        <v>LONDRINA [ETAPA 04 - CONDOMINIO ARAGUARI]1/1900</v>
      </c>
      <c r="J357" s="53" t="str">
        <f t="shared" si="46"/>
        <v>Remanescente1/1900</v>
      </c>
      <c r="K357" s="43"/>
      <c r="L357" s="43" t="s">
        <v>539</v>
      </c>
      <c r="M357" s="316">
        <v>151306.28414999999</v>
      </c>
      <c r="N357" s="494" t="str">
        <f t="shared" si="43"/>
        <v>VGV</v>
      </c>
      <c r="O357" s="491" t="str">
        <f t="shared" si="44"/>
        <v>LONDRINA [ETAPA 04 - CONDOMINIO ARAGUARI]VGV</v>
      </c>
      <c r="P357" s="492" t="str">
        <f t="shared" si="45"/>
        <v>VGVRemanescenteLONDRINA [ETAPA 04 - CONDOMINIO ARAGUARI]</v>
      </c>
      <c r="Q357" s="485"/>
    </row>
    <row r="358" spans="1:17">
      <c r="A358" s="61" t="str">
        <f t="shared" si="42"/>
        <v>LONDRINA [ETAPA 04 - CONDOMINIO ARAGUARI]XLIX24</v>
      </c>
      <c r="B358" s="114" t="s">
        <v>878</v>
      </c>
      <c r="C358" s="42" t="s">
        <v>620</v>
      </c>
      <c r="D358" s="45">
        <v>24</v>
      </c>
      <c r="E358" s="64">
        <v>263.97000000000003</v>
      </c>
      <c r="F358" s="201"/>
      <c r="G358" s="41"/>
      <c r="H358" s="208"/>
      <c r="I358" s="259" t="str">
        <f t="shared" si="47"/>
        <v>LONDRINA [ETAPA 04 - CONDOMINIO ARAGUARI]1/1900</v>
      </c>
      <c r="J358" s="53" t="str">
        <f t="shared" si="46"/>
        <v>Remanescente1/1900</v>
      </c>
      <c r="K358" s="43"/>
      <c r="L358" s="43" t="s">
        <v>539</v>
      </c>
      <c r="M358" s="316">
        <v>151306.28414999999</v>
      </c>
      <c r="N358" s="494" t="str">
        <f t="shared" si="43"/>
        <v>VGV</v>
      </c>
      <c r="O358" s="491" t="str">
        <f t="shared" si="44"/>
        <v>LONDRINA [ETAPA 04 - CONDOMINIO ARAGUARI]VGV</v>
      </c>
      <c r="P358" s="492" t="str">
        <f t="shared" si="45"/>
        <v>VGVRemanescenteLONDRINA [ETAPA 04 - CONDOMINIO ARAGUARI]</v>
      </c>
      <c r="Q358" s="485"/>
    </row>
    <row r="359" spans="1:17">
      <c r="A359" s="61" t="str">
        <f t="shared" si="42"/>
        <v>LONDRINA [ETAPA 04 - CONDOMINIO ARAGUARI]XLIX25</v>
      </c>
      <c r="B359" s="114" t="s">
        <v>878</v>
      </c>
      <c r="C359" s="42" t="s">
        <v>620</v>
      </c>
      <c r="D359" s="45">
        <v>25</v>
      </c>
      <c r="E359" s="64">
        <v>263.97000000000003</v>
      </c>
      <c r="F359" s="201"/>
      <c r="G359" s="41"/>
      <c r="H359" s="208"/>
      <c r="I359" s="259" t="str">
        <f t="shared" si="47"/>
        <v>LONDRINA [ETAPA 04 - CONDOMINIO ARAGUARI]1/1900</v>
      </c>
      <c r="J359" s="53" t="str">
        <f t="shared" si="46"/>
        <v>Remanescente1/1900</v>
      </c>
      <c r="K359" s="43"/>
      <c r="L359" s="43" t="s">
        <v>539</v>
      </c>
      <c r="M359" s="316">
        <v>151306.28414999999</v>
      </c>
      <c r="N359" s="494" t="str">
        <f t="shared" si="43"/>
        <v>VGV</v>
      </c>
      <c r="O359" s="491" t="str">
        <f t="shared" si="44"/>
        <v>LONDRINA [ETAPA 04 - CONDOMINIO ARAGUARI]VGV</v>
      </c>
      <c r="P359" s="492" t="str">
        <f t="shared" si="45"/>
        <v>VGVRemanescenteLONDRINA [ETAPA 04 - CONDOMINIO ARAGUARI]</v>
      </c>
      <c r="Q359" s="485"/>
    </row>
    <row r="360" spans="1:17">
      <c r="A360" s="61" t="str">
        <f t="shared" si="42"/>
        <v>LONDRINA [ETAPA 04 - CONDOMINIO ARAGUARI]XLIX26</v>
      </c>
      <c r="B360" s="114" t="s">
        <v>878</v>
      </c>
      <c r="C360" s="42" t="s">
        <v>620</v>
      </c>
      <c r="D360" s="45">
        <v>26</v>
      </c>
      <c r="E360" s="64">
        <v>263.97000000000003</v>
      </c>
      <c r="F360" s="201"/>
      <c r="G360" s="41" t="s">
        <v>983</v>
      </c>
      <c r="H360" s="208">
        <v>43636</v>
      </c>
      <c r="I360" s="259" t="str">
        <f t="shared" si="47"/>
        <v>LONDRINA [ETAPA 04 - CONDOMINIO ARAGUARI]6/2019</v>
      </c>
      <c r="J360" s="53" t="str">
        <f t="shared" si="46"/>
        <v>Remanescente6/2019</v>
      </c>
      <c r="K360" s="43">
        <v>117500</v>
      </c>
      <c r="L360" s="43" t="s">
        <v>539</v>
      </c>
      <c r="M360" s="190">
        <v>0</v>
      </c>
      <c r="N360" s="494" t="str">
        <f t="shared" si="43"/>
        <v>VENDA</v>
      </c>
      <c r="O360" s="491" t="str">
        <f t="shared" si="44"/>
        <v>LONDRINA [ETAPA 04 - CONDOMINIO ARAGUARI]VENDA</v>
      </c>
      <c r="P360" s="492" t="str">
        <f t="shared" si="45"/>
        <v>VENDARemanescenteLONDRINA [ETAPA 04 - CONDOMINIO ARAGUARI]</v>
      </c>
      <c r="Q360" s="485"/>
    </row>
    <row r="361" spans="1:17">
      <c r="A361" s="61" t="str">
        <f t="shared" si="42"/>
        <v>LONDRINA [ETAPA 04 - CONDOMINIO ARAGUARI]XLIX27</v>
      </c>
      <c r="B361" s="114" t="s">
        <v>878</v>
      </c>
      <c r="C361" s="42" t="s">
        <v>620</v>
      </c>
      <c r="D361" s="45">
        <v>27</v>
      </c>
      <c r="E361" s="64">
        <v>263.97000000000003</v>
      </c>
      <c r="F361" s="201"/>
      <c r="G361" s="41" t="s">
        <v>983</v>
      </c>
      <c r="H361" s="208">
        <v>43867</v>
      </c>
      <c r="I361" s="259" t="str">
        <f t="shared" si="47"/>
        <v>LONDRINA [ETAPA 04 - CONDOMINIO ARAGUARI]2/2020</v>
      </c>
      <c r="J361" s="53" t="str">
        <f t="shared" si="46"/>
        <v>Remanescente2/2020</v>
      </c>
      <c r="K361" s="43">
        <v>117500</v>
      </c>
      <c r="L361" s="43" t="s">
        <v>539</v>
      </c>
      <c r="M361" s="190">
        <v>0</v>
      </c>
      <c r="N361" s="494" t="str">
        <f t="shared" si="43"/>
        <v>VENDA</v>
      </c>
      <c r="O361" s="491" t="str">
        <f t="shared" si="44"/>
        <v>LONDRINA [ETAPA 04 - CONDOMINIO ARAGUARI]VENDA</v>
      </c>
      <c r="P361" s="492" t="str">
        <f t="shared" si="45"/>
        <v>VENDARemanescenteLONDRINA [ETAPA 04 - CONDOMINIO ARAGUARI]</v>
      </c>
      <c r="Q361" s="485"/>
    </row>
    <row r="362" spans="1:17">
      <c r="A362" s="61" t="str">
        <f t="shared" si="42"/>
        <v>LONDRINA [ETAPA 04 - CONDOMINIO ARAGUARI]XLIX28</v>
      </c>
      <c r="B362" s="114" t="s">
        <v>878</v>
      </c>
      <c r="C362" s="42" t="s">
        <v>620</v>
      </c>
      <c r="D362" s="45">
        <v>28</v>
      </c>
      <c r="E362" s="64">
        <v>263.97000000000003</v>
      </c>
      <c r="F362" s="201"/>
      <c r="G362" s="41"/>
      <c r="H362" s="208"/>
      <c r="I362" s="259" t="str">
        <f t="shared" si="47"/>
        <v>LONDRINA [ETAPA 04 - CONDOMINIO ARAGUARI]1/1900</v>
      </c>
      <c r="J362" s="53" t="str">
        <f t="shared" si="46"/>
        <v>Remanescente1/1900</v>
      </c>
      <c r="K362" s="43"/>
      <c r="L362" s="43" t="s">
        <v>539</v>
      </c>
      <c r="M362" s="316">
        <v>151306.28414999999</v>
      </c>
      <c r="N362" s="494" t="str">
        <f t="shared" si="43"/>
        <v>VGV</v>
      </c>
      <c r="O362" s="491" t="str">
        <f t="shared" si="44"/>
        <v>LONDRINA [ETAPA 04 - CONDOMINIO ARAGUARI]VGV</v>
      </c>
      <c r="P362" s="492" t="str">
        <f t="shared" si="45"/>
        <v>VGVRemanescenteLONDRINA [ETAPA 04 - CONDOMINIO ARAGUARI]</v>
      </c>
      <c r="Q362" s="485"/>
    </row>
    <row r="363" spans="1:17">
      <c r="A363" s="61" t="str">
        <f t="shared" si="42"/>
        <v>LONDRINA [ETAPA 04 - CONDOMINIO ARAGUARI]XLIX29</v>
      </c>
      <c r="B363" s="114" t="s">
        <v>878</v>
      </c>
      <c r="C363" s="42" t="s">
        <v>620</v>
      </c>
      <c r="D363" s="45">
        <v>29</v>
      </c>
      <c r="E363" s="64">
        <v>263.97000000000003</v>
      </c>
      <c r="F363" s="201"/>
      <c r="G363" s="41"/>
      <c r="H363" s="208"/>
      <c r="I363" s="259" t="str">
        <f t="shared" si="47"/>
        <v>LONDRINA [ETAPA 04 - CONDOMINIO ARAGUARI]1/1900</v>
      </c>
      <c r="J363" s="53" t="str">
        <f t="shared" si="46"/>
        <v>Remanescente1/1900</v>
      </c>
      <c r="K363" s="43"/>
      <c r="L363" s="43" t="s">
        <v>539</v>
      </c>
      <c r="M363" s="316">
        <v>151306.28414999999</v>
      </c>
      <c r="N363" s="494" t="str">
        <f t="shared" si="43"/>
        <v>VGV</v>
      </c>
      <c r="O363" s="491" t="str">
        <f t="shared" si="44"/>
        <v>LONDRINA [ETAPA 04 - CONDOMINIO ARAGUARI]VGV</v>
      </c>
      <c r="P363" s="492" t="str">
        <f t="shared" si="45"/>
        <v>VGVRemanescenteLONDRINA [ETAPA 04 - CONDOMINIO ARAGUARI]</v>
      </c>
      <c r="Q363" s="485"/>
    </row>
    <row r="364" spans="1:17">
      <c r="A364" s="61" t="str">
        <f t="shared" si="42"/>
        <v>LONDRINA [ETAPA 04 - CONDOMINIO ARAGUARI]XLIX30</v>
      </c>
      <c r="B364" s="114" t="s">
        <v>878</v>
      </c>
      <c r="C364" s="42" t="s">
        <v>620</v>
      </c>
      <c r="D364" s="45">
        <v>30</v>
      </c>
      <c r="E364" s="64">
        <v>263.97000000000003</v>
      </c>
      <c r="F364" s="201"/>
      <c r="G364" s="41"/>
      <c r="H364" s="208"/>
      <c r="I364" s="259" t="str">
        <f t="shared" si="47"/>
        <v>LONDRINA [ETAPA 04 - CONDOMINIO ARAGUARI]1/1900</v>
      </c>
      <c r="J364" s="53" t="str">
        <f t="shared" si="46"/>
        <v>Remanescente1/1900</v>
      </c>
      <c r="K364" s="43"/>
      <c r="L364" s="43" t="s">
        <v>539</v>
      </c>
      <c r="M364" s="316">
        <v>151306.28414999999</v>
      </c>
      <c r="N364" s="494" t="str">
        <f t="shared" si="43"/>
        <v>VGV</v>
      </c>
      <c r="O364" s="491" t="str">
        <f t="shared" si="44"/>
        <v>LONDRINA [ETAPA 04 - CONDOMINIO ARAGUARI]VGV</v>
      </c>
      <c r="P364" s="492" t="str">
        <f t="shared" si="45"/>
        <v>VGVRemanescenteLONDRINA [ETAPA 04 - CONDOMINIO ARAGUARI]</v>
      </c>
      <c r="Q364" s="485"/>
    </row>
    <row r="365" spans="1:17">
      <c r="A365" s="61" t="str">
        <f t="shared" si="42"/>
        <v>LONDRINA [ETAPA 04 - CONDOMINIO ARAGUARI]XLIX31</v>
      </c>
      <c r="B365" s="114" t="s">
        <v>878</v>
      </c>
      <c r="C365" s="42" t="s">
        <v>620</v>
      </c>
      <c r="D365" s="45">
        <v>31</v>
      </c>
      <c r="E365" s="64">
        <v>263.97000000000003</v>
      </c>
      <c r="F365" s="201"/>
      <c r="G365" s="41"/>
      <c r="H365" s="208"/>
      <c r="I365" s="259" t="str">
        <f t="shared" si="47"/>
        <v>LONDRINA [ETAPA 04 - CONDOMINIO ARAGUARI]1/1900</v>
      </c>
      <c r="J365" s="53" t="str">
        <f t="shared" si="46"/>
        <v>Remanescente1/1900</v>
      </c>
      <c r="K365" s="43"/>
      <c r="L365" s="43" t="s">
        <v>539</v>
      </c>
      <c r="M365" s="316">
        <v>151306.28414999999</v>
      </c>
      <c r="N365" s="494" t="str">
        <f t="shared" si="43"/>
        <v>VGV</v>
      </c>
      <c r="O365" s="491" t="str">
        <f t="shared" si="44"/>
        <v>LONDRINA [ETAPA 04 - CONDOMINIO ARAGUARI]VGV</v>
      </c>
      <c r="P365" s="492" t="str">
        <f t="shared" si="45"/>
        <v>VGVRemanescenteLONDRINA [ETAPA 04 - CONDOMINIO ARAGUARI]</v>
      </c>
      <c r="Q365" s="485"/>
    </row>
    <row r="366" spans="1:17">
      <c r="A366" s="61" t="str">
        <f t="shared" si="42"/>
        <v>LONDRINA [ETAPA 04 - CONDOMINIO ARAGUARI]XLIX32</v>
      </c>
      <c r="B366" s="114" t="s">
        <v>878</v>
      </c>
      <c r="C366" s="42" t="s">
        <v>620</v>
      </c>
      <c r="D366" s="45">
        <v>32</v>
      </c>
      <c r="E366" s="64">
        <v>263.97000000000003</v>
      </c>
      <c r="F366" s="201"/>
      <c r="G366" s="41"/>
      <c r="H366" s="208"/>
      <c r="I366" s="259" t="str">
        <f t="shared" si="47"/>
        <v>LONDRINA [ETAPA 04 - CONDOMINIO ARAGUARI]1/1900</v>
      </c>
      <c r="J366" s="53" t="str">
        <f t="shared" si="46"/>
        <v>Remanescente1/1900</v>
      </c>
      <c r="K366" s="43"/>
      <c r="L366" s="43" t="s">
        <v>539</v>
      </c>
      <c r="M366" s="316">
        <v>151306.28414999999</v>
      </c>
      <c r="N366" s="494" t="str">
        <f t="shared" si="43"/>
        <v>VGV</v>
      </c>
      <c r="O366" s="491" t="str">
        <f t="shared" si="44"/>
        <v>LONDRINA [ETAPA 04 - CONDOMINIO ARAGUARI]VGV</v>
      </c>
      <c r="P366" s="492" t="str">
        <f t="shared" si="45"/>
        <v>VGVRemanescenteLONDRINA [ETAPA 04 - CONDOMINIO ARAGUARI]</v>
      </c>
      <c r="Q366" s="485"/>
    </row>
    <row r="367" spans="1:17">
      <c r="A367" s="61" t="str">
        <f t="shared" si="42"/>
        <v>LONDRINA [ETAPA 04 - CONDOMINIO ARAGUARI]XLIX33</v>
      </c>
      <c r="B367" s="114" t="s">
        <v>878</v>
      </c>
      <c r="C367" s="42" t="s">
        <v>620</v>
      </c>
      <c r="D367" s="45">
        <v>33</v>
      </c>
      <c r="E367" s="64">
        <v>274.63</v>
      </c>
      <c r="F367" s="201"/>
      <c r="G367" s="41"/>
      <c r="H367" s="208"/>
      <c r="I367" s="259" t="str">
        <f t="shared" si="47"/>
        <v>LONDRINA [ETAPA 04 - CONDOMINIO ARAGUARI]1/1900</v>
      </c>
      <c r="J367" s="53" t="str">
        <f t="shared" si="46"/>
        <v>Remanescente1/1900</v>
      </c>
      <c r="K367" s="43"/>
      <c r="L367" s="43" t="s">
        <v>539</v>
      </c>
      <c r="M367" s="316">
        <v>157416.54285000003</v>
      </c>
      <c r="N367" s="494" t="str">
        <f t="shared" si="43"/>
        <v>VGV</v>
      </c>
      <c r="O367" s="491" t="str">
        <f t="shared" si="44"/>
        <v>LONDRINA [ETAPA 04 - CONDOMINIO ARAGUARI]VGV</v>
      </c>
      <c r="P367" s="492" t="str">
        <f t="shared" si="45"/>
        <v>VGVRemanescenteLONDRINA [ETAPA 04 - CONDOMINIO ARAGUARI]</v>
      </c>
      <c r="Q367" s="485"/>
    </row>
    <row r="368" spans="1:17">
      <c r="A368" s="61" t="str">
        <f t="shared" si="42"/>
        <v>LONDRINA [ETAPA 04 - CONDOMINIO ARAGUARI]XLIX34</v>
      </c>
      <c r="B368" s="114" t="s">
        <v>878</v>
      </c>
      <c r="C368" s="42" t="s">
        <v>620</v>
      </c>
      <c r="D368" s="45">
        <v>34</v>
      </c>
      <c r="E368" s="64">
        <v>274.63</v>
      </c>
      <c r="F368" s="201"/>
      <c r="G368" s="41" t="s">
        <v>1357</v>
      </c>
      <c r="H368" s="208">
        <v>44113</v>
      </c>
      <c r="I368" s="259" t="str">
        <f t="shared" si="47"/>
        <v>LONDRINA [ETAPA 04 - CONDOMINIO ARAGUARI]10/2020</v>
      </c>
      <c r="J368" s="53" t="str">
        <f t="shared" si="46"/>
        <v>Remanescente10/2020</v>
      </c>
      <c r="K368" s="43">
        <v>119662</v>
      </c>
      <c r="L368" s="43" t="s">
        <v>539</v>
      </c>
      <c r="M368" s="190">
        <v>0</v>
      </c>
      <c r="N368" s="494" t="str">
        <f t="shared" si="43"/>
        <v>VENDA</v>
      </c>
      <c r="O368" s="491" t="str">
        <f t="shared" si="44"/>
        <v>LONDRINA [ETAPA 04 - CONDOMINIO ARAGUARI]VENDA</v>
      </c>
      <c r="P368" s="492" t="str">
        <f t="shared" si="45"/>
        <v>VENDARemanescenteLONDRINA [ETAPA 04 - CONDOMINIO ARAGUARI]</v>
      </c>
      <c r="Q368" s="485"/>
    </row>
    <row r="369" spans="1:17">
      <c r="A369" s="61" t="str">
        <f t="shared" si="42"/>
        <v>LONDRINA [ETAPA 04 - CONDOMINIO ARAGUARI]XLIX35</v>
      </c>
      <c r="B369" s="114" t="s">
        <v>878</v>
      </c>
      <c r="C369" s="42" t="s">
        <v>620</v>
      </c>
      <c r="D369" s="45">
        <v>35</v>
      </c>
      <c r="E369" s="64">
        <v>360.65</v>
      </c>
      <c r="F369" s="201"/>
      <c r="G369" s="41"/>
      <c r="H369" s="208"/>
      <c r="I369" s="259" t="str">
        <f t="shared" si="47"/>
        <v>LONDRINA [ETAPA 04 - CONDOMINIO ARAGUARI]1/1900</v>
      </c>
      <c r="J369" s="53" t="str">
        <f t="shared" si="46"/>
        <v>Remanescente1/1900</v>
      </c>
      <c r="K369" s="43"/>
      <c r="L369" s="43" t="s">
        <v>539</v>
      </c>
      <c r="M369" s="316">
        <v>243932.87656499993</v>
      </c>
      <c r="N369" s="494" t="str">
        <f t="shared" si="43"/>
        <v>VGV</v>
      </c>
      <c r="O369" s="491" t="str">
        <f t="shared" si="44"/>
        <v>LONDRINA [ETAPA 04 - CONDOMINIO ARAGUARI]VGV</v>
      </c>
      <c r="P369" s="492" t="str">
        <f t="shared" si="45"/>
        <v>VGVRemanescenteLONDRINA [ETAPA 04 - CONDOMINIO ARAGUARI]</v>
      </c>
      <c r="Q369" s="485"/>
    </row>
    <row r="370" spans="1:17">
      <c r="A370" s="61" t="str">
        <f t="shared" si="42"/>
        <v>LONDRINA [ETAPA 04 - CONDOMINIO ARAGUARI]XLV1</v>
      </c>
      <c r="B370" s="114" t="s">
        <v>878</v>
      </c>
      <c r="C370" s="42" t="s">
        <v>616</v>
      </c>
      <c r="D370" s="45">
        <v>1</v>
      </c>
      <c r="E370" s="64">
        <v>274.93</v>
      </c>
      <c r="F370" s="201">
        <v>5088</v>
      </c>
      <c r="G370" s="41" t="s">
        <v>1493</v>
      </c>
      <c r="H370" s="208">
        <v>44258</v>
      </c>
      <c r="I370" s="259" t="str">
        <f t="shared" si="47"/>
        <v>LONDRINA [ETAPA 04 - CONDOMINIO ARAGUARI]3/2021</v>
      </c>
      <c r="J370" s="53" t="str">
        <f t="shared" si="46"/>
        <v>Remanescente3/2021</v>
      </c>
      <c r="K370" s="43">
        <v>171834.46</v>
      </c>
      <c r="L370" s="43" t="s">
        <v>539</v>
      </c>
      <c r="M370" s="316">
        <v>0</v>
      </c>
      <c r="N370" s="494" t="str">
        <f t="shared" si="43"/>
        <v>VENDA</v>
      </c>
      <c r="O370" s="491" t="str">
        <f t="shared" si="44"/>
        <v>LONDRINA [ETAPA 04 - CONDOMINIO ARAGUARI]VENDA</v>
      </c>
      <c r="P370" s="492" t="str">
        <f t="shared" si="45"/>
        <v>VENDARemanescenteLONDRINA [ETAPA 04 - CONDOMINIO ARAGUARI]</v>
      </c>
      <c r="Q370" s="485"/>
    </row>
    <row r="371" spans="1:17">
      <c r="A371" s="61" t="str">
        <f t="shared" si="42"/>
        <v>LONDRINA [ETAPA 04 - CONDOMINIO ARAGUARI]XLV2</v>
      </c>
      <c r="B371" s="114" t="s">
        <v>878</v>
      </c>
      <c r="C371" s="42" t="s">
        <v>616</v>
      </c>
      <c r="D371" s="45">
        <v>2</v>
      </c>
      <c r="E371" s="64">
        <v>263.04000000000002</v>
      </c>
      <c r="F371" s="243">
        <v>4993</v>
      </c>
      <c r="G371" s="41" t="s">
        <v>1415</v>
      </c>
      <c r="H371" s="208">
        <v>44222</v>
      </c>
      <c r="I371" s="259" t="str">
        <f t="shared" si="47"/>
        <v>LONDRINA [ETAPA 04 - CONDOMINIO ARAGUARI]1/2021</v>
      </c>
      <c r="J371" s="53" t="str">
        <f t="shared" si="46"/>
        <v>Remanescente1/2021</v>
      </c>
      <c r="K371" s="43">
        <v>159471.6</v>
      </c>
      <c r="L371" s="43" t="s">
        <v>539</v>
      </c>
      <c r="M371" s="190">
        <v>0</v>
      </c>
      <c r="N371" s="494" t="str">
        <f t="shared" si="43"/>
        <v>VENDA</v>
      </c>
      <c r="O371" s="491" t="str">
        <f t="shared" si="44"/>
        <v>LONDRINA [ETAPA 04 - CONDOMINIO ARAGUARI]VENDA</v>
      </c>
      <c r="P371" s="492" t="str">
        <f t="shared" si="45"/>
        <v>VENDARemanescenteLONDRINA [ETAPA 04 - CONDOMINIO ARAGUARI]</v>
      </c>
      <c r="Q371" s="485"/>
    </row>
    <row r="372" spans="1:17">
      <c r="A372" s="61" t="str">
        <f t="shared" si="42"/>
        <v>LONDRINA [ETAPA 04 - CONDOMINIO ARAGUARI]XLV3</v>
      </c>
      <c r="B372" s="114" t="s">
        <v>878</v>
      </c>
      <c r="C372" s="42" t="s">
        <v>616</v>
      </c>
      <c r="D372" s="45">
        <v>3</v>
      </c>
      <c r="E372" s="64">
        <v>268.16000000000003</v>
      </c>
      <c r="F372" s="243">
        <v>5020</v>
      </c>
      <c r="G372" s="41" t="s">
        <v>1479</v>
      </c>
      <c r="H372" s="208">
        <v>44236</v>
      </c>
      <c r="I372" s="259" t="str">
        <f t="shared" si="47"/>
        <v>LONDRINA [ETAPA 04 - CONDOMINIO ARAGUARI]2/2021</v>
      </c>
      <c r="J372" s="53" t="str">
        <f t="shared" si="46"/>
        <v>Remanescente2/2021</v>
      </c>
      <c r="K372" s="43">
        <v>164500.1</v>
      </c>
      <c r="L372" s="43" t="s">
        <v>539</v>
      </c>
      <c r="M372" s="316">
        <v>0</v>
      </c>
      <c r="N372" s="494" t="str">
        <f t="shared" si="43"/>
        <v>VENDA</v>
      </c>
      <c r="O372" s="491" t="str">
        <f t="shared" si="44"/>
        <v>LONDRINA [ETAPA 04 - CONDOMINIO ARAGUARI]VENDA</v>
      </c>
      <c r="P372" s="492" t="str">
        <f t="shared" si="45"/>
        <v>VENDARemanescenteLONDRINA [ETAPA 04 - CONDOMINIO ARAGUARI]</v>
      </c>
      <c r="Q372" s="485"/>
    </row>
    <row r="373" spans="1:17">
      <c r="A373" s="61" t="str">
        <f t="shared" si="42"/>
        <v>LONDRINA [ETAPA 04 - CONDOMINIO ARAGUARI]XLV4</v>
      </c>
      <c r="B373" s="114" t="s">
        <v>878</v>
      </c>
      <c r="C373" s="42" t="s">
        <v>616</v>
      </c>
      <c r="D373" s="45">
        <v>4</v>
      </c>
      <c r="E373" s="64">
        <v>268.16000000000003</v>
      </c>
      <c r="F373" s="201"/>
      <c r="G373" s="41"/>
      <c r="H373" s="208"/>
      <c r="I373" s="259" t="str">
        <f t="shared" si="47"/>
        <v>LONDRINA [ETAPA 04 - CONDOMINIO ARAGUARI]1/1900</v>
      </c>
      <c r="J373" s="53" t="str">
        <f t="shared" si="46"/>
        <v>Remanescente1/1900</v>
      </c>
      <c r="K373" s="43"/>
      <c r="L373" s="43" t="s">
        <v>539</v>
      </c>
      <c r="M373" s="316">
        <v>178301.24659200001</v>
      </c>
      <c r="N373" s="494" t="str">
        <f t="shared" si="43"/>
        <v>VGV</v>
      </c>
      <c r="O373" s="491" t="str">
        <f t="shared" si="44"/>
        <v>LONDRINA [ETAPA 04 - CONDOMINIO ARAGUARI]VGV</v>
      </c>
      <c r="P373" s="492" t="str">
        <f t="shared" si="45"/>
        <v>VGVRemanescenteLONDRINA [ETAPA 04 - CONDOMINIO ARAGUARI]</v>
      </c>
      <c r="Q373" s="485"/>
    </row>
    <row r="374" spans="1:17">
      <c r="A374" s="61" t="str">
        <f t="shared" si="42"/>
        <v>LONDRINA [ETAPA 04 - CONDOMINIO ARAGUARI]XLV5</v>
      </c>
      <c r="B374" s="114" t="s">
        <v>878</v>
      </c>
      <c r="C374" s="42" t="s">
        <v>616</v>
      </c>
      <c r="D374" s="45">
        <v>5</v>
      </c>
      <c r="E374" s="64">
        <v>268.16000000000003</v>
      </c>
      <c r="F374" s="201">
        <v>5122</v>
      </c>
      <c r="G374" s="41" t="s">
        <v>1506</v>
      </c>
      <c r="H374" s="208">
        <v>44258</v>
      </c>
      <c r="I374" s="259" t="str">
        <f t="shared" si="47"/>
        <v>LONDRINA [ETAPA 04 - CONDOMINIO ARAGUARI]3/2021</v>
      </c>
      <c r="J374" s="53" t="str">
        <f t="shared" si="46"/>
        <v>Remanescente3/2021</v>
      </c>
      <c r="K374" s="43">
        <v>154160</v>
      </c>
      <c r="L374" s="43" t="s">
        <v>539</v>
      </c>
      <c r="M374" s="316">
        <v>0</v>
      </c>
      <c r="N374" s="494" t="str">
        <f t="shared" si="43"/>
        <v>VENDA</v>
      </c>
      <c r="O374" s="491" t="str">
        <f t="shared" si="44"/>
        <v>LONDRINA [ETAPA 04 - CONDOMINIO ARAGUARI]VENDA</v>
      </c>
      <c r="P374" s="492" t="str">
        <f t="shared" si="45"/>
        <v>VENDARemanescenteLONDRINA [ETAPA 04 - CONDOMINIO ARAGUARI]</v>
      </c>
      <c r="Q374" s="485"/>
    </row>
    <row r="375" spans="1:17">
      <c r="A375" s="61" t="str">
        <f t="shared" si="42"/>
        <v>LONDRINA [ETAPA 04 - CONDOMINIO ARAGUARI]XLV6</v>
      </c>
      <c r="B375" s="114" t="s">
        <v>878</v>
      </c>
      <c r="C375" s="42" t="s">
        <v>616</v>
      </c>
      <c r="D375" s="45">
        <v>6</v>
      </c>
      <c r="E375" s="64">
        <v>268.16000000000003</v>
      </c>
      <c r="F375" s="201"/>
      <c r="G375" s="41"/>
      <c r="H375" s="208"/>
      <c r="I375" s="259" t="str">
        <f t="shared" si="47"/>
        <v>LONDRINA [ETAPA 04 - CONDOMINIO ARAGUARI]1/1900</v>
      </c>
      <c r="J375" s="53" t="str">
        <f t="shared" si="46"/>
        <v>Remanescente1/1900</v>
      </c>
      <c r="K375" s="43"/>
      <c r="L375" s="43" t="s">
        <v>539</v>
      </c>
      <c r="M375" s="316">
        <v>178301.24659200001</v>
      </c>
      <c r="N375" s="494" t="str">
        <f t="shared" si="43"/>
        <v>VGV</v>
      </c>
      <c r="O375" s="491" t="str">
        <f t="shared" si="44"/>
        <v>LONDRINA [ETAPA 04 - CONDOMINIO ARAGUARI]VGV</v>
      </c>
      <c r="P375" s="492" t="str">
        <f t="shared" si="45"/>
        <v>VGVRemanescenteLONDRINA [ETAPA 04 - CONDOMINIO ARAGUARI]</v>
      </c>
      <c r="Q375" s="485"/>
    </row>
    <row r="376" spans="1:17">
      <c r="A376" s="61" t="str">
        <f t="shared" si="42"/>
        <v>LONDRINA [ETAPA 04 - CONDOMINIO ARAGUARI]XLV7</v>
      </c>
      <c r="B376" s="114" t="s">
        <v>878</v>
      </c>
      <c r="C376" s="42" t="s">
        <v>616</v>
      </c>
      <c r="D376" s="45">
        <v>7</v>
      </c>
      <c r="E376" s="64">
        <v>268.16000000000003</v>
      </c>
      <c r="F376" s="201">
        <v>5094</v>
      </c>
      <c r="G376" s="41" t="s">
        <v>1494</v>
      </c>
      <c r="H376" s="208">
        <v>44259</v>
      </c>
      <c r="I376" s="259" t="str">
        <f t="shared" si="47"/>
        <v>LONDRINA [ETAPA 04 - CONDOMINIO ARAGUARI]3/2021</v>
      </c>
      <c r="J376" s="53" t="str">
        <f t="shared" si="46"/>
        <v>Remanescente3/2021</v>
      </c>
      <c r="K376" s="43">
        <v>155100</v>
      </c>
      <c r="L376" s="43" t="s">
        <v>539</v>
      </c>
      <c r="M376" s="316">
        <v>0</v>
      </c>
      <c r="N376" s="494" t="str">
        <f t="shared" si="43"/>
        <v>VENDA</v>
      </c>
      <c r="O376" s="491" t="str">
        <f t="shared" si="44"/>
        <v>LONDRINA [ETAPA 04 - CONDOMINIO ARAGUARI]VENDA</v>
      </c>
      <c r="P376" s="492" t="str">
        <f t="shared" si="45"/>
        <v>VENDARemanescenteLONDRINA [ETAPA 04 - CONDOMINIO ARAGUARI]</v>
      </c>
      <c r="Q376" s="485"/>
    </row>
    <row r="377" spans="1:17">
      <c r="A377" s="61" t="str">
        <f t="shared" si="42"/>
        <v>LONDRINA [ETAPA 04 - CONDOMINIO ARAGUARI]XLV8</v>
      </c>
      <c r="B377" s="114" t="s">
        <v>878</v>
      </c>
      <c r="C377" s="42" t="s">
        <v>616</v>
      </c>
      <c r="D377" s="45">
        <v>8</v>
      </c>
      <c r="E377" s="64">
        <v>268.16000000000003</v>
      </c>
      <c r="F377" s="201">
        <v>5117</v>
      </c>
      <c r="G377" s="41" t="s">
        <v>1495</v>
      </c>
      <c r="H377" s="208">
        <v>44266</v>
      </c>
      <c r="I377" s="259" t="str">
        <f t="shared" si="47"/>
        <v>LONDRINA [ETAPA 04 - CONDOMINIO ARAGUARI]3/2021</v>
      </c>
      <c r="J377" s="53" t="str">
        <f t="shared" si="46"/>
        <v>Remanescente3/2021</v>
      </c>
      <c r="K377" s="43">
        <v>143726.1</v>
      </c>
      <c r="L377" s="43" t="s">
        <v>539</v>
      </c>
      <c r="M377" s="316">
        <v>0</v>
      </c>
      <c r="N377" s="494" t="str">
        <f t="shared" si="43"/>
        <v>VENDA</v>
      </c>
      <c r="O377" s="491" t="str">
        <f t="shared" si="44"/>
        <v>LONDRINA [ETAPA 04 - CONDOMINIO ARAGUARI]VENDA</v>
      </c>
      <c r="P377" s="492" t="str">
        <f t="shared" si="45"/>
        <v>VENDARemanescenteLONDRINA [ETAPA 04 - CONDOMINIO ARAGUARI]</v>
      </c>
      <c r="Q377" s="485"/>
    </row>
    <row r="378" spans="1:17">
      <c r="A378" s="61" t="str">
        <f t="shared" si="42"/>
        <v>LONDRINA [ETAPA 04 - CONDOMINIO ARAGUARI]XLV9</v>
      </c>
      <c r="B378" s="114" t="s">
        <v>878</v>
      </c>
      <c r="C378" s="42" t="s">
        <v>616</v>
      </c>
      <c r="D378" s="45">
        <v>9</v>
      </c>
      <c r="E378" s="64">
        <v>268.16000000000003</v>
      </c>
      <c r="F378" s="201"/>
      <c r="G378" s="41"/>
      <c r="H378" s="208"/>
      <c r="I378" s="259" t="str">
        <f t="shared" si="47"/>
        <v>LONDRINA [ETAPA 04 - CONDOMINIO ARAGUARI]1/1900</v>
      </c>
      <c r="J378" s="53" t="str">
        <f t="shared" si="46"/>
        <v>Remanescente1/1900</v>
      </c>
      <c r="K378" s="43"/>
      <c r="L378" s="43" t="s">
        <v>539</v>
      </c>
      <c r="M378" s="316">
        <v>178301.24659200001</v>
      </c>
      <c r="N378" s="494" t="str">
        <f t="shared" si="43"/>
        <v>VGV</v>
      </c>
      <c r="O378" s="491" t="str">
        <f t="shared" si="44"/>
        <v>LONDRINA [ETAPA 04 - CONDOMINIO ARAGUARI]VGV</v>
      </c>
      <c r="P378" s="492" t="str">
        <f t="shared" si="45"/>
        <v>VGVRemanescenteLONDRINA [ETAPA 04 - CONDOMINIO ARAGUARI]</v>
      </c>
      <c r="Q378" s="485"/>
    </row>
    <row r="379" spans="1:17">
      <c r="A379" s="61" t="str">
        <f t="shared" si="42"/>
        <v>LONDRINA [ETAPA 04 - CONDOMINIO ARAGUARI]XLV10</v>
      </c>
      <c r="B379" s="114" t="s">
        <v>878</v>
      </c>
      <c r="C379" s="42" t="s">
        <v>616</v>
      </c>
      <c r="D379" s="45">
        <v>10</v>
      </c>
      <c r="E379" s="64">
        <v>268.16000000000003</v>
      </c>
      <c r="F379" s="201"/>
      <c r="G379" s="41"/>
      <c r="H379" s="208"/>
      <c r="I379" s="259" t="str">
        <f t="shared" si="47"/>
        <v>LONDRINA [ETAPA 04 - CONDOMINIO ARAGUARI]1/1900</v>
      </c>
      <c r="J379" s="53" t="str">
        <f t="shared" si="46"/>
        <v>Remanescente1/1900</v>
      </c>
      <c r="K379" s="43"/>
      <c r="L379" s="43" t="s">
        <v>539</v>
      </c>
      <c r="M379" s="316">
        <v>178301.24659200001</v>
      </c>
      <c r="N379" s="494" t="str">
        <f t="shared" si="43"/>
        <v>VGV</v>
      </c>
      <c r="O379" s="491" t="str">
        <f t="shared" si="44"/>
        <v>LONDRINA [ETAPA 04 - CONDOMINIO ARAGUARI]VGV</v>
      </c>
      <c r="P379" s="492" t="str">
        <f t="shared" si="45"/>
        <v>VGVRemanescenteLONDRINA [ETAPA 04 - CONDOMINIO ARAGUARI]</v>
      </c>
      <c r="Q379" s="485"/>
    </row>
    <row r="380" spans="1:17">
      <c r="A380" s="61" t="str">
        <f t="shared" si="42"/>
        <v>LONDRINA [ETAPA 04 - CONDOMINIO ARAGUARI]XLV11</v>
      </c>
      <c r="B380" s="114" t="s">
        <v>878</v>
      </c>
      <c r="C380" s="42" t="s">
        <v>616</v>
      </c>
      <c r="D380" s="45">
        <v>11</v>
      </c>
      <c r="E380" s="64">
        <v>268.16000000000003</v>
      </c>
      <c r="F380" s="243">
        <v>3819</v>
      </c>
      <c r="G380" s="41" t="s">
        <v>1149</v>
      </c>
      <c r="H380" s="208">
        <v>43900</v>
      </c>
      <c r="I380" s="259" t="str">
        <f t="shared" si="47"/>
        <v>LONDRINA [ETAPA 04 - CONDOMINIO ARAGUARI]3/2020</v>
      </c>
      <c r="J380" s="53" t="str">
        <f t="shared" si="46"/>
        <v>Remanescente3/2020</v>
      </c>
      <c r="K380" s="43">
        <v>129815.67999999999</v>
      </c>
      <c r="L380" s="43" t="s">
        <v>539</v>
      </c>
      <c r="M380" s="190">
        <v>0</v>
      </c>
      <c r="N380" s="494" t="str">
        <f t="shared" si="43"/>
        <v>VENDA</v>
      </c>
      <c r="O380" s="491" t="str">
        <f t="shared" si="44"/>
        <v>LONDRINA [ETAPA 04 - CONDOMINIO ARAGUARI]VENDA</v>
      </c>
      <c r="P380" s="492" t="str">
        <f t="shared" si="45"/>
        <v>VENDARemanescenteLONDRINA [ETAPA 04 - CONDOMINIO ARAGUARI]</v>
      </c>
      <c r="Q380" s="485"/>
    </row>
    <row r="381" spans="1:17">
      <c r="A381" s="61" t="str">
        <f t="shared" si="42"/>
        <v>LONDRINA [ETAPA 04 - CONDOMINIO ARAGUARI]XLV12</v>
      </c>
      <c r="B381" s="114" t="s">
        <v>878</v>
      </c>
      <c r="C381" s="42" t="s">
        <v>616</v>
      </c>
      <c r="D381" s="45">
        <v>12</v>
      </c>
      <c r="E381" s="64">
        <v>268.16000000000003</v>
      </c>
      <c r="F381" s="243">
        <v>4885</v>
      </c>
      <c r="G381" s="41" t="s">
        <v>1368</v>
      </c>
      <c r="H381" s="208">
        <v>44147</v>
      </c>
      <c r="I381" s="259" t="str">
        <f t="shared" si="47"/>
        <v>LONDRINA [ETAPA 04 - CONDOMINIO ARAGUARI]11/2020</v>
      </c>
      <c r="J381" s="53" t="str">
        <f t="shared" si="46"/>
        <v>Remanescente11/2020</v>
      </c>
      <c r="K381" s="43">
        <v>137604.69</v>
      </c>
      <c r="L381" s="43" t="s">
        <v>539</v>
      </c>
      <c r="M381" s="190">
        <v>0</v>
      </c>
      <c r="N381" s="494" t="str">
        <f t="shared" si="43"/>
        <v>VENDA</v>
      </c>
      <c r="O381" s="491" t="str">
        <f t="shared" si="44"/>
        <v>LONDRINA [ETAPA 04 - CONDOMINIO ARAGUARI]VENDA</v>
      </c>
      <c r="P381" s="492" t="str">
        <f t="shared" si="45"/>
        <v>VENDARemanescenteLONDRINA [ETAPA 04 - CONDOMINIO ARAGUARI]</v>
      </c>
      <c r="Q381" s="485"/>
    </row>
    <row r="382" spans="1:17">
      <c r="A382" s="61" t="str">
        <f t="shared" si="42"/>
        <v>LONDRINA [ETAPA 04 - CONDOMINIO ARAGUARI]XLV13</v>
      </c>
      <c r="B382" s="114" t="s">
        <v>878</v>
      </c>
      <c r="C382" s="42" t="s">
        <v>616</v>
      </c>
      <c r="D382" s="45">
        <v>13</v>
      </c>
      <c r="E382" s="64">
        <v>268.16000000000003</v>
      </c>
      <c r="F382" s="243">
        <v>5047</v>
      </c>
      <c r="G382" s="41" t="s">
        <v>1480</v>
      </c>
      <c r="H382" s="208">
        <v>44235</v>
      </c>
      <c r="I382" s="259" t="str">
        <f t="shared" si="47"/>
        <v>LONDRINA [ETAPA 04 - CONDOMINIO ARAGUARI]2/2021</v>
      </c>
      <c r="J382" s="53" t="str">
        <f t="shared" si="46"/>
        <v>Remanescente2/2021</v>
      </c>
      <c r="K382" s="43">
        <v>138179.9</v>
      </c>
      <c r="L382" s="43" t="s">
        <v>539</v>
      </c>
      <c r="M382" s="316">
        <v>0</v>
      </c>
      <c r="N382" s="494" t="str">
        <f t="shared" si="43"/>
        <v>VENDA</v>
      </c>
      <c r="O382" s="491" t="str">
        <f t="shared" si="44"/>
        <v>LONDRINA [ETAPA 04 - CONDOMINIO ARAGUARI]VENDA</v>
      </c>
      <c r="P382" s="492" t="str">
        <f t="shared" si="45"/>
        <v>VENDARemanescenteLONDRINA [ETAPA 04 - CONDOMINIO ARAGUARI]</v>
      </c>
      <c r="Q382" s="485"/>
    </row>
    <row r="383" spans="1:17">
      <c r="A383" s="61" t="str">
        <f t="shared" si="42"/>
        <v>LONDRINA [ETAPA 04 - CONDOMINIO ARAGUARI]XLV14</v>
      </c>
      <c r="B383" s="114" t="s">
        <v>878</v>
      </c>
      <c r="C383" s="42" t="s">
        <v>616</v>
      </c>
      <c r="D383" s="45">
        <v>14</v>
      </c>
      <c r="E383" s="64">
        <v>268.16000000000003</v>
      </c>
      <c r="F383" s="201"/>
      <c r="G383" s="41"/>
      <c r="H383" s="208"/>
      <c r="I383" s="259" t="str">
        <f t="shared" si="47"/>
        <v>LONDRINA [ETAPA 04 - CONDOMINIO ARAGUARI]1/1900</v>
      </c>
      <c r="J383" s="53" t="str">
        <f t="shared" si="46"/>
        <v>Remanescente1/1900</v>
      </c>
      <c r="K383" s="43"/>
      <c r="L383" s="43" t="s">
        <v>539</v>
      </c>
      <c r="M383" s="316">
        <v>153707.9712</v>
      </c>
      <c r="N383" s="494" t="str">
        <f t="shared" si="43"/>
        <v>VGV</v>
      </c>
      <c r="O383" s="491" t="str">
        <f t="shared" si="44"/>
        <v>LONDRINA [ETAPA 04 - CONDOMINIO ARAGUARI]VGV</v>
      </c>
      <c r="P383" s="492" t="str">
        <f t="shared" si="45"/>
        <v>VGVRemanescenteLONDRINA [ETAPA 04 - CONDOMINIO ARAGUARI]</v>
      </c>
      <c r="Q383" s="485"/>
    </row>
    <row r="384" spans="1:17">
      <c r="A384" s="61" t="str">
        <f t="shared" si="42"/>
        <v>LONDRINA [ETAPA 04 - CONDOMINIO ARAGUARI]XLV15</v>
      </c>
      <c r="B384" s="114" t="s">
        <v>878</v>
      </c>
      <c r="C384" s="42" t="s">
        <v>616</v>
      </c>
      <c r="D384" s="45">
        <v>15</v>
      </c>
      <c r="E384" s="64">
        <v>268.16000000000003</v>
      </c>
      <c r="F384" s="201"/>
      <c r="G384" s="41"/>
      <c r="H384" s="208"/>
      <c r="I384" s="259" t="str">
        <f t="shared" si="47"/>
        <v>LONDRINA [ETAPA 04 - CONDOMINIO ARAGUARI]1/1900</v>
      </c>
      <c r="J384" s="53" t="str">
        <f t="shared" si="46"/>
        <v>Remanescente1/1900</v>
      </c>
      <c r="K384" s="43"/>
      <c r="L384" s="43" t="s">
        <v>539</v>
      </c>
      <c r="M384" s="316">
        <v>153707.9712</v>
      </c>
      <c r="N384" s="494" t="str">
        <f t="shared" si="43"/>
        <v>VGV</v>
      </c>
      <c r="O384" s="491" t="str">
        <f t="shared" si="44"/>
        <v>LONDRINA [ETAPA 04 - CONDOMINIO ARAGUARI]VGV</v>
      </c>
      <c r="P384" s="492" t="str">
        <f t="shared" si="45"/>
        <v>VGVRemanescenteLONDRINA [ETAPA 04 - CONDOMINIO ARAGUARI]</v>
      </c>
      <c r="Q384" s="485"/>
    </row>
    <row r="385" spans="1:17">
      <c r="A385" s="61" t="str">
        <f t="shared" si="42"/>
        <v>LONDRINA [ETAPA 04 - CONDOMINIO ARAGUARI]XLV16</v>
      </c>
      <c r="B385" s="114" t="s">
        <v>878</v>
      </c>
      <c r="C385" s="42" t="s">
        <v>616</v>
      </c>
      <c r="D385" s="45">
        <v>16</v>
      </c>
      <c r="E385" s="64">
        <v>268.16000000000003</v>
      </c>
      <c r="F385" s="201"/>
      <c r="G385" s="41"/>
      <c r="H385" s="208"/>
      <c r="I385" s="259" t="str">
        <f t="shared" si="47"/>
        <v>LONDRINA [ETAPA 04 - CONDOMINIO ARAGUARI]1/1900</v>
      </c>
      <c r="J385" s="53" t="str">
        <f t="shared" si="46"/>
        <v>Remanescente1/1900</v>
      </c>
      <c r="K385" s="43"/>
      <c r="L385" s="43" t="s">
        <v>539</v>
      </c>
      <c r="M385" s="316">
        <v>153707.9712</v>
      </c>
      <c r="N385" s="494" t="str">
        <f t="shared" si="43"/>
        <v>VGV</v>
      </c>
      <c r="O385" s="491" t="str">
        <f t="shared" si="44"/>
        <v>LONDRINA [ETAPA 04 - CONDOMINIO ARAGUARI]VGV</v>
      </c>
      <c r="P385" s="492" t="str">
        <f t="shared" si="45"/>
        <v>VGVRemanescenteLONDRINA [ETAPA 04 - CONDOMINIO ARAGUARI]</v>
      </c>
      <c r="Q385" s="485"/>
    </row>
    <row r="386" spans="1:17">
      <c r="A386" s="61" t="str">
        <f t="shared" si="42"/>
        <v>LONDRINA [ETAPA 04 - CONDOMINIO ARAGUARI]XLV17</v>
      </c>
      <c r="B386" s="114" t="s">
        <v>878</v>
      </c>
      <c r="C386" s="42" t="s">
        <v>616</v>
      </c>
      <c r="D386" s="45">
        <v>17</v>
      </c>
      <c r="E386" s="64">
        <v>268.16000000000003</v>
      </c>
      <c r="F386" s="201"/>
      <c r="G386" s="41"/>
      <c r="H386" s="208"/>
      <c r="I386" s="259" t="str">
        <f t="shared" si="47"/>
        <v>LONDRINA [ETAPA 04 - CONDOMINIO ARAGUARI]1/1900</v>
      </c>
      <c r="J386" s="53" t="str">
        <f t="shared" si="46"/>
        <v>Remanescente1/1900</v>
      </c>
      <c r="K386" s="43"/>
      <c r="L386" s="43" t="s">
        <v>539</v>
      </c>
      <c r="M386" s="316">
        <v>153707.9712</v>
      </c>
      <c r="N386" s="494" t="str">
        <f t="shared" si="43"/>
        <v>VGV</v>
      </c>
      <c r="O386" s="491" t="str">
        <f t="shared" si="44"/>
        <v>LONDRINA [ETAPA 04 - CONDOMINIO ARAGUARI]VGV</v>
      </c>
      <c r="P386" s="492" t="str">
        <f t="shared" si="45"/>
        <v>VGVRemanescenteLONDRINA [ETAPA 04 - CONDOMINIO ARAGUARI]</v>
      </c>
      <c r="Q386" s="485"/>
    </row>
    <row r="387" spans="1:17">
      <c r="A387" s="61" t="str">
        <f t="shared" si="42"/>
        <v>LONDRINA [ETAPA 04 - CONDOMINIO ARAGUARI]XLV18</v>
      </c>
      <c r="B387" s="114" t="s">
        <v>878</v>
      </c>
      <c r="C387" s="42" t="s">
        <v>616</v>
      </c>
      <c r="D387" s="45">
        <v>18</v>
      </c>
      <c r="E387" s="64">
        <v>268.16000000000003</v>
      </c>
      <c r="F387" s="201"/>
      <c r="G387" s="41"/>
      <c r="H387" s="208"/>
      <c r="I387" s="259" t="str">
        <f t="shared" si="47"/>
        <v>LONDRINA [ETAPA 04 - CONDOMINIO ARAGUARI]1/1900</v>
      </c>
      <c r="J387" s="53" t="str">
        <f t="shared" si="46"/>
        <v>Remanescente1/1900</v>
      </c>
      <c r="K387" s="43"/>
      <c r="L387" s="43" t="s">
        <v>539</v>
      </c>
      <c r="M387" s="316">
        <v>153707.9712</v>
      </c>
      <c r="N387" s="494" t="str">
        <f t="shared" si="43"/>
        <v>VGV</v>
      </c>
      <c r="O387" s="491" t="str">
        <f t="shared" si="44"/>
        <v>LONDRINA [ETAPA 04 - CONDOMINIO ARAGUARI]VGV</v>
      </c>
      <c r="P387" s="492" t="str">
        <f t="shared" si="45"/>
        <v>VGVRemanescenteLONDRINA [ETAPA 04 - CONDOMINIO ARAGUARI]</v>
      </c>
      <c r="Q387" s="485"/>
    </row>
    <row r="388" spans="1:17">
      <c r="A388" s="61" t="str">
        <f t="shared" si="42"/>
        <v>LONDRINA [ETAPA 04 - CONDOMINIO ARAGUARI]XLV19</v>
      </c>
      <c r="B388" s="114" t="s">
        <v>878</v>
      </c>
      <c r="C388" s="42" t="s">
        <v>616</v>
      </c>
      <c r="D388" s="45">
        <v>19</v>
      </c>
      <c r="E388" s="64">
        <v>295.02999999999997</v>
      </c>
      <c r="F388" s="243">
        <v>4867</v>
      </c>
      <c r="G388" s="41" t="s">
        <v>1369</v>
      </c>
      <c r="H388" s="208">
        <v>44138</v>
      </c>
      <c r="I388" s="259" t="str">
        <f t="shared" si="47"/>
        <v>LONDRINA [ETAPA 04 - CONDOMINIO ARAGUARI]11/2020</v>
      </c>
      <c r="J388" s="53" t="str">
        <f t="shared" si="46"/>
        <v>Remanescente11/2020</v>
      </c>
      <c r="K388" s="43">
        <v>148519.79999999999</v>
      </c>
      <c r="L388" s="43" t="s">
        <v>539</v>
      </c>
      <c r="M388" s="190">
        <v>0</v>
      </c>
      <c r="N388" s="494" t="str">
        <f t="shared" si="43"/>
        <v>VENDA</v>
      </c>
      <c r="O388" s="491" t="str">
        <f t="shared" si="44"/>
        <v>LONDRINA [ETAPA 04 - CONDOMINIO ARAGUARI]VENDA</v>
      </c>
      <c r="P388" s="492" t="str">
        <f t="shared" si="45"/>
        <v>VENDARemanescenteLONDRINA [ETAPA 04 - CONDOMINIO ARAGUARI]</v>
      </c>
      <c r="Q388" s="485"/>
    </row>
    <row r="389" spans="1:17">
      <c r="A389" s="61" t="str">
        <f t="shared" ref="A389:A452" si="48">CONCATENATE(B389,C389,D389)</f>
        <v>LONDRINA [ETAPA 04 - CONDOMINIO ARAGUARI]XLVI1</v>
      </c>
      <c r="B389" s="114" t="s">
        <v>878</v>
      </c>
      <c r="C389" s="42" t="s">
        <v>617</v>
      </c>
      <c r="D389" s="45">
        <v>1</v>
      </c>
      <c r="E389" s="64">
        <v>275.70999999999998</v>
      </c>
      <c r="F389" s="243">
        <v>3149</v>
      </c>
      <c r="G389" s="41" t="s">
        <v>1070</v>
      </c>
      <c r="H389" s="208">
        <v>43761</v>
      </c>
      <c r="I389" s="259" t="str">
        <f t="shared" si="47"/>
        <v>LONDRINA [ETAPA 04 - CONDOMINIO ARAGUARI]10/2019</v>
      </c>
      <c r="J389" s="53" t="str">
        <f t="shared" si="46"/>
        <v>Remanescente10/2019</v>
      </c>
      <c r="K389" s="43">
        <v>194694.97</v>
      </c>
      <c r="L389" s="43" t="s">
        <v>539</v>
      </c>
      <c r="M389" s="190">
        <v>0</v>
      </c>
      <c r="N389" s="494" t="str">
        <f t="shared" ref="N389:N452" si="49">IF(M389&gt;0,"VGV","VENDA")</f>
        <v>VENDA</v>
      </c>
      <c r="O389" s="491" t="str">
        <f t="shared" si="44"/>
        <v>LONDRINA [ETAPA 04 - CONDOMINIO ARAGUARI]VENDA</v>
      </c>
      <c r="P389" s="492" t="str">
        <f t="shared" si="45"/>
        <v>VENDARemanescenteLONDRINA [ETAPA 04 - CONDOMINIO ARAGUARI]</v>
      </c>
      <c r="Q389" s="485"/>
    </row>
    <row r="390" spans="1:17">
      <c r="A390" s="61" t="str">
        <f t="shared" si="48"/>
        <v>LONDRINA [ETAPA 04 - CONDOMINIO ARAGUARI]XLVI2</v>
      </c>
      <c r="B390" s="114" t="s">
        <v>878</v>
      </c>
      <c r="C390" s="42" t="s">
        <v>617</v>
      </c>
      <c r="D390" s="45">
        <v>2</v>
      </c>
      <c r="E390" s="64">
        <v>252.75</v>
      </c>
      <c r="F390" s="201"/>
      <c r="G390" s="41" t="s">
        <v>1355</v>
      </c>
      <c r="H390" s="208">
        <v>44133</v>
      </c>
      <c r="I390" s="259" t="str">
        <f t="shared" si="47"/>
        <v>LONDRINA [ETAPA 04 - CONDOMINIO ARAGUARI]10/2020</v>
      </c>
      <c r="J390" s="53" t="str">
        <f t="shared" si="46"/>
        <v>Remanescente10/2020</v>
      </c>
      <c r="K390" s="43">
        <v>146640</v>
      </c>
      <c r="L390" s="43" t="s">
        <v>539</v>
      </c>
      <c r="M390" s="190">
        <v>0</v>
      </c>
      <c r="N390" s="494" t="str">
        <f t="shared" si="49"/>
        <v>VENDA</v>
      </c>
      <c r="O390" s="491" t="str">
        <f t="shared" ref="O390:O453" si="50">CONCATENATE(B390,N390)</f>
        <v>LONDRINA [ETAPA 04 - CONDOMINIO ARAGUARI]VENDA</v>
      </c>
      <c r="P390" s="492" t="str">
        <f t="shared" ref="P390:P453" si="51">CONCATENATE(N390,L390,B390)</f>
        <v>VENDARemanescenteLONDRINA [ETAPA 04 - CONDOMINIO ARAGUARI]</v>
      </c>
      <c r="Q390" s="485"/>
    </row>
    <row r="391" spans="1:17">
      <c r="A391" s="61" t="str">
        <f t="shared" si="48"/>
        <v>LONDRINA [ETAPA 04 - CONDOMINIO ARAGUARI]XLVI3</v>
      </c>
      <c r="B391" s="114" t="s">
        <v>878</v>
      </c>
      <c r="C391" s="42" t="s">
        <v>617</v>
      </c>
      <c r="D391" s="45">
        <v>3</v>
      </c>
      <c r="E391" s="64">
        <v>252.75</v>
      </c>
      <c r="F391" s="243">
        <v>4912</v>
      </c>
      <c r="G391" s="41" t="s">
        <v>1380</v>
      </c>
      <c r="H391" s="208">
        <v>44166</v>
      </c>
      <c r="I391" s="259" t="str">
        <f t="shared" si="47"/>
        <v>LONDRINA [ETAPA 04 - CONDOMINIO ARAGUARI]12/2020</v>
      </c>
      <c r="J391" s="53" t="str">
        <f t="shared" ref="J391:J454" si="52">CONCATENATE(L391,MONTH(H391),"/",YEAR(H391))</f>
        <v>Remanescente12/2020</v>
      </c>
      <c r="K391" s="43">
        <v>153043.28</v>
      </c>
      <c r="L391" s="43" t="s">
        <v>539</v>
      </c>
      <c r="M391" s="190">
        <v>0</v>
      </c>
      <c r="N391" s="494" t="str">
        <f t="shared" si="49"/>
        <v>VENDA</v>
      </c>
      <c r="O391" s="491" t="str">
        <f t="shared" si="50"/>
        <v>LONDRINA [ETAPA 04 - CONDOMINIO ARAGUARI]VENDA</v>
      </c>
      <c r="P391" s="492" t="str">
        <f t="shared" si="51"/>
        <v>VENDARemanescenteLONDRINA [ETAPA 04 - CONDOMINIO ARAGUARI]</v>
      </c>
      <c r="Q391" s="485"/>
    </row>
    <row r="392" spans="1:17">
      <c r="A392" s="61" t="str">
        <f t="shared" si="48"/>
        <v>LONDRINA [ETAPA 04 - CONDOMINIO ARAGUARI]XLVI4</v>
      </c>
      <c r="B392" s="114" t="s">
        <v>878</v>
      </c>
      <c r="C392" s="42" t="s">
        <v>617</v>
      </c>
      <c r="D392" s="45">
        <v>4</v>
      </c>
      <c r="E392" s="64">
        <v>252.75</v>
      </c>
      <c r="F392" s="64"/>
      <c r="G392" s="41" t="s">
        <v>933</v>
      </c>
      <c r="H392" s="208">
        <v>43514</v>
      </c>
      <c r="I392" s="259" t="str">
        <f t="shared" ref="I392:I455" si="53">CONCATENATE(B392,MONTH(H392),"/",YEAR(H392))</f>
        <v>LONDRINA [ETAPA 04 - CONDOMINIO ARAGUARI]2/2019</v>
      </c>
      <c r="J392" s="53" t="str">
        <f t="shared" si="52"/>
        <v>Remanescente2/2019</v>
      </c>
      <c r="K392" s="43">
        <v>136300</v>
      </c>
      <c r="L392" s="43" t="s">
        <v>539</v>
      </c>
      <c r="M392" s="190">
        <v>0</v>
      </c>
      <c r="N392" s="494" t="str">
        <f t="shared" si="49"/>
        <v>VENDA</v>
      </c>
      <c r="O392" s="491" t="str">
        <f t="shared" si="50"/>
        <v>LONDRINA [ETAPA 04 - CONDOMINIO ARAGUARI]VENDA</v>
      </c>
      <c r="P392" s="492" t="str">
        <f t="shared" si="51"/>
        <v>VENDARemanescenteLONDRINA [ETAPA 04 - CONDOMINIO ARAGUARI]</v>
      </c>
      <c r="Q392" s="485"/>
    </row>
    <row r="393" spans="1:17">
      <c r="A393" s="61" t="str">
        <f t="shared" si="48"/>
        <v>LONDRINA [ETAPA 04 - CONDOMINIO ARAGUARI]XLVI5</v>
      </c>
      <c r="B393" s="114" t="s">
        <v>878</v>
      </c>
      <c r="C393" s="42" t="s">
        <v>617</v>
      </c>
      <c r="D393" s="45">
        <v>5</v>
      </c>
      <c r="E393" s="64">
        <v>252.75</v>
      </c>
      <c r="F393" s="243">
        <v>4683</v>
      </c>
      <c r="G393" s="41" t="s">
        <v>1262</v>
      </c>
      <c r="H393" s="208">
        <v>44057</v>
      </c>
      <c r="I393" s="259" t="str">
        <f t="shared" si="53"/>
        <v>LONDRINA [ETAPA 04 - CONDOMINIO ARAGUARI]8/2020</v>
      </c>
      <c r="J393" s="53" t="str">
        <f t="shared" si="52"/>
        <v>Remanescente8/2020</v>
      </c>
      <c r="K393" s="43">
        <v>137240</v>
      </c>
      <c r="L393" s="43" t="s">
        <v>539</v>
      </c>
      <c r="M393" s="190">
        <v>0</v>
      </c>
      <c r="N393" s="494" t="str">
        <f t="shared" si="49"/>
        <v>VENDA</v>
      </c>
      <c r="O393" s="491" t="str">
        <f t="shared" si="50"/>
        <v>LONDRINA [ETAPA 04 - CONDOMINIO ARAGUARI]VENDA</v>
      </c>
      <c r="P393" s="492" t="str">
        <f t="shared" si="51"/>
        <v>VENDARemanescenteLONDRINA [ETAPA 04 - CONDOMINIO ARAGUARI]</v>
      </c>
      <c r="Q393" s="485"/>
    </row>
    <row r="394" spans="1:17">
      <c r="A394" s="61" t="str">
        <f t="shared" si="48"/>
        <v>LONDRINA [ETAPA 04 - CONDOMINIO ARAGUARI]XLVI6</v>
      </c>
      <c r="B394" s="114" t="s">
        <v>878</v>
      </c>
      <c r="C394" s="42" t="s">
        <v>617</v>
      </c>
      <c r="D394" s="45">
        <v>6</v>
      </c>
      <c r="E394" s="64">
        <v>252.75</v>
      </c>
      <c r="F394" s="243">
        <v>4518</v>
      </c>
      <c r="G394" s="41" t="s">
        <v>1232</v>
      </c>
      <c r="H394" s="208">
        <v>44015</v>
      </c>
      <c r="I394" s="259" t="str">
        <f t="shared" si="53"/>
        <v>LONDRINA [ETAPA 04 - CONDOMINIO ARAGUARI]7/2020</v>
      </c>
      <c r="J394" s="53" t="str">
        <f t="shared" si="52"/>
        <v>Remanescente7/2020</v>
      </c>
      <c r="K394" s="43">
        <v>138604.53</v>
      </c>
      <c r="L394" s="43" t="s">
        <v>539</v>
      </c>
      <c r="M394" s="190">
        <v>0</v>
      </c>
      <c r="N394" s="494" t="str">
        <f t="shared" si="49"/>
        <v>VENDA</v>
      </c>
      <c r="O394" s="491" t="str">
        <f t="shared" si="50"/>
        <v>LONDRINA [ETAPA 04 - CONDOMINIO ARAGUARI]VENDA</v>
      </c>
      <c r="P394" s="492" t="str">
        <f t="shared" si="51"/>
        <v>VENDARemanescenteLONDRINA [ETAPA 04 - CONDOMINIO ARAGUARI]</v>
      </c>
      <c r="Q394" s="485"/>
    </row>
    <row r="395" spans="1:17">
      <c r="A395" s="61" t="str">
        <f t="shared" si="48"/>
        <v>LONDRINA [ETAPA 04 - CONDOMINIO ARAGUARI]XLVI7</v>
      </c>
      <c r="B395" s="114" t="s">
        <v>878</v>
      </c>
      <c r="C395" s="42" t="s">
        <v>617</v>
      </c>
      <c r="D395" s="45">
        <v>7</v>
      </c>
      <c r="E395" s="64">
        <v>252.75</v>
      </c>
      <c r="F395" s="243">
        <v>4878</v>
      </c>
      <c r="G395" s="41" t="s">
        <v>1365</v>
      </c>
      <c r="H395" s="208">
        <v>44162</v>
      </c>
      <c r="I395" s="259" t="str">
        <f t="shared" si="53"/>
        <v>LONDRINA [ETAPA 04 - CONDOMINIO ARAGUARI]11/2020</v>
      </c>
      <c r="J395" s="53" t="str">
        <f t="shared" si="52"/>
        <v>Remanescente11/2020</v>
      </c>
      <c r="K395" s="43">
        <v>141000</v>
      </c>
      <c r="L395" s="43" t="s">
        <v>539</v>
      </c>
      <c r="M395" s="190">
        <v>0</v>
      </c>
      <c r="N395" s="494" t="str">
        <f t="shared" si="49"/>
        <v>VENDA</v>
      </c>
      <c r="O395" s="491" t="str">
        <f t="shared" si="50"/>
        <v>LONDRINA [ETAPA 04 - CONDOMINIO ARAGUARI]VENDA</v>
      </c>
      <c r="P395" s="492" t="str">
        <f t="shared" si="51"/>
        <v>VENDARemanescenteLONDRINA [ETAPA 04 - CONDOMINIO ARAGUARI]</v>
      </c>
      <c r="Q395" s="485"/>
    </row>
    <row r="396" spans="1:17">
      <c r="A396" s="61" t="str">
        <f t="shared" si="48"/>
        <v>LONDRINA [ETAPA 04 - CONDOMINIO ARAGUARI]XLVI8</v>
      </c>
      <c r="B396" s="114" t="s">
        <v>878</v>
      </c>
      <c r="C396" s="42" t="s">
        <v>617</v>
      </c>
      <c r="D396" s="45">
        <v>8</v>
      </c>
      <c r="E396" s="64">
        <v>252.75</v>
      </c>
      <c r="F396" s="243">
        <v>4879</v>
      </c>
      <c r="G396" s="41" t="s">
        <v>1365</v>
      </c>
      <c r="H396" s="208">
        <v>44162</v>
      </c>
      <c r="I396" s="259" t="str">
        <f t="shared" si="53"/>
        <v>LONDRINA [ETAPA 04 - CONDOMINIO ARAGUARI]11/2020</v>
      </c>
      <c r="J396" s="53" t="str">
        <f t="shared" si="52"/>
        <v>Remanescente11/2020</v>
      </c>
      <c r="K396" s="43">
        <v>141000</v>
      </c>
      <c r="L396" s="43" t="s">
        <v>539</v>
      </c>
      <c r="M396" s="190">
        <v>0</v>
      </c>
      <c r="N396" s="494" t="str">
        <f t="shared" si="49"/>
        <v>VENDA</v>
      </c>
      <c r="O396" s="491" t="str">
        <f t="shared" si="50"/>
        <v>LONDRINA [ETAPA 04 - CONDOMINIO ARAGUARI]VENDA</v>
      </c>
      <c r="P396" s="492" t="str">
        <f t="shared" si="51"/>
        <v>VENDARemanescenteLONDRINA [ETAPA 04 - CONDOMINIO ARAGUARI]</v>
      </c>
      <c r="Q396" s="485"/>
    </row>
    <row r="397" spans="1:17">
      <c r="A397" s="61" t="str">
        <f t="shared" si="48"/>
        <v>LONDRINA [ETAPA 04 - CONDOMINIO ARAGUARI]XLVI9</v>
      </c>
      <c r="B397" s="114" t="s">
        <v>878</v>
      </c>
      <c r="C397" s="42" t="s">
        <v>617</v>
      </c>
      <c r="D397" s="45">
        <v>9</v>
      </c>
      <c r="E397" s="64">
        <v>252.75</v>
      </c>
      <c r="F397" s="243">
        <v>4880</v>
      </c>
      <c r="G397" s="41" t="s">
        <v>1365</v>
      </c>
      <c r="H397" s="208">
        <v>44162</v>
      </c>
      <c r="I397" s="259" t="str">
        <f t="shared" si="53"/>
        <v>LONDRINA [ETAPA 04 - CONDOMINIO ARAGUARI]11/2020</v>
      </c>
      <c r="J397" s="53" t="str">
        <f t="shared" si="52"/>
        <v>Remanescente11/2020</v>
      </c>
      <c r="K397" s="43">
        <v>141000</v>
      </c>
      <c r="L397" s="43" t="s">
        <v>539</v>
      </c>
      <c r="M397" s="190">
        <v>0</v>
      </c>
      <c r="N397" s="494" t="str">
        <f t="shared" si="49"/>
        <v>VENDA</v>
      </c>
      <c r="O397" s="491" t="str">
        <f t="shared" si="50"/>
        <v>LONDRINA [ETAPA 04 - CONDOMINIO ARAGUARI]VENDA</v>
      </c>
      <c r="P397" s="492" t="str">
        <f t="shared" si="51"/>
        <v>VENDARemanescenteLONDRINA [ETAPA 04 - CONDOMINIO ARAGUARI]</v>
      </c>
      <c r="Q397" s="485"/>
    </row>
    <row r="398" spans="1:17">
      <c r="A398" s="61" t="str">
        <f t="shared" si="48"/>
        <v>LONDRINA [ETAPA 04 - CONDOMINIO ARAGUARI]XLVI10</v>
      </c>
      <c r="B398" s="114" t="s">
        <v>878</v>
      </c>
      <c r="C398" s="42" t="s">
        <v>617</v>
      </c>
      <c r="D398" s="45">
        <v>10</v>
      </c>
      <c r="E398" s="64">
        <v>252.75</v>
      </c>
      <c r="F398" s="243">
        <v>4882</v>
      </c>
      <c r="G398" s="41" t="s">
        <v>1365</v>
      </c>
      <c r="H398" s="208">
        <v>44162</v>
      </c>
      <c r="I398" s="259" t="str">
        <f t="shared" si="53"/>
        <v>LONDRINA [ETAPA 04 - CONDOMINIO ARAGUARI]11/2020</v>
      </c>
      <c r="J398" s="53" t="str">
        <f t="shared" si="52"/>
        <v>Remanescente11/2020</v>
      </c>
      <c r="K398" s="43">
        <v>141000</v>
      </c>
      <c r="L398" s="43" t="s">
        <v>539</v>
      </c>
      <c r="M398" s="190">
        <v>0</v>
      </c>
      <c r="N398" s="494" t="str">
        <f t="shared" si="49"/>
        <v>VENDA</v>
      </c>
      <c r="O398" s="491" t="str">
        <f t="shared" si="50"/>
        <v>LONDRINA [ETAPA 04 - CONDOMINIO ARAGUARI]VENDA</v>
      </c>
      <c r="P398" s="492" t="str">
        <f t="shared" si="51"/>
        <v>VENDARemanescenteLONDRINA [ETAPA 04 - CONDOMINIO ARAGUARI]</v>
      </c>
      <c r="Q398" s="485"/>
    </row>
    <row r="399" spans="1:17">
      <c r="A399" s="61" t="str">
        <f t="shared" si="48"/>
        <v>LONDRINA [ETAPA 04 - CONDOMINIO ARAGUARI]XLVI11</v>
      </c>
      <c r="B399" s="114" t="s">
        <v>878</v>
      </c>
      <c r="C399" s="42" t="s">
        <v>617</v>
      </c>
      <c r="D399" s="45">
        <v>11</v>
      </c>
      <c r="E399" s="64">
        <v>252.75</v>
      </c>
      <c r="F399" s="243">
        <v>5003</v>
      </c>
      <c r="G399" s="41" t="s">
        <v>1416</v>
      </c>
      <c r="H399" s="208">
        <v>44215</v>
      </c>
      <c r="I399" s="259" t="str">
        <f t="shared" si="53"/>
        <v>LONDRINA [ETAPA 04 - CONDOMINIO ARAGUARI]1/2021</v>
      </c>
      <c r="J399" s="53" t="str">
        <f t="shared" si="52"/>
        <v>Remanescente1/2021</v>
      </c>
      <c r="K399" s="43">
        <v>159800</v>
      </c>
      <c r="L399" s="43" t="s">
        <v>539</v>
      </c>
      <c r="M399" s="190">
        <v>0</v>
      </c>
      <c r="N399" s="494" t="str">
        <f t="shared" si="49"/>
        <v>VENDA</v>
      </c>
      <c r="O399" s="491" t="str">
        <f t="shared" si="50"/>
        <v>LONDRINA [ETAPA 04 - CONDOMINIO ARAGUARI]VENDA</v>
      </c>
      <c r="P399" s="492" t="str">
        <f t="shared" si="51"/>
        <v>VENDARemanescenteLONDRINA [ETAPA 04 - CONDOMINIO ARAGUARI]</v>
      </c>
      <c r="Q399" s="485"/>
    </row>
    <row r="400" spans="1:17">
      <c r="A400" s="61" t="str">
        <f t="shared" si="48"/>
        <v>LONDRINA [ETAPA 04 - CONDOMINIO ARAGUARI]XLVI12</v>
      </c>
      <c r="B400" s="114" t="s">
        <v>878</v>
      </c>
      <c r="C400" s="42" t="s">
        <v>617</v>
      </c>
      <c r="D400" s="45">
        <v>12</v>
      </c>
      <c r="E400" s="64">
        <v>252.75</v>
      </c>
      <c r="F400" s="243">
        <v>4977</v>
      </c>
      <c r="G400" s="41" t="s">
        <v>1417</v>
      </c>
      <c r="H400" s="208">
        <v>44208</v>
      </c>
      <c r="I400" s="259" t="str">
        <f t="shared" si="53"/>
        <v>LONDRINA [ETAPA 04 - CONDOMINIO ARAGUARI]1/2021</v>
      </c>
      <c r="J400" s="53" t="str">
        <f t="shared" si="52"/>
        <v>Remanescente1/2021</v>
      </c>
      <c r="K400" s="43">
        <v>160694.46</v>
      </c>
      <c r="L400" s="43" t="s">
        <v>539</v>
      </c>
      <c r="M400" s="190">
        <v>0</v>
      </c>
      <c r="N400" s="494" t="str">
        <f t="shared" si="49"/>
        <v>VENDA</v>
      </c>
      <c r="O400" s="491" t="str">
        <f t="shared" si="50"/>
        <v>LONDRINA [ETAPA 04 - CONDOMINIO ARAGUARI]VENDA</v>
      </c>
      <c r="P400" s="492" t="str">
        <f t="shared" si="51"/>
        <v>VENDARemanescenteLONDRINA [ETAPA 04 - CONDOMINIO ARAGUARI]</v>
      </c>
      <c r="Q400" s="485"/>
    </row>
    <row r="401" spans="1:17">
      <c r="A401" s="61" t="str">
        <f t="shared" si="48"/>
        <v>LONDRINA [ETAPA 04 - CONDOMINIO ARAGUARI]XLVI13</v>
      </c>
      <c r="B401" s="114" t="s">
        <v>878</v>
      </c>
      <c r="C401" s="42" t="s">
        <v>617</v>
      </c>
      <c r="D401" s="45">
        <v>13</v>
      </c>
      <c r="E401" s="64">
        <v>252.75</v>
      </c>
      <c r="F401" s="243">
        <v>5008</v>
      </c>
      <c r="G401" s="41" t="s">
        <v>1481</v>
      </c>
      <c r="H401" s="208">
        <v>44228</v>
      </c>
      <c r="I401" s="259" t="str">
        <f t="shared" si="53"/>
        <v>LONDRINA [ETAPA 04 - CONDOMINIO ARAGUARI]2/2021</v>
      </c>
      <c r="J401" s="53" t="str">
        <f t="shared" si="52"/>
        <v>Remanescente2/2021</v>
      </c>
      <c r="K401" s="43">
        <v>155874.56</v>
      </c>
      <c r="L401" s="43" t="s">
        <v>539</v>
      </c>
      <c r="M401" s="316">
        <v>0</v>
      </c>
      <c r="N401" s="494" t="str">
        <f t="shared" si="49"/>
        <v>VENDA</v>
      </c>
      <c r="O401" s="491" t="str">
        <f t="shared" si="50"/>
        <v>LONDRINA [ETAPA 04 - CONDOMINIO ARAGUARI]VENDA</v>
      </c>
      <c r="P401" s="492" t="str">
        <f t="shared" si="51"/>
        <v>VENDARemanescenteLONDRINA [ETAPA 04 - CONDOMINIO ARAGUARI]</v>
      </c>
      <c r="Q401" s="485"/>
    </row>
    <row r="402" spans="1:17">
      <c r="A402" s="61" t="str">
        <f t="shared" si="48"/>
        <v>LONDRINA [ETAPA 04 - CONDOMINIO ARAGUARI]XLVI14</v>
      </c>
      <c r="B402" s="114" t="s">
        <v>878</v>
      </c>
      <c r="C402" s="42" t="s">
        <v>617</v>
      </c>
      <c r="D402" s="45">
        <v>14</v>
      </c>
      <c r="E402" s="64">
        <v>252.75</v>
      </c>
      <c r="F402" s="243">
        <v>5044</v>
      </c>
      <c r="G402" s="41" t="s">
        <v>1482</v>
      </c>
      <c r="H402" s="208">
        <v>44238</v>
      </c>
      <c r="I402" s="259" t="str">
        <f t="shared" si="53"/>
        <v>LONDRINA [ETAPA 04 - CONDOMINIO ARAGUARI]2/2021</v>
      </c>
      <c r="J402" s="53" t="str">
        <f t="shared" si="52"/>
        <v>Remanescente2/2021</v>
      </c>
      <c r="K402" s="43">
        <v>160694.75</v>
      </c>
      <c r="L402" s="43" t="s">
        <v>539</v>
      </c>
      <c r="M402" s="316">
        <v>0</v>
      </c>
      <c r="N402" s="494" t="str">
        <f t="shared" si="49"/>
        <v>VENDA</v>
      </c>
      <c r="O402" s="491" t="str">
        <f t="shared" si="50"/>
        <v>LONDRINA [ETAPA 04 - CONDOMINIO ARAGUARI]VENDA</v>
      </c>
      <c r="P402" s="492" t="str">
        <f t="shared" si="51"/>
        <v>VENDARemanescenteLONDRINA [ETAPA 04 - CONDOMINIO ARAGUARI]</v>
      </c>
      <c r="Q402" s="485"/>
    </row>
    <row r="403" spans="1:17">
      <c r="A403" s="61" t="str">
        <f t="shared" si="48"/>
        <v>LONDRINA [ETAPA 04 - CONDOMINIO ARAGUARI]XLVI15</v>
      </c>
      <c r="B403" s="114" t="s">
        <v>878</v>
      </c>
      <c r="C403" s="42" t="s">
        <v>617</v>
      </c>
      <c r="D403" s="45">
        <v>15</v>
      </c>
      <c r="E403" s="64">
        <v>252.75</v>
      </c>
      <c r="F403" s="201"/>
      <c r="G403" s="41"/>
      <c r="H403" s="208"/>
      <c r="I403" s="259" t="str">
        <f t="shared" si="53"/>
        <v>LONDRINA [ETAPA 04 - CONDOMINIO ARAGUARI]1/1900</v>
      </c>
      <c r="J403" s="53" t="str">
        <f t="shared" si="52"/>
        <v>Remanescente1/1900</v>
      </c>
      <c r="K403" s="43"/>
      <c r="L403" s="43" t="s">
        <v>539</v>
      </c>
      <c r="M403" s="316">
        <v>170952.54277499998</v>
      </c>
      <c r="N403" s="494" t="str">
        <f t="shared" si="49"/>
        <v>VGV</v>
      </c>
      <c r="O403" s="491" t="str">
        <f t="shared" si="50"/>
        <v>LONDRINA [ETAPA 04 - CONDOMINIO ARAGUARI]VGV</v>
      </c>
      <c r="P403" s="492" t="str">
        <f t="shared" si="51"/>
        <v>VGVRemanescenteLONDRINA [ETAPA 04 - CONDOMINIO ARAGUARI]</v>
      </c>
      <c r="Q403" s="485"/>
    </row>
    <row r="404" spans="1:17">
      <c r="A404" s="61" t="str">
        <f t="shared" si="48"/>
        <v>LONDRINA [ETAPA 04 - CONDOMINIO ARAGUARI]XLVI16</v>
      </c>
      <c r="B404" s="114" t="s">
        <v>878</v>
      </c>
      <c r="C404" s="42" t="s">
        <v>617</v>
      </c>
      <c r="D404" s="45">
        <v>16</v>
      </c>
      <c r="E404" s="64">
        <v>252.75</v>
      </c>
      <c r="F404" s="201"/>
      <c r="G404" s="41"/>
      <c r="H404" s="208"/>
      <c r="I404" s="259" t="str">
        <f t="shared" si="53"/>
        <v>LONDRINA [ETAPA 04 - CONDOMINIO ARAGUARI]1/1900</v>
      </c>
      <c r="J404" s="53" t="str">
        <f t="shared" si="52"/>
        <v>Remanescente1/1900</v>
      </c>
      <c r="K404" s="43"/>
      <c r="L404" s="43" t="s">
        <v>539</v>
      </c>
      <c r="M404" s="316">
        <v>170952.54277499998</v>
      </c>
      <c r="N404" s="494" t="str">
        <f t="shared" si="49"/>
        <v>VGV</v>
      </c>
      <c r="O404" s="491" t="str">
        <f t="shared" si="50"/>
        <v>LONDRINA [ETAPA 04 - CONDOMINIO ARAGUARI]VGV</v>
      </c>
      <c r="P404" s="492" t="str">
        <f t="shared" si="51"/>
        <v>VGVRemanescenteLONDRINA [ETAPA 04 - CONDOMINIO ARAGUARI]</v>
      </c>
      <c r="Q404" s="485"/>
    </row>
    <row r="405" spans="1:17">
      <c r="A405" s="61" t="str">
        <f t="shared" si="48"/>
        <v>LONDRINA [ETAPA 04 - CONDOMINIO ARAGUARI]XLVI17</v>
      </c>
      <c r="B405" s="114" t="s">
        <v>878</v>
      </c>
      <c r="C405" s="42" t="s">
        <v>617</v>
      </c>
      <c r="D405" s="45">
        <v>17</v>
      </c>
      <c r="E405" s="64">
        <v>252.75</v>
      </c>
      <c r="F405" s="201"/>
      <c r="G405" s="41"/>
      <c r="H405" s="208"/>
      <c r="I405" s="259" t="str">
        <f t="shared" si="53"/>
        <v>LONDRINA [ETAPA 04 - CONDOMINIO ARAGUARI]1/1900</v>
      </c>
      <c r="J405" s="53" t="str">
        <f t="shared" si="52"/>
        <v>Remanescente1/1900</v>
      </c>
      <c r="K405" s="43"/>
      <c r="L405" s="43" t="s">
        <v>539</v>
      </c>
      <c r="M405" s="316">
        <v>170952.54277499998</v>
      </c>
      <c r="N405" s="494" t="str">
        <f t="shared" si="49"/>
        <v>VGV</v>
      </c>
      <c r="O405" s="491" t="str">
        <f t="shared" si="50"/>
        <v>LONDRINA [ETAPA 04 - CONDOMINIO ARAGUARI]VGV</v>
      </c>
      <c r="P405" s="492" t="str">
        <f t="shared" si="51"/>
        <v>VGVRemanescenteLONDRINA [ETAPA 04 - CONDOMINIO ARAGUARI]</v>
      </c>
      <c r="Q405" s="485"/>
    </row>
    <row r="406" spans="1:17">
      <c r="A406" s="61" t="str">
        <f t="shared" si="48"/>
        <v>LONDRINA [ETAPA 04 - CONDOMINIO ARAGUARI]XLVI18</v>
      </c>
      <c r="B406" s="114" t="s">
        <v>878</v>
      </c>
      <c r="C406" s="42" t="s">
        <v>617</v>
      </c>
      <c r="D406" s="45">
        <v>18</v>
      </c>
      <c r="E406" s="64">
        <v>252.75</v>
      </c>
      <c r="F406" s="243">
        <v>5021</v>
      </c>
      <c r="G406" s="41" t="s">
        <v>1477</v>
      </c>
      <c r="H406" s="208">
        <v>44230</v>
      </c>
      <c r="I406" s="259" t="str">
        <f t="shared" si="53"/>
        <v>LONDRINA [ETAPA 04 - CONDOMINIO ARAGUARI]2/2021</v>
      </c>
      <c r="J406" s="53" t="str">
        <f t="shared" si="52"/>
        <v>Remanescente2/2021</v>
      </c>
      <c r="K406" s="43">
        <v>144625.85999999999</v>
      </c>
      <c r="L406" s="43" t="s">
        <v>539</v>
      </c>
      <c r="M406" s="316">
        <v>0</v>
      </c>
      <c r="N406" s="494" t="str">
        <f t="shared" si="49"/>
        <v>VENDA</v>
      </c>
      <c r="O406" s="491" t="str">
        <f t="shared" si="50"/>
        <v>LONDRINA [ETAPA 04 - CONDOMINIO ARAGUARI]VENDA</v>
      </c>
      <c r="P406" s="492" t="str">
        <f t="shared" si="51"/>
        <v>VENDARemanescenteLONDRINA [ETAPA 04 - CONDOMINIO ARAGUARI]</v>
      </c>
      <c r="Q406" s="485"/>
    </row>
    <row r="407" spans="1:17">
      <c r="A407" s="61" t="str">
        <f t="shared" si="48"/>
        <v>LONDRINA [ETAPA 04 - CONDOMINIO ARAGUARI]XLVI19</v>
      </c>
      <c r="B407" s="114" t="s">
        <v>878</v>
      </c>
      <c r="C407" s="42" t="s">
        <v>617</v>
      </c>
      <c r="D407" s="45">
        <v>19</v>
      </c>
      <c r="E407" s="64">
        <v>252.75</v>
      </c>
      <c r="F407" s="201"/>
      <c r="G407" s="41"/>
      <c r="H407" s="208"/>
      <c r="I407" s="259" t="str">
        <f t="shared" si="53"/>
        <v>LONDRINA [ETAPA 04 - CONDOMINIO ARAGUARI]1/1900</v>
      </c>
      <c r="J407" s="53" t="str">
        <f t="shared" si="52"/>
        <v>Remanescente1/1900</v>
      </c>
      <c r="K407" s="43"/>
      <c r="L407" s="43" t="s">
        <v>539</v>
      </c>
      <c r="M407" s="316">
        <v>170952.54277499998</v>
      </c>
      <c r="N407" s="494" t="str">
        <f t="shared" si="49"/>
        <v>VGV</v>
      </c>
      <c r="O407" s="491" t="str">
        <f t="shared" si="50"/>
        <v>LONDRINA [ETAPA 04 - CONDOMINIO ARAGUARI]VGV</v>
      </c>
      <c r="P407" s="492" t="str">
        <f t="shared" si="51"/>
        <v>VGVRemanescenteLONDRINA [ETAPA 04 - CONDOMINIO ARAGUARI]</v>
      </c>
      <c r="Q407" s="485"/>
    </row>
    <row r="408" spans="1:17">
      <c r="A408" s="61" t="str">
        <f t="shared" si="48"/>
        <v>LONDRINA [ETAPA 04 - CONDOMINIO ARAGUARI]XLVI20</v>
      </c>
      <c r="B408" s="114" t="s">
        <v>878</v>
      </c>
      <c r="C408" s="42" t="s">
        <v>617</v>
      </c>
      <c r="D408" s="45">
        <v>20</v>
      </c>
      <c r="E408" s="64">
        <v>252.75</v>
      </c>
      <c r="F408" s="201"/>
      <c r="G408" s="41"/>
      <c r="H408" s="208"/>
      <c r="I408" s="259" t="str">
        <f t="shared" si="53"/>
        <v>LONDRINA [ETAPA 04 - CONDOMINIO ARAGUARI]1/1900</v>
      </c>
      <c r="J408" s="53" t="str">
        <f t="shared" si="52"/>
        <v>Remanescente1/1900</v>
      </c>
      <c r="K408" s="43"/>
      <c r="L408" s="43" t="s">
        <v>539</v>
      </c>
      <c r="M408" s="316">
        <v>170952.54277499998</v>
      </c>
      <c r="N408" s="494" t="str">
        <f t="shared" si="49"/>
        <v>VGV</v>
      </c>
      <c r="O408" s="491" t="str">
        <f t="shared" si="50"/>
        <v>LONDRINA [ETAPA 04 - CONDOMINIO ARAGUARI]VGV</v>
      </c>
      <c r="P408" s="492" t="str">
        <f t="shared" si="51"/>
        <v>VGVRemanescenteLONDRINA [ETAPA 04 - CONDOMINIO ARAGUARI]</v>
      </c>
      <c r="Q408" s="485"/>
    </row>
    <row r="409" spans="1:17">
      <c r="A409" s="61" t="str">
        <f t="shared" si="48"/>
        <v>LONDRINA [ETAPA 04 - CONDOMINIO ARAGUARI]XLVI21</v>
      </c>
      <c r="B409" s="114" t="s">
        <v>878</v>
      </c>
      <c r="C409" s="42" t="s">
        <v>617</v>
      </c>
      <c r="D409" s="45">
        <v>21</v>
      </c>
      <c r="E409" s="64">
        <v>252.75</v>
      </c>
      <c r="F409" s="243">
        <v>5046</v>
      </c>
      <c r="G409" s="41" t="s">
        <v>1483</v>
      </c>
      <c r="H409" s="208">
        <v>44245</v>
      </c>
      <c r="I409" s="259" t="str">
        <f t="shared" si="53"/>
        <v>LONDRINA [ETAPA 04 - CONDOMINIO ARAGUARI]2/2021</v>
      </c>
      <c r="J409" s="53" t="str">
        <f t="shared" si="52"/>
        <v>Remanescente2/2021</v>
      </c>
      <c r="K409" s="43">
        <v>156039.79999999999</v>
      </c>
      <c r="L409" s="43" t="s">
        <v>539</v>
      </c>
      <c r="M409" s="316">
        <v>0</v>
      </c>
      <c r="N409" s="494" t="str">
        <f t="shared" si="49"/>
        <v>VENDA</v>
      </c>
      <c r="O409" s="491" t="str">
        <f t="shared" si="50"/>
        <v>LONDRINA [ETAPA 04 - CONDOMINIO ARAGUARI]VENDA</v>
      </c>
      <c r="P409" s="492" t="str">
        <f t="shared" si="51"/>
        <v>VENDARemanescenteLONDRINA [ETAPA 04 - CONDOMINIO ARAGUARI]</v>
      </c>
      <c r="Q409" s="485"/>
    </row>
    <row r="410" spans="1:17">
      <c r="A410" s="61" t="str">
        <f t="shared" si="48"/>
        <v>LONDRINA [ETAPA 04 - CONDOMINIO ARAGUARI]XLVI22</v>
      </c>
      <c r="B410" s="114" t="s">
        <v>878</v>
      </c>
      <c r="C410" s="42" t="s">
        <v>617</v>
      </c>
      <c r="D410" s="45">
        <v>22</v>
      </c>
      <c r="E410" s="64">
        <v>252.75</v>
      </c>
      <c r="F410" s="201">
        <v>5119</v>
      </c>
      <c r="G410" s="41" t="s">
        <v>1488</v>
      </c>
      <c r="H410" s="208">
        <v>44273</v>
      </c>
      <c r="I410" s="259" t="str">
        <f t="shared" si="53"/>
        <v>LONDRINA [ETAPA 04 - CONDOMINIO ARAGUARI]3/2021</v>
      </c>
      <c r="J410" s="53" t="str">
        <f t="shared" si="52"/>
        <v>Remanescente3/2021</v>
      </c>
      <c r="K410" s="43">
        <v>199751.74</v>
      </c>
      <c r="L410" s="43" t="s">
        <v>539</v>
      </c>
      <c r="M410" s="316">
        <v>0</v>
      </c>
      <c r="N410" s="494" t="str">
        <f t="shared" si="49"/>
        <v>VENDA</v>
      </c>
      <c r="O410" s="491" t="str">
        <f t="shared" si="50"/>
        <v>LONDRINA [ETAPA 04 - CONDOMINIO ARAGUARI]VENDA</v>
      </c>
      <c r="P410" s="492" t="str">
        <f t="shared" si="51"/>
        <v>VENDARemanescenteLONDRINA [ETAPA 04 - CONDOMINIO ARAGUARI]</v>
      </c>
      <c r="Q410" s="485"/>
    </row>
    <row r="411" spans="1:17">
      <c r="A411" s="61" t="str">
        <f t="shared" si="48"/>
        <v>LONDRINA [ETAPA 04 - CONDOMINIO ARAGUARI]XLVII1</v>
      </c>
      <c r="B411" s="114" t="s">
        <v>878</v>
      </c>
      <c r="C411" s="42" t="s">
        <v>618</v>
      </c>
      <c r="D411" s="45">
        <v>1</v>
      </c>
      <c r="E411" s="64">
        <v>351.33</v>
      </c>
      <c r="F411" s="201">
        <v>5109</v>
      </c>
      <c r="G411" s="41" t="s">
        <v>1496</v>
      </c>
      <c r="H411" s="208">
        <v>44256</v>
      </c>
      <c r="I411" s="259" t="str">
        <f t="shared" si="53"/>
        <v>LONDRINA [ETAPA 04 - CONDOMINIO ARAGUARI]3/2021</v>
      </c>
      <c r="J411" s="53" t="str">
        <f t="shared" si="52"/>
        <v>Remanescente3/2021</v>
      </c>
      <c r="K411" s="43">
        <v>227157.61</v>
      </c>
      <c r="L411" s="117" t="s">
        <v>539</v>
      </c>
      <c r="M411" s="316">
        <v>0</v>
      </c>
      <c r="N411" s="494" t="str">
        <f t="shared" si="49"/>
        <v>VENDA</v>
      </c>
      <c r="O411" s="491" t="str">
        <f t="shared" si="50"/>
        <v>LONDRINA [ETAPA 04 - CONDOMINIO ARAGUARI]VENDA</v>
      </c>
      <c r="P411" s="492" t="str">
        <f t="shared" si="51"/>
        <v>VENDARemanescenteLONDRINA [ETAPA 04 - CONDOMINIO ARAGUARI]</v>
      </c>
      <c r="Q411" s="485"/>
    </row>
    <row r="412" spans="1:17">
      <c r="A412" s="61" t="str">
        <f t="shared" si="48"/>
        <v>LONDRINA [ETAPA 04 - CONDOMINIO ARAGUARI]XLVII2</v>
      </c>
      <c r="B412" s="114" t="s">
        <v>878</v>
      </c>
      <c r="C412" s="42" t="s">
        <v>618</v>
      </c>
      <c r="D412" s="45">
        <v>2</v>
      </c>
      <c r="E412" s="64">
        <v>254.34</v>
      </c>
      <c r="F412" s="243">
        <v>4829</v>
      </c>
      <c r="G412" s="41" t="s">
        <v>1343</v>
      </c>
      <c r="H412" s="208">
        <v>44113</v>
      </c>
      <c r="I412" s="259" t="str">
        <f t="shared" si="53"/>
        <v>LONDRINA [ETAPA 04 - CONDOMINIO ARAGUARI]10/2020</v>
      </c>
      <c r="J412" s="53" t="str">
        <f t="shared" si="52"/>
        <v>Remanescente10/2020</v>
      </c>
      <c r="K412" s="43">
        <v>143312.4</v>
      </c>
      <c r="L412" s="43" t="s">
        <v>539</v>
      </c>
      <c r="M412" s="190">
        <v>0</v>
      </c>
      <c r="N412" s="494" t="str">
        <f t="shared" si="49"/>
        <v>VENDA</v>
      </c>
      <c r="O412" s="491" t="str">
        <f t="shared" si="50"/>
        <v>LONDRINA [ETAPA 04 - CONDOMINIO ARAGUARI]VENDA</v>
      </c>
      <c r="P412" s="492" t="str">
        <f t="shared" si="51"/>
        <v>VENDARemanescenteLONDRINA [ETAPA 04 - CONDOMINIO ARAGUARI]</v>
      </c>
      <c r="Q412" s="485"/>
    </row>
    <row r="413" spans="1:17">
      <c r="A413" s="61" t="str">
        <f t="shared" si="48"/>
        <v>LONDRINA [ETAPA 04 - CONDOMINIO ARAGUARI]XLVII3</v>
      </c>
      <c r="B413" s="114" t="s">
        <v>878</v>
      </c>
      <c r="C413" s="42" t="s">
        <v>618</v>
      </c>
      <c r="D413" s="45">
        <v>3</v>
      </c>
      <c r="E413" s="64">
        <v>254.34</v>
      </c>
      <c r="F413" s="243">
        <v>4830</v>
      </c>
      <c r="G413" s="41" t="s">
        <v>1343</v>
      </c>
      <c r="H413" s="208">
        <v>44113</v>
      </c>
      <c r="I413" s="259" t="str">
        <f t="shared" si="53"/>
        <v>LONDRINA [ETAPA 04 - CONDOMINIO ARAGUARI]10/2020</v>
      </c>
      <c r="J413" s="53" t="str">
        <f t="shared" si="52"/>
        <v>Remanescente10/2020</v>
      </c>
      <c r="K413" s="43">
        <v>143312.4</v>
      </c>
      <c r="L413" s="43" t="s">
        <v>539</v>
      </c>
      <c r="M413" s="190">
        <v>0</v>
      </c>
      <c r="N413" s="494" t="str">
        <f t="shared" si="49"/>
        <v>VENDA</v>
      </c>
      <c r="O413" s="491" t="str">
        <f t="shared" si="50"/>
        <v>LONDRINA [ETAPA 04 - CONDOMINIO ARAGUARI]VENDA</v>
      </c>
      <c r="P413" s="492" t="str">
        <f t="shared" si="51"/>
        <v>VENDARemanescenteLONDRINA [ETAPA 04 - CONDOMINIO ARAGUARI]</v>
      </c>
      <c r="Q413" s="485"/>
    </row>
    <row r="414" spans="1:17">
      <c r="A414" s="61" t="str">
        <f t="shared" si="48"/>
        <v>LONDRINA [ETAPA 04 - CONDOMINIO ARAGUARI]XLVII4</v>
      </c>
      <c r="B414" s="114" t="s">
        <v>878</v>
      </c>
      <c r="C414" s="42" t="s">
        <v>618</v>
      </c>
      <c r="D414" s="45">
        <v>4</v>
      </c>
      <c r="E414" s="64">
        <v>261.33999999999997</v>
      </c>
      <c r="F414" s="201"/>
      <c r="G414" s="41" t="s">
        <v>1140</v>
      </c>
      <c r="H414" s="208">
        <v>43864</v>
      </c>
      <c r="I414" s="259" t="str">
        <f t="shared" si="53"/>
        <v>LONDRINA [ETAPA 04 - CONDOMINIO ARAGUARI]2/2020</v>
      </c>
      <c r="J414" s="53" t="str">
        <f t="shared" si="52"/>
        <v>Remanescente2/2020</v>
      </c>
      <c r="K414" s="43">
        <v>151818.43</v>
      </c>
      <c r="L414" s="43" t="s">
        <v>539</v>
      </c>
      <c r="M414" s="190">
        <v>0</v>
      </c>
      <c r="N414" s="494" t="str">
        <f t="shared" si="49"/>
        <v>VENDA</v>
      </c>
      <c r="O414" s="491" t="str">
        <f t="shared" si="50"/>
        <v>LONDRINA [ETAPA 04 - CONDOMINIO ARAGUARI]VENDA</v>
      </c>
      <c r="P414" s="492" t="str">
        <f t="shared" si="51"/>
        <v>VENDARemanescenteLONDRINA [ETAPA 04 - CONDOMINIO ARAGUARI]</v>
      </c>
      <c r="Q414" s="485"/>
    </row>
    <row r="415" spans="1:17">
      <c r="A415" s="61" t="str">
        <f t="shared" si="48"/>
        <v>LONDRINA [ETAPA 04 - CONDOMINIO ARAGUARI]XLVII5</v>
      </c>
      <c r="B415" s="114" t="s">
        <v>878</v>
      </c>
      <c r="C415" s="42" t="s">
        <v>618</v>
      </c>
      <c r="D415" s="45">
        <v>5</v>
      </c>
      <c r="E415" s="64">
        <v>257.64</v>
      </c>
      <c r="F415" s="201"/>
      <c r="G415" s="41"/>
      <c r="H415" s="208"/>
      <c r="I415" s="259" t="str">
        <f t="shared" si="53"/>
        <v>LONDRINA [ETAPA 04 - CONDOMINIO ARAGUARI]1/1900</v>
      </c>
      <c r="J415" s="53" t="str">
        <f t="shared" si="52"/>
        <v>Remanescente1/1900</v>
      </c>
      <c r="K415" s="43"/>
      <c r="L415" s="43" t="s">
        <v>539</v>
      </c>
      <c r="M415" s="316">
        <v>177213.55176</v>
      </c>
      <c r="N415" s="494" t="str">
        <f t="shared" si="49"/>
        <v>VGV</v>
      </c>
      <c r="O415" s="491" t="str">
        <f t="shared" si="50"/>
        <v>LONDRINA [ETAPA 04 - CONDOMINIO ARAGUARI]VGV</v>
      </c>
      <c r="P415" s="492" t="str">
        <f t="shared" si="51"/>
        <v>VGVRemanescenteLONDRINA [ETAPA 04 - CONDOMINIO ARAGUARI]</v>
      </c>
      <c r="Q415" s="485"/>
    </row>
    <row r="416" spans="1:17">
      <c r="A416" s="61" t="str">
        <f t="shared" si="48"/>
        <v>LONDRINA [ETAPA 04 - CONDOMINIO ARAGUARI]XLVII6</v>
      </c>
      <c r="B416" s="114" t="s">
        <v>878</v>
      </c>
      <c r="C416" s="42" t="s">
        <v>618</v>
      </c>
      <c r="D416" s="45">
        <v>6</v>
      </c>
      <c r="E416" s="64">
        <v>257.64</v>
      </c>
      <c r="F416" s="243">
        <v>4783</v>
      </c>
      <c r="G416" s="41" t="s">
        <v>1312</v>
      </c>
      <c r="H416" s="208">
        <v>44099</v>
      </c>
      <c r="I416" s="259" t="str">
        <f t="shared" si="53"/>
        <v>LONDRINA [ETAPA 04 - CONDOMINIO ARAGUARI]9/2020</v>
      </c>
      <c r="J416" s="53" t="str">
        <f t="shared" si="52"/>
        <v>Remanescente9/2020</v>
      </c>
      <c r="K416" s="43">
        <v>143934.10999999999</v>
      </c>
      <c r="L416" s="43" t="s">
        <v>539</v>
      </c>
      <c r="M416" s="190">
        <v>0</v>
      </c>
      <c r="N416" s="494" t="str">
        <f t="shared" si="49"/>
        <v>VENDA</v>
      </c>
      <c r="O416" s="491" t="str">
        <f t="shared" si="50"/>
        <v>LONDRINA [ETAPA 04 - CONDOMINIO ARAGUARI]VENDA</v>
      </c>
      <c r="P416" s="492" t="str">
        <f t="shared" si="51"/>
        <v>VENDARemanescenteLONDRINA [ETAPA 04 - CONDOMINIO ARAGUARI]</v>
      </c>
      <c r="Q416" s="485"/>
    </row>
    <row r="417" spans="1:17">
      <c r="A417" s="61" t="str">
        <f t="shared" si="48"/>
        <v>LONDRINA [ETAPA 04 - CONDOMINIO ARAGUARI]XLVII7</v>
      </c>
      <c r="B417" s="114" t="s">
        <v>878</v>
      </c>
      <c r="C417" s="42" t="s">
        <v>618</v>
      </c>
      <c r="D417" s="45">
        <v>7</v>
      </c>
      <c r="E417" s="64">
        <v>257.64</v>
      </c>
      <c r="F417" s="243">
        <v>4886</v>
      </c>
      <c r="G417" s="41" t="s">
        <v>1370</v>
      </c>
      <c r="H417" s="208">
        <v>44153</v>
      </c>
      <c r="I417" s="259" t="str">
        <f t="shared" si="53"/>
        <v>LONDRINA [ETAPA 04 - CONDOMINIO ARAGUARI]11/2020</v>
      </c>
      <c r="J417" s="53" t="str">
        <f t="shared" si="52"/>
        <v>Remanescente11/2020</v>
      </c>
      <c r="K417" s="43">
        <v>158648.32999999999</v>
      </c>
      <c r="L417" s="43" t="s">
        <v>539</v>
      </c>
      <c r="M417" s="190">
        <v>0</v>
      </c>
      <c r="N417" s="494" t="str">
        <f t="shared" si="49"/>
        <v>VENDA</v>
      </c>
      <c r="O417" s="491" t="str">
        <f t="shared" si="50"/>
        <v>LONDRINA [ETAPA 04 - CONDOMINIO ARAGUARI]VENDA</v>
      </c>
      <c r="P417" s="492" t="str">
        <f t="shared" si="51"/>
        <v>VENDARemanescenteLONDRINA [ETAPA 04 - CONDOMINIO ARAGUARI]</v>
      </c>
      <c r="Q417" s="485"/>
    </row>
    <row r="418" spans="1:17">
      <c r="A418" s="61" t="str">
        <f t="shared" si="48"/>
        <v>LONDRINA [ETAPA 04 - CONDOMINIO ARAGUARI]XLVII8</v>
      </c>
      <c r="B418" s="114" t="s">
        <v>878</v>
      </c>
      <c r="C418" s="42" t="s">
        <v>618</v>
      </c>
      <c r="D418" s="45">
        <v>8</v>
      </c>
      <c r="E418" s="64">
        <v>257.64</v>
      </c>
      <c r="F418" s="243">
        <v>4912</v>
      </c>
      <c r="G418" s="41" t="s">
        <v>1381</v>
      </c>
      <c r="H418" s="208">
        <v>44166</v>
      </c>
      <c r="I418" s="259" t="str">
        <f t="shared" si="53"/>
        <v>LONDRINA [ETAPA 04 - CONDOMINIO ARAGUARI]12/2020</v>
      </c>
      <c r="J418" s="53" t="str">
        <f t="shared" si="52"/>
        <v>Remanescente12/2020</v>
      </c>
      <c r="K418" s="43">
        <v>155100.79999999999</v>
      </c>
      <c r="L418" s="43" t="s">
        <v>539</v>
      </c>
      <c r="M418" s="190">
        <v>0</v>
      </c>
      <c r="N418" s="494" t="str">
        <f t="shared" si="49"/>
        <v>VENDA</v>
      </c>
      <c r="O418" s="491" t="str">
        <f t="shared" si="50"/>
        <v>LONDRINA [ETAPA 04 - CONDOMINIO ARAGUARI]VENDA</v>
      </c>
      <c r="P418" s="492" t="str">
        <f t="shared" si="51"/>
        <v>VENDARemanescenteLONDRINA [ETAPA 04 - CONDOMINIO ARAGUARI]</v>
      </c>
      <c r="Q418" s="485"/>
    </row>
    <row r="419" spans="1:17">
      <c r="A419" s="61" t="str">
        <f t="shared" si="48"/>
        <v>LONDRINA [ETAPA 04 - CONDOMINIO ARAGUARI]XLVII9</v>
      </c>
      <c r="B419" s="114" t="s">
        <v>878</v>
      </c>
      <c r="C419" s="42" t="s">
        <v>618</v>
      </c>
      <c r="D419" s="45">
        <v>9</v>
      </c>
      <c r="E419" s="64">
        <v>257.64</v>
      </c>
      <c r="F419" s="201"/>
      <c r="G419" s="41" t="s">
        <v>1065</v>
      </c>
      <c r="H419" s="208">
        <v>43717</v>
      </c>
      <c r="I419" s="259" t="str">
        <f t="shared" si="53"/>
        <v>LONDRINA [ETAPA 04 - CONDOMINIO ARAGUARI]9/2019</v>
      </c>
      <c r="J419" s="53" t="str">
        <f t="shared" si="52"/>
        <v>Remanescente9/2019</v>
      </c>
      <c r="K419" s="43">
        <v>141000.6</v>
      </c>
      <c r="L419" s="43" t="s">
        <v>539</v>
      </c>
      <c r="M419" s="190">
        <v>0</v>
      </c>
      <c r="N419" s="494" t="str">
        <f t="shared" si="49"/>
        <v>VENDA</v>
      </c>
      <c r="O419" s="491" t="str">
        <f t="shared" si="50"/>
        <v>LONDRINA [ETAPA 04 - CONDOMINIO ARAGUARI]VENDA</v>
      </c>
      <c r="P419" s="492" t="str">
        <f t="shared" si="51"/>
        <v>VENDARemanescenteLONDRINA [ETAPA 04 - CONDOMINIO ARAGUARI]</v>
      </c>
      <c r="Q419" s="485"/>
    </row>
    <row r="420" spans="1:17">
      <c r="A420" s="61" t="str">
        <f t="shared" si="48"/>
        <v>LONDRINA [ETAPA 04 - CONDOMINIO ARAGUARI]XLVII10</v>
      </c>
      <c r="B420" s="114" t="s">
        <v>878</v>
      </c>
      <c r="C420" s="42" t="s">
        <v>618</v>
      </c>
      <c r="D420" s="45">
        <v>10</v>
      </c>
      <c r="E420" s="64">
        <v>311.27999999999997</v>
      </c>
      <c r="F420" s="243">
        <v>4924</v>
      </c>
      <c r="G420" s="41" t="s">
        <v>1382</v>
      </c>
      <c r="H420" s="208">
        <v>44176</v>
      </c>
      <c r="I420" s="259" t="str">
        <f t="shared" si="53"/>
        <v>LONDRINA [ETAPA 04 - CONDOMINIO ARAGUARI]12/2020</v>
      </c>
      <c r="J420" s="53" t="str">
        <f t="shared" si="52"/>
        <v>Remanescente12/2020</v>
      </c>
      <c r="K420" s="43">
        <v>191677.63</v>
      </c>
      <c r="L420" s="43" t="s">
        <v>539</v>
      </c>
      <c r="M420" s="190">
        <v>0</v>
      </c>
      <c r="N420" s="494" t="str">
        <f t="shared" si="49"/>
        <v>VENDA</v>
      </c>
      <c r="O420" s="491" t="str">
        <f t="shared" si="50"/>
        <v>LONDRINA [ETAPA 04 - CONDOMINIO ARAGUARI]VENDA</v>
      </c>
      <c r="P420" s="492" t="str">
        <f t="shared" si="51"/>
        <v>VENDARemanescenteLONDRINA [ETAPA 04 - CONDOMINIO ARAGUARI]</v>
      </c>
      <c r="Q420" s="485"/>
    </row>
    <row r="421" spans="1:17">
      <c r="A421" s="61" t="str">
        <f t="shared" si="48"/>
        <v>LONDRINA [ETAPA 04 - CONDOMINIO ARAGUARI]XLVII18</v>
      </c>
      <c r="B421" s="114" t="s">
        <v>878</v>
      </c>
      <c r="C421" s="42" t="s">
        <v>618</v>
      </c>
      <c r="D421" s="45">
        <v>18</v>
      </c>
      <c r="E421" s="64">
        <v>253.57</v>
      </c>
      <c r="F421" s="201"/>
      <c r="G421" s="41"/>
      <c r="H421" s="208"/>
      <c r="I421" s="259" t="str">
        <f t="shared" si="53"/>
        <v>LONDRINA [ETAPA 04 - CONDOMINIO ARAGUARI]1/1900</v>
      </c>
      <c r="J421" s="53" t="str">
        <f t="shared" si="52"/>
        <v>Remanescente1/1900</v>
      </c>
      <c r="K421" s="43"/>
      <c r="L421" s="43" t="s">
        <v>539</v>
      </c>
      <c r="M421" s="316">
        <v>174414.06738000002</v>
      </c>
      <c r="N421" s="494" t="str">
        <f t="shared" si="49"/>
        <v>VGV</v>
      </c>
      <c r="O421" s="491" t="str">
        <f t="shared" si="50"/>
        <v>LONDRINA [ETAPA 04 - CONDOMINIO ARAGUARI]VGV</v>
      </c>
      <c r="P421" s="492" t="str">
        <f t="shared" si="51"/>
        <v>VGVRemanescenteLONDRINA [ETAPA 04 - CONDOMINIO ARAGUARI]</v>
      </c>
      <c r="Q421" s="485"/>
    </row>
    <row r="422" spans="1:17">
      <c r="A422" s="61" t="str">
        <f t="shared" si="48"/>
        <v>LONDRINA [ETAPA 04 - CONDOMINIO ARAGUARI]XLVII19</v>
      </c>
      <c r="B422" s="114" t="s">
        <v>878</v>
      </c>
      <c r="C422" s="42" t="s">
        <v>618</v>
      </c>
      <c r="D422" s="45">
        <v>19</v>
      </c>
      <c r="E422" s="64">
        <v>253.57</v>
      </c>
      <c r="F422" s="243">
        <v>4948</v>
      </c>
      <c r="G422" s="41" t="s">
        <v>1390</v>
      </c>
      <c r="H422" s="208">
        <v>44174</v>
      </c>
      <c r="I422" s="259" t="str">
        <f t="shared" si="53"/>
        <v>LONDRINA [ETAPA 04 - CONDOMINIO ARAGUARI]12/2020</v>
      </c>
      <c r="J422" s="53" t="str">
        <f t="shared" si="52"/>
        <v>Remanescente12/2020</v>
      </c>
      <c r="K422" s="43">
        <v>156141.54</v>
      </c>
      <c r="L422" s="43" t="s">
        <v>539</v>
      </c>
      <c r="M422" s="190">
        <v>0</v>
      </c>
      <c r="N422" s="494" t="str">
        <f t="shared" si="49"/>
        <v>VENDA</v>
      </c>
      <c r="O422" s="491" t="str">
        <f t="shared" si="50"/>
        <v>LONDRINA [ETAPA 04 - CONDOMINIO ARAGUARI]VENDA</v>
      </c>
      <c r="P422" s="492" t="str">
        <f t="shared" si="51"/>
        <v>VENDARemanescenteLONDRINA [ETAPA 04 - CONDOMINIO ARAGUARI]</v>
      </c>
      <c r="Q422" s="485"/>
    </row>
    <row r="423" spans="1:17">
      <c r="A423" s="61" t="str">
        <f t="shared" si="48"/>
        <v>LONDRINA [ETAPA 04 - CONDOMINIO ARAGUARI]XLVII20</v>
      </c>
      <c r="B423" s="114" t="s">
        <v>878</v>
      </c>
      <c r="C423" s="42" t="s">
        <v>618</v>
      </c>
      <c r="D423" s="45">
        <v>20</v>
      </c>
      <c r="E423" s="64">
        <v>253.57</v>
      </c>
      <c r="F423" s="243">
        <v>4913</v>
      </c>
      <c r="G423" s="41" t="s">
        <v>1383</v>
      </c>
      <c r="H423" s="208">
        <v>44166</v>
      </c>
      <c r="I423" s="259" t="str">
        <f t="shared" si="53"/>
        <v>LONDRINA [ETAPA 04 - CONDOMINIO ARAGUARI]12/2020</v>
      </c>
      <c r="J423" s="53" t="str">
        <f t="shared" si="52"/>
        <v>Remanescente12/2020</v>
      </c>
      <c r="K423" s="43">
        <v>152280</v>
      </c>
      <c r="L423" s="43" t="s">
        <v>539</v>
      </c>
      <c r="M423" s="190">
        <v>0</v>
      </c>
      <c r="N423" s="494" t="str">
        <f t="shared" si="49"/>
        <v>VENDA</v>
      </c>
      <c r="O423" s="491" t="str">
        <f t="shared" si="50"/>
        <v>LONDRINA [ETAPA 04 - CONDOMINIO ARAGUARI]VENDA</v>
      </c>
      <c r="P423" s="492" t="str">
        <f t="shared" si="51"/>
        <v>VENDARemanescenteLONDRINA [ETAPA 04 - CONDOMINIO ARAGUARI]</v>
      </c>
      <c r="Q423" s="485"/>
    </row>
    <row r="424" spans="1:17">
      <c r="A424" s="61" t="str">
        <f t="shared" si="48"/>
        <v>LONDRINA [ETAPA 04 - CONDOMINIO ARAGUARI]XLVII21</v>
      </c>
      <c r="B424" s="114" t="s">
        <v>878</v>
      </c>
      <c r="C424" s="42" t="s">
        <v>618</v>
      </c>
      <c r="D424" s="45">
        <v>21</v>
      </c>
      <c r="E424" s="64">
        <v>253.57</v>
      </c>
      <c r="F424" s="243">
        <v>4787</v>
      </c>
      <c r="G424" s="41" t="s">
        <v>1313</v>
      </c>
      <c r="H424" s="208">
        <v>44098</v>
      </c>
      <c r="I424" s="259" t="str">
        <f t="shared" si="53"/>
        <v>LONDRINA [ETAPA 04 - CONDOMINIO ARAGUARI]9/2020</v>
      </c>
      <c r="J424" s="53" t="str">
        <f t="shared" si="52"/>
        <v>Remanescente9/2020</v>
      </c>
      <c r="K424" s="43">
        <v>131600</v>
      </c>
      <c r="L424" s="43" t="s">
        <v>539</v>
      </c>
      <c r="M424" s="190">
        <v>0</v>
      </c>
      <c r="N424" s="494" t="str">
        <f t="shared" si="49"/>
        <v>VENDA</v>
      </c>
      <c r="O424" s="491" t="str">
        <f t="shared" si="50"/>
        <v>LONDRINA [ETAPA 04 - CONDOMINIO ARAGUARI]VENDA</v>
      </c>
      <c r="P424" s="492" t="str">
        <f t="shared" si="51"/>
        <v>VENDARemanescenteLONDRINA [ETAPA 04 - CONDOMINIO ARAGUARI]</v>
      </c>
      <c r="Q424" s="485"/>
    </row>
    <row r="425" spans="1:17">
      <c r="A425" s="61" t="str">
        <f t="shared" si="48"/>
        <v>LONDRINA [ETAPA 04 - CONDOMINIO ARAGUARI]XLVII22</v>
      </c>
      <c r="B425" s="114" t="s">
        <v>878</v>
      </c>
      <c r="C425" s="42" t="s">
        <v>618</v>
      </c>
      <c r="D425" s="45">
        <v>22</v>
      </c>
      <c r="E425" s="64">
        <v>253.57</v>
      </c>
      <c r="F425" s="243">
        <v>4739</v>
      </c>
      <c r="G425" s="41" t="s">
        <v>1263</v>
      </c>
      <c r="H425" s="208">
        <v>44062</v>
      </c>
      <c r="I425" s="259" t="str">
        <f t="shared" si="53"/>
        <v>LONDRINA [ETAPA 04 - CONDOMINIO ARAGUARI]8/2020</v>
      </c>
      <c r="J425" s="53" t="str">
        <f t="shared" si="52"/>
        <v>Remanescente8/2020</v>
      </c>
      <c r="K425" s="43">
        <v>147303.56</v>
      </c>
      <c r="L425" s="43" t="s">
        <v>539</v>
      </c>
      <c r="M425" s="190">
        <v>0</v>
      </c>
      <c r="N425" s="494" t="str">
        <f t="shared" si="49"/>
        <v>VENDA</v>
      </c>
      <c r="O425" s="491" t="str">
        <f t="shared" si="50"/>
        <v>LONDRINA [ETAPA 04 - CONDOMINIO ARAGUARI]VENDA</v>
      </c>
      <c r="P425" s="492" t="str">
        <f t="shared" si="51"/>
        <v>VENDARemanescenteLONDRINA [ETAPA 04 - CONDOMINIO ARAGUARI]</v>
      </c>
      <c r="Q425" s="485"/>
    </row>
    <row r="426" spans="1:17">
      <c r="A426" s="61" t="str">
        <f t="shared" si="48"/>
        <v>LONDRINA [ETAPA 04 - CONDOMINIO ARAGUARI]XLVII23</v>
      </c>
      <c r="B426" s="114" t="s">
        <v>878</v>
      </c>
      <c r="C426" s="42" t="s">
        <v>618</v>
      </c>
      <c r="D426" s="45">
        <v>23</v>
      </c>
      <c r="E426" s="64">
        <v>251.38</v>
      </c>
      <c r="F426" s="243">
        <v>4736</v>
      </c>
      <c r="G426" s="41" t="s">
        <v>1264</v>
      </c>
      <c r="H426" s="208">
        <v>44064</v>
      </c>
      <c r="I426" s="259" t="str">
        <f t="shared" si="53"/>
        <v>LONDRINA [ETAPA 04 - CONDOMINIO ARAGUARI]8/2020</v>
      </c>
      <c r="J426" s="53" t="str">
        <f t="shared" si="52"/>
        <v>Remanescente8/2020</v>
      </c>
      <c r="K426" s="43">
        <v>145700</v>
      </c>
      <c r="L426" s="43" t="s">
        <v>539</v>
      </c>
      <c r="M426" s="190">
        <v>0</v>
      </c>
      <c r="N426" s="494" t="str">
        <f t="shared" si="49"/>
        <v>VENDA</v>
      </c>
      <c r="O426" s="491" t="str">
        <f t="shared" si="50"/>
        <v>LONDRINA [ETAPA 04 - CONDOMINIO ARAGUARI]VENDA</v>
      </c>
      <c r="P426" s="492" t="str">
        <f t="shared" si="51"/>
        <v>VENDARemanescenteLONDRINA [ETAPA 04 - CONDOMINIO ARAGUARI]</v>
      </c>
      <c r="Q426" s="485"/>
    </row>
    <row r="427" spans="1:17">
      <c r="A427" s="61" t="str">
        <f t="shared" si="48"/>
        <v>LONDRINA [ETAPA 04 - CONDOMINIO ARAGUARI]XLVII24</v>
      </c>
      <c r="B427" s="114" t="s">
        <v>878</v>
      </c>
      <c r="C427" s="42" t="s">
        <v>618</v>
      </c>
      <c r="D427" s="45">
        <v>24</v>
      </c>
      <c r="E427" s="64">
        <v>254.49</v>
      </c>
      <c r="F427" s="243">
        <v>4671</v>
      </c>
      <c r="G427" s="41" t="s">
        <v>1265</v>
      </c>
      <c r="H427" s="208">
        <v>44057</v>
      </c>
      <c r="I427" s="259" t="str">
        <f t="shared" si="53"/>
        <v>LONDRINA [ETAPA 04 - CONDOMINIO ARAGUARI]8/2020</v>
      </c>
      <c r="J427" s="53" t="str">
        <f t="shared" si="52"/>
        <v>Remanescente8/2020</v>
      </c>
      <c r="K427" s="43">
        <v>140530.9</v>
      </c>
      <c r="L427" s="43" t="s">
        <v>539</v>
      </c>
      <c r="M427" s="190">
        <v>0</v>
      </c>
      <c r="N427" s="494" t="str">
        <f t="shared" si="49"/>
        <v>VENDA</v>
      </c>
      <c r="O427" s="491" t="str">
        <f t="shared" si="50"/>
        <v>LONDRINA [ETAPA 04 - CONDOMINIO ARAGUARI]VENDA</v>
      </c>
      <c r="P427" s="492" t="str">
        <f t="shared" si="51"/>
        <v>VENDARemanescenteLONDRINA [ETAPA 04 - CONDOMINIO ARAGUARI]</v>
      </c>
      <c r="Q427" s="485"/>
    </row>
    <row r="428" spans="1:17">
      <c r="A428" s="61" t="str">
        <f t="shared" si="48"/>
        <v>LONDRINA [ETAPA 04 - CONDOMINIO ARAGUARI]XLVII25</v>
      </c>
      <c r="B428" s="114" t="s">
        <v>878</v>
      </c>
      <c r="C428" s="42" t="s">
        <v>618</v>
      </c>
      <c r="D428" s="45">
        <v>25</v>
      </c>
      <c r="E428" s="64">
        <v>254.49</v>
      </c>
      <c r="F428" s="243">
        <v>4811</v>
      </c>
      <c r="G428" s="41" t="s">
        <v>1344</v>
      </c>
      <c r="H428" s="208">
        <v>44105</v>
      </c>
      <c r="I428" s="259" t="str">
        <f t="shared" si="53"/>
        <v>LONDRINA [ETAPA 04 - CONDOMINIO ARAGUARI]10/2020</v>
      </c>
      <c r="J428" s="53" t="str">
        <f t="shared" si="52"/>
        <v>Remanescente10/2020</v>
      </c>
      <c r="K428" s="43">
        <v>140999.6</v>
      </c>
      <c r="L428" s="43" t="s">
        <v>539</v>
      </c>
      <c r="M428" s="190">
        <v>0</v>
      </c>
      <c r="N428" s="494" t="str">
        <f t="shared" si="49"/>
        <v>VENDA</v>
      </c>
      <c r="O428" s="491" t="str">
        <f t="shared" si="50"/>
        <v>LONDRINA [ETAPA 04 - CONDOMINIO ARAGUARI]VENDA</v>
      </c>
      <c r="P428" s="492" t="str">
        <f t="shared" si="51"/>
        <v>VENDARemanescenteLONDRINA [ETAPA 04 - CONDOMINIO ARAGUARI]</v>
      </c>
      <c r="Q428" s="485"/>
    </row>
    <row r="429" spans="1:17">
      <c r="A429" s="61" t="str">
        <f t="shared" si="48"/>
        <v>LONDRINA [ETAPA 04 - CONDOMINIO ARAGUARI]XLVII26</v>
      </c>
      <c r="B429" s="114" t="s">
        <v>878</v>
      </c>
      <c r="C429" s="42" t="s">
        <v>618</v>
      </c>
      <c r="D429" s="45">
        <v>26</v>
      </c>
      <c r="E429" s="64">
        <v>347.79</v>
      </c>
      <c r="F429" s="201"/>
      <c r="G429" s="41"/>
      <c r="H429" s="208"/>
      <c r="I429" s="259" t="str">
        <f t="shared" si="53"/>
        <v>LONDRINA [ETAPA 04 - CONDOMINIO ARAGUARI]1/1900</v>
      </c>
      <c r="J429" s="53" t="str">
        <f t="shared" si="52"/>
        <v>Distrato1/1900</v>
      </c>
      <c r="K429" s="43"/>
      <c r="L429" s="43" t="s">
        <v>570</v>
      </c>
      <c r="M429" s="316">
        <v>172006.64838</v>
      </c>
      <c r="N429" s="494" t="str">
        <f t="shared" si="49"/>
        <v>VGV</v>
      </c>
      <c r="O429" s="491" t="str">
        <f t="shared" si="50"/>
        <v>LONDRINA [ETAPA 04 - CONDOMINIO ARAGUARI]VGV</v>
      </c>
      <c r="P429" s="492" t="str">
        <f t="shared" si="51"/>
        <v>VGVDistratoLONDRINA [ETAPA 04 - CONDOMINIO ARAGUARI]</v>
      </c>
      <c r="Q429" s="485"/>
    </row>
    <row r="430" spans="1:17">
      <c r="A430" s="61" t="str">
        <f t="shared" si="48"/>
        <v>LONDRINA [ETAPA 04 - CONDOMINIO ARAGUARI]XLVIII1</v>
      </c>
      <c r="B430" s="114" t="s">
        <v>878</v>
      </c>
      <c r="C430" s="42" t="s">
        <v>619</v>
      </c>
      <c r="D430" s="45">
        <v>1</v>
      </c>
      <c r="E430" s="64">
        <v>330.18</v>
      </c>
      <c r="F430" s="64"/>
      <c r="G430" s="41" t="s">
        <v>907</v>
      </c>
      <c r="H430" s="208">
        <v>43470</v>
      </c>
      <c r="I430" s="259" t="str">
        <f t="shared" si="53"/>
        <v>LONDRINA [ETAPA 04 - CONDOMINIO ARAGUARI]1/2019</v>
      </c>
      <c r="J430" s="53" t="str">
        <f t="shared" si="52"/>
        <v>Remanescente1/2019</v>
      </c>
      <c r="K430" s="43">
        <v>164495.75</v>
      </c>
      <c r="L430" s="43" t="s">
        <v>539</v>
      </c>
      <c r="M430" s="43">
        <v>0</v>
      </c>
      <c r="N430" s="494" t="str">
        <f t="shared" si="49"/>
        <v>VENDA</v>
      </c>
      <c r="O430" s="491" t="str">
        <f t="shared" si="50"/>
        <v>LONDRINA [ETAPA 04 - CONDOMINIO ARAGUARI]VENDA</v>
      </c>
      <c r="P430" s="492" t="str">
        <f t="shared" si="51"/>
        <v>VENDARemanescenteLONDRINA [ETAPA 04 - CONDOMINIO ARAGUARI]</v>
      </c>
      <c r="Q430" s="485"/>
    </row>
    <row r="431" spans="1:17">
      <c r="A431" s="61" t="str">
        <f t="shared" si="48"/>
        <v>LONDRINA [ETAPA 04 - CONDOMINIO ARAGUARI]XLVIII2</v>
      </c>
      <c r="B431" s="114" t="s">
        <v>878</v>
      </c>
      <c r="C431" s="42" t="s">
        <v>619</v>
      </c>
      <c r="D431" s="45">
        <v>2</v>
      </c>
      <c r="E431" s="64">
        <v>254.31</v>
      </c>
      <c r="F431" s="201"/>
      <c r="G431" s="41" t="s">
        <v>1012</v>
      </c>
      <c r="H431" s="208">
        <v>43648</v>
      </c>
      <c r="I431" s="259" t="str">
        <f t="shared" si="53"/>
        <v>LONDRINA [ETAPA 04 - CONDOMINIO ARAGUARI]7/2019</v>
      </c>
      <c r="J431" s="53" t="str">
        <f t="shared" si="52"/>
        <v>Remanescente7/2019</v>
      </c>
      <c r="K431" s="43">
        <v>122200</v>
      </c>
      <c r="L431" s="43" t="s">
        <v>539</v>
      </c>
      <c r="M431" s="190">
        <v>0</v>
      </c>
      <c r="N431" s="494" t="str">
        <f t="shared" si="49"/>
        <v>VENDA</v>
      </c>
      <c r="O431" s="491" t="str">
        <f t="shared" si="50"/>
        <v>LONDRINA [ETAPA 04 - CONDOMINIO ARAGUARI]VENDA</v>
      </c>
      <c r="P431" s="492" t="str">
        <f t="shared" si="51"/>
        <v>VENDARemanescenteLONDRINA [ETAPA 04 - CONDOMINIO ARAGUARI]</v>
      </c>
      <c r="Q431" s="485"/>
    </row>
    <row r="432" spans="1:17">
      <c r="A432" s="61" t="str">
        <f t="shared" si="48"/>
        <v>LONDRINA [ETAPA 04 - CONDOMINIO ARAGUARI]XLVIII3</v>
      </c>
      <c r="B432" s="114" t="s">
        <v>878</v>
      </c>
      <c r="C432" s="42" t="s">
        <v>619</v>
      </c>
      <c r="D432" s="45">
        <v>3</v>
      </c>
      <c r="E432" s="64">
        <v>254.31</v>
      </c>
      <c r="F432" s="201"/>
      <c r="G432" s="41" t="s">
        <v>1109</v>
      </c>
      <c r="H432" s="208">
        <v>43777</v>
      </c>
      <c r="I432" s="259" t="str">
        <f t="shared" si="53"/>
        <v>LONDRINA [ETAPA 04 - CONDOMINIO ARAGUARI]11/2019</v>
      </c>
      <c r="J432" s="53" t="str">
        <f t="shared" si="52"/>
        <v>Remanescente11/2019</v>
      </c>
      <c r="K432" s="43">
        <v>122200</v>
      </c>
      <c r="L432" s="43" t="s">
        <v>539</v>
      </c>
      <c r="M432" s="190">
        <v>0</v>
      </c>
      <c r="N432" s="494" t="str">
        <f t="shared" si="49"/>
        <v>VENDA</v>
      </c>
      <c r="O432" s="491" t="str">
        <f t="shared" si="50"/>
        <v>LONDRINA [ETAPA 04 - CONDOMINIO ARAGUARI]VENDA</v>
      </c>
      <c r="P432" s="492" t="str">
        <f t="shared" si="51"/>
        <v>VENDARemanescenteLONDRINA [ETAPA 04 - CONDOMINIO ARAGUARI]</v>
      </c>
      <c r="Q432" s="485"/>
    </row>
    <row r="433" spans="1:17">
      <c r="A433" s="61" t="str">
        <f t="shared" si="48"/>
        <v>LONDRINA [ETAPA 04 - CONDOMINIO ARAGUARI]XLVIII4</v>
      </c>
      <c r="B433" s="114" t="s">
        <v>878</v>
      </c>
      <c r="C433" s="42" t="s">
        <v>619</v>
      </c>
      <c r="D433" s="45">
        <v>4</v>
      </c>
      <c r="E433" s="64">
        <v>254.31</v>
      </c>
      <c r="F433" s="201">
        <v>7045</v>
      </c>
      <c r="G433" s="41" t="s">
        <v>938</v>
      </c>
      <c r="H433" s="208">
        <v>43532</v>
      </c>
      <c r="I433" s="259" t="str">
        <f t="shared" si="53"/>
        <v>LONDRINA [ETAPA 04 - CONDOMINIO ARAGUARI]3/2019</v>
      </c>
      <c r="J433" s="53" t="str">
        <f t="shared" si="52"/>
        <v>Remanescente3/2019</v>
      </c>
      <c r="K433" s="43">
        <v>121102.67</v>
      </c>
      <c r="L433" s="43" t="s">
        <v>539</v>
      </c>
      <c r="M433" s="190">
        <v>0</v>
      </c>
      <c r="N433" s="494" t="str">
        <f t="shared" si="49"/>
        <v>VENDA</v>
      </c>
      <c r="O433" s="491" t="str">
        <f t="shared" si="50"/>
        <v>LONDRINA [ETAPA 04 - CONDOMINIO ARAGUARI]VENDA</v>
      </c>
      <c r="P433" s="492" t="str">
        <f t="shared" si="51"/>
        <v>VENDARemanescenteLONDRINA [ETAPA 04 - CONDOMINIO ARAGUARI]</v>
      </c>
      <c r="Q433" s="485"/>
    </row>
    <row r="434" spans="1:17">
      <c r="A434" s="61" t="str">
        <f t="shared" si="48"/>
        <v>LONDRINA [ETAPA 04 - CONDOMINIO ARAGUARI]XLVIII5</v>
      </c>
      <c r="B434" s="114" t="s">
        <v>878</v>
      </c>
      <c r="C434" s="42" t="s">
        <v>619</v>
      </c>
      <c r="D434" s="45">
        <v>5</v>
      </c>
      <c r="E434" s="64">
        <v>256.60000000000002</v>
      </c>
      <c r="F434" s="201">
        <v>7049</v>
      </c>
      <c r="G434" s="41" t="s">
        <v>939</v>
      </c>
      <c r="H434" s="208">
        <v>43538</v>
      </c>
      <c r="I434" s="259" t="str">
        <f t="shared" si="53"/>
        <v>LONDRINA [ETAPA 04 - CONDOMINIO ARAGUARI]3/2019</v>
      </c>
      <c r="J434" s="53" t="str">
        <f t="shared" si="52"/>
        <v>Remanescente3/2019</v>
      </c>
      <c r="K434" s="43">
        <v>125093.26</v>
      </c>
      <c r="L434" s="43" t="s">
        <v>539</v>
      </c>
      <c r="M434" s="190">
        <v>0</v>
      </c>
      <c r="N434" s="494" t="str">
        <f t="shared" si="49"/>
        <v>VENDA</v>
      </c>
      <c r="O434" s="491" t="str">
        <f t="shared" si="50"/>
        <v>LONDRINA [ETAPA 04 - CONDOMINIO ARAGUARI]VENDA</v>
      </c>
      <c r="P434" s="492" t="str">
        <f t="shared" si="51"/>
        <v>VENDARemanescenteLONDRINA [ETAPA 04 - CONDOMINIO ARAGUARI]</v>
      </c>
      <c r="Q434" s="485"/>
    </row>
    <row r="435" spans="1:17">
      <c r="A435" s="61" t="str">
        <f t="shared" si="48"/>
        <v>LONDRINA [ETAPA 04 - CONDOMINIO ARAGUARI]XLVIII6</v>
      </c>
      <c r="B435" s="114" t="s">
        <v>878</v>
      </c>
      <c r="C435" s="42" t="s">
        <v>619</v>
      </c>
      <c r="D435" s="45">
        <v>6</v>
      </c>
      <c r="E435" s="64">
        <v>256.60000000000002</v>
      </c>
      <c r="F435" s="201"/>
      <c r="G435" s="41" t="s">
        <v>88</v>
      </c>
      <c r="H435" s="208">
        <v>43774</v>
      </c>
      <c r="I435" s="259" t="str">
        <f t="shared" si="53"/>
        <v>LONDRINA [ETAPA 04 - CONDOMINIO ARAGUARI]11/2019</v>
      </c>
      <c r="J435" s="53" t="str">
        <f t="shared" si="52"/>
        <v>Remanescente11/2019</v>
      </c>
      <c r="K435" s="43">
        <v>122200</v>
      </c>
      <c r="L435" s="43" t="s">
        <v>539</v>
      </c>
      <c r="M435" s="190">
        <v>0</v>
      </c>
      <c r="N435" s="494" t="str">
        <f t="shared" si="49"/>
        <v>VENDA</v>
      </c>
      <c r="O435" s="491" t="str">
        <f t="shared" si="50"/>
        <v>LONDRINA [ETAPA 04 - CONDOMINIO ARAGUARI]VENDA</v>
      </c>
      <c r="P435" s="492" t="str">
        <f t="shared" si="51"/>
        <v>VENDARemanescenteLONDRINA [ETAPA 04 - CONDOMINIO ARAGUARI]</v>
      </c>
      <c r="Q435" s="485"/>
    </row>
    <row r="436" spans="1:17">
      <c r="A436" s="61" t="str">
        <f t="shared" si="48"/>
        <v>LONDRINA [ETAPA 04 - CONDOMINIO ARAGUARI]XLVIII7</v>
      </c>
      <c r="B436" s="114" t="s">
        <v>878</v>
      </c>
      <c r="C436" s="42" t="s">
        <v>619</v>
      </c>
      <c r="D436" s="45">
        <v>7</v>
      </c>
      <c r="E436" s="64">
        <v>256.60000000000002</v>
      </c>
      <c r="F436" s="201"/>
      <c r="G436" s="41" t="s">
        <v>1120</v>
      </c>
      <c r="H436" s="208">
        <v>43844</v>
      </c>
      <c r="I436" s="259" t="str">
        <f t="shared" si="53"/>
        <v>LONDRINA [ETAPA 04 - CONDOMINIO ARAGUARI]1/2020</v>
      </c>
      <c r="J436" s="53" t="str">
        <f t="shared" si="52"/>
        <v>Remanescente1/2020</v>
      </c>
      <c r="K436" s="43">
        <v>135700</v>
      </c>
      <c r="L436" s="43" t="s">
        <v>539</v>
      </c>
      <c r="M436" s="190">
        <v>0</v>
      </c>
      <c r="N436" s="494" t="str">
        <f t="shared" si="49"/>
        <v>VENDA</v>
      </c>
      <c r="O436" s="491" t="str">
        <f t="shared" si="50"/>
        <v>LONDRINA [ETAPA 04 - CONDOMINIO ARAGUARI]VENDA</v>
      </c>
      <c r="P436" s="492" t="str">
        <f t="shared" si="51"/>
        <v>VENDARemanescenteLONDRINA [ETAPA 04 - CONDOMINIO ARAGUARI]</v>
      </c>
      <c r="Q436" s="485"/>
    </row>
    <row r="437" spans="1:17">
      <c r="A437" s="61" t="str">
        <f t="shared" si="48"/>
        <v>LONDRINA [ETAPA 04 - CONDOMINIO ARAGUARI]XLVIII8</v>
      </c>
      <c r="B437" s="114" t="s">
        <v>878</v>
      </c>
      <c r="C437" s="42" t="s">
        <v>619</v>
      </c>
      <c r="D437" s="45">
        <v>8</v>
      </c>
      <c r="E437" s="64">
        <v>256.60000000000002</v>
      </c>
      <c r="F437" s="64"/>
      <c r="G437" s="41" t="s">
        <v>902</v>
      </c>
      <c r="H437" s="208">
        <v>43487</v>
      </c>
      <c r="I437" s="259" t="str">
        <f t="shared" si="53"/>
        <v>LONDRINA [ETAPA 04 - CONDOMINIO ARAGUARI]1/2019</v>
      </c>
      <c r="J437" s="53" t="str">
        <f t="shared" si="52"/>
        <v>Remanescente1/2019</v>
      </c>
      <c r="K437" s="43">
        <v>127838.12</v>
      </c>
      <c r="L437" s="43" t="s">
        <v>539</v>
      </c>
      <c r="M437" s="43">
        <v>0</v>
      </c>
      <c r="N437" s="494" t="str">
        <f t="shared" si="49"/>
        <v>VENDA</v>
      </c>
      <c r="O437" s="491" t="str">
        <f t="shared" si="50"/>
        <v>LONDRINA [ETAPA 04 - CONDOMINIO ARAGUARI]VENDA</v>
      </c>
      <c r="P437" s="492" t="str">
        <f t="shared" si="51"/>
        <v>VENDARemanescenteLONDRINA [ETAPA 04 - CONDOMINIO ARAGUARI]</v>
      </c>
      <c r="Q437" s="485"/>
    </row>
    <row r="438" spans="1:17">
      <c r="A438" s="61" t="str">
        <f t="shared" si="48"/>
        <v>LONDRINA [ETAPA 04 - CONDOMINIO ARAGUARI]XLVIII9</v>
      </c>
      <c r="B438" s="114" t="s">
        <v>878</v>
      </c>
      <c r="C438" s="42" t="s">
        <v>619</v>
      </c>
      <c r="D438" s="45">
        <v>9</v>
      </c>
      <c r="E438" s="64">
        <v>256.60000000000002</v>
      </c>
      <c r="F438" s="201"/>
      <c r="G438" s="41" t="s">
        <v>1051</v>
      </c>
      <c r="H438" s="208">
        <v>43678</v>
      </c>
      <c r="I438" s="259" t="str">
        <f t="shared" si="53"/>
        <v>LONDRINA [ETAPA 04 - CONDOMINIO ARAGUARI]8/2019</v>
      </c>
      <c r="J438" s="53" t="str">
        <f t="shared" si="52"/>
        <v>Remanescente8/2019</v>
      </c>
      <c r="K438" s="43">
        <v>122199.6</v>
      </c>
      <c r="L438" s="43" t="s">
        <v>539</v>
      </c>
      <c r="M438" s="190">
        <v>0</v>
      </c>
      <c r="N438" s="494" t="str">
        <f t="shared" si="49"/>
        <v>VENDA</v>
      </c>
      <c r="O438" s="491" t="str">
        <f t="shared" si="50"/>
        <v>LONDRINA [ETAPA 04 - CONDOMINIO ARAGUARI]VENDA</v>
      </c>
      <c r="P438" s="492" t="str">
        <f t="shared" si="51"/>
        <v>VENDARemanescenteLONDRINA [ETAPA 04 - CONDOMINIO ARAGUARI]</v>
      </c>
      <c r="Q438" s="485"/>
    </row>
    <row r="439" spans="1:17">
      <c r="A439" s="61" t="str">
        <f t="shared" si="48"/>
        <v>LONDRINA [ETAPA 04 - CONDOMINIO ARAGUARI]XLVIII10</v>
      </c>
      <c r="B439" s="114" t="s">
        <v>878</v>
      </c>
      <c r="C439" s="42" t="s">
        <v>619</v>
      </c>
      <c r="D439" s="45">
        <v>10</v>
      </c>
      <c r="E439" s="64">
        <v>256.60000000000002</v>
      </c>
      <c r="F439" s="243">
        <v>4947</v>
      </c>
      <c r="G439" s="41" t="s">
        <v>1391</v>
      </c>
      <c r="H439" s="208">
        <v>44172</v>
      </c>
      <c r="I439" s="259" t="str">
        <f t="shared" si="53"/>
        <v>LONDRINA [ETAPA 04 - CONDOMINIO ARAGUARI]12/2020</v>
      </c>
      <c r="J439" s="53" t="str">
        <f t="shared" si="52"/>
        <v>Remanescente12/2020</v>
      </c>
      <c r="K439" s="43">
        <v>129532</v>
      </c>
      <c r="L439" s="43" t="s">
        <v>539</v>
      </c>
      <c r="M439" s="190">
        <v>0</v>
      </c>
      <c r="N439" s="494" t="str">
        <f t="shared" si="49"/>
        <v>VENDA</v>
      </c>
      <c r="O439" s="491" t="str">
        <f t="shared" si="50"/>
        <v>LONDRINA [ETAPA 04 - CONDOMINIO ARAGUARI]VENDA</v>
      </c>
      <c r="P439" s="492" t="str">
        <f t="shared" si="51"/>
        <v>VENDARemanescenteLONDRINA [ETAPA 04 - CONDOMINIO ARAGUARI]</v>
      </c>
      <c r="Q439" s="485"/>
    </row>
    <row r="440" spans="1:17">
      <c r="A440" s="61" t="str">
        <f t="shared" si="48"/>
        <v>LONDRINA [ETAPA 04 - CONDOMINIO ARAGUARI]XLVIII11</v>
      </c>
      <c r="B440" s="114" t="s">
        <v>878</v>
      </c>
      <c r="C440" s="42" t="s">
        <v>619</v>
      </c>
      <c r="D440" s="45">
        <v>11</v>
      </c>
      <c r="E440" s="64">
        <v>256.60000000000002</v>
      </c>
      <c r="F440" s="201"/>
      <c r="G440" s="41" t="s">
        <v>1121</v>
      </c>
      <c r="H440" s="208">
        <v>43839</v>
      </c>
      <c r="I440" s="259" t="str">
        <f t="shared" si="53"/>
        <v>LONDRINA [ETAPA 04 - CONDOMINIO ARAGUARI]1/2020</v>
      </c>
      <c r="J440" s="53" t="str">
        <f t="shared" si="52"/>
        <v>Remanescente1/2020</v>
      </c>
      <c r="K440" s="43">
        <v>122200.2</v>
      </c>
      <c r="L440" s="43" t="s">
        <v>539</v>
      </c>
      <c r="M440" s="190">
        <v>0</v>
      </c>
      <c r="N440" s="494" t="str">
        <f t="shared" si="49"/>
        <v>VENDA</v>
      </c>
      <c r="O440" s="491" t="str">
        <f t="shared" si="50"/>
        <v>LONDRINA [ETAPA 04 - CONDOMINIO ARAGUARI]VENDA</v>
      </c>
      <c r="P440" s="492" t="str">
        <f t="shared" si="51"/>
        <v>VENDARemanescenteLONDRINA [ETAPA 04 - CONDOMINIO ARAGUARI]</v>
      </c>
      <c r="Q440" s="485"/>
    </row>
    <row r="441" spans="1:17">
      <c r="A441" s="61" t="str">
        <f t="shared" si="48"/>
        <v>LONDRINA [ETAPA 04 - CONDOMINIO ARAGUARI]XLVIII12</v>
      </c>
      <c r="B441" s="114" t="s">
        <v>878</v>
      </c>
      <c r="C441" s="42" t="s">
        <v>619</v>
      </c>
      <c r="D441" s="45">
        <v>12</v>
      </c>
      <c r="E441" s="64">
        <v>256.60000000000002</v>
      </c>
      <c r="F441" s="243">
        <v>4951</v>
      </c>
      <c r="G441" s="41" t="s">
        <v>1392</v>
      </c>
      <c r="H441" s="208">
        <v>44179</v>
      </c>
      <c r="I441" s="259" t="str">
        <f t="shared" si="53"/>
        <v>LONDRINA [ETAPA 04 - CONDOMINIO ARAGUARI]12/2020</v>
      </c>
      <c r="J441" s="53" t="str">
        <f t="shared" si="52"/>
        <v>Remanescente12/2020</v>
      </c>
      <c r="K441" s="43">
        <v>130567.98</v>
      </c>
      <c r="L441" s="43" t="s">
        <v>539</v>
      </c>
      <c r="M441" s="190">
        <v>0</v>
      </c>
      <c r="N441" s="494" t="str">
        <f t="shared" si="49"/>
        <v>VENDA</v>
      </c>
      <c r="O441" s="491" t="str">
        <f t="shared" si="50"/>
        <v>LONDRINA [ETAPA 04 - CONDOMINIO ARAGUARI]VENDA</v>
      </c>
      <c r="P441" s="492" t="str">
        <f t="shared" si="51"/>
        <v>VENDARemanescenteLONDRINA [ETAPA 04 - CONDOMINIO ARAGUARI]</v>
      </c>
      <c r="Q441" s="485"/>
    </row>
    <row r="442" spans="1:17">
      <c r="A442" s="61" t="str">
        <f t="shared" si="48"/>
        <v>LONDRINA [ETAPA 04 - CONDOMINIO ARAGUARI]XLVIII13</v>
      </c>
      <c r="B442" s="114" t="s">
        <v>878</v>
      </c>
      <c r="C442" s="42" t="s">
        <v>619</v>
      </c>
      <c r="D442" s="45">
        <v>13</v>
      </c>
      <c r="E442" s="64">
        <v>256.60000000000002</v>
      </c>
      <c r="F442" s="64"/>
      <c r="G442" s="41" t="s">
        <v>873</v>
      </c>
      <c r="H442" s="208">
        <v>43439</v>
      </c>
      <c r="I442" s="259" t="str">
        <f t="shared" si="53"/>
        <v>LONDRINA [ETAPA 04 - CONDOMINIO ARAGUARI]12/2018</v>
      </c>
      <c r="J442" s="53" t="str">
        <f t="shared" si="52"/>
        <v>Remanescente12/2018</v>
      </c>
      <c r="K442" s="43">
        <v>122668.19</v>
      </c>
      <c r="L442" s="43" t="s">
        <v>539</v>
      </c>
      <c r="M442" s="43">
        <v>0</v>
      </c>
      <c r="N442" s="494" t="str">
        <f t="shared" si="49"/>
        <v>VENDA</v>
      </c>
      <c r="O442" s="491" t="str">
        <f t="shared" si="50"/>
        <v>LONDRINA [ETAPA 04 - CONDOMINIO ARAGUARI]VENDA</v>
      </c>
      <c r="P442" s="492" t="str">
        <f t="shared" si="51"/>
        <v>VENDARemanescenteLONDRINA [ETAPA 04 - CONDOMINIO ARAGUARI]</v>
      </c>
      <c r="Q442" s="485"/>
    </row>
    <row r="443" spans="1:17">
      <c r="A443" s="61" t="str">
        <f t="shared" si="48"/>
        <v>LONDRINA [ETAPA 04 - CONDOMINIO ARAGUARI]XLVIII14</v>
      </c>
      <c r="B443" s="114" t="s">
        <v>878</v>
      </c>
      <c r="C443" s="42" t="s">
        <v>619</v>
      </c>
      <c r="D443" s="45">
        <v>14</v>
      </c>
      <c r="E443" s="64">
        <v>256.60000000000002</v>
      </c>
      <c r="F443" s="64"/>
      <c r="G443" s="41" t="s">
        <v>872</v>
      </c>
      <c r="H443" s="208">
        <v>43439</v>
      </c>
      <c r="I443" s="259" t="str">
        <f t="shared" si="53"/>
        <v>LONDRINA [ETAPA 04 - CONDOMINIO ARAGUARI]12/2018</v>
      </c>
      <c r="J443" s="53" t="str">
        <f t="shared" si="52"/>
        <v>Remanescente12/2018</v>
      </c>
      <c r="K443" s="43">
        <v>122668.19</v>
      </c>
      <c r="L443" s="43" t="s">
        <v>539</v>
      </c>
      <c r="M443" s="43">
        <v>0</v>
      </c>
      <c r="N443" s="494" t="str">
        <f t="shared" si="49"/>
        <v>VENDA</v>
      </c>
      <c r="O443" s="491" t="str">
        <f t="shared" si="50"/>
        <v>LONDRINA [ETAPA 04 - CONDOMINIO ARAGUARI]VENDA</v>
      </c>
      <c r="P443" s="492" t="str">
        <f t="shared" si="51"/>
        <v>VENDARemanescenteLONDRINA [ETAPA 04 - CONDOMINIO ARAGUARI]</v>
      </c>
      <c r="Q443" s="485"/>
    </row>
    <row r="444" spans="1:17">
      <c r="A444" s="61" t="str">
        <f t="shared" si="48"/>
        <v>LONDRINA [ETAPA 04 - CONDOMINIO ARAGUARI]XLVIII15</v>
      </c>
      <c r="B444" s="114" t="s">
        <v>878</v>
      </c>
      <c r="C444" s="42" t="s">
        <v>619</v>
      </c>
      <c r="D444" s="45">
        <v>15</v>
      </c>
      <c r="E444" s="64">
        <v>256.60000000000002</v>
      </c>
      <c r="F444" s="243">
        <v>4938</v>
      </c>
      <c r="G444" s="41" t="s">
        <v>1384</v>
      </c>
      <c r="H444" s="208">
        <v>44176</v>
      </c>
      <c r="I444" s="259" t="str">
        <f t="shared" si="53"/>
        <v>LONDRINA [ETAPA 04 - CONDOMINIO ARAGUARI]12/2020</v>
      </c>
      <c r="J444" s="53" t="str">
        <f t="shared" si="52"/>
        <v>Remanescente12/2020</v>
      </c>
      <c r="K444" s="43">
        <v>129532</v>
      </c>
      <c r="L444" s="43" t="s">
        <v>539</v>
      </c>
      <c r="M444" s="190">
        <v>0</v>
      </c>
      <c r="N444" s="494" t="str">
        <f t="shared" si="49"/>
        <v>VENDA</v>
      </c>
      <c r="O444" s="491" t="str">
        <f t="shared" si="50"/>
        <v>LONDRINA [ETAPA 04 - CONDOMINIO ARAGUARI]VENDA</v>
      </c>
      <c r="P444" s="492" t="str">
        <f t="shared" si="51"/>
        <v>VENDARemanescenteLONDRINA [ETAPA 04 - CONDOMINIO ARAGUARI]</v>
      </c>
      <c r="Q444" s="485"/>
    </row>
    <row r="445" spans="1:17">
      <c r="A445" s="61" t="str">
        <f t="shared" si="48"/>
        <v>LONDRINA [ETAPA 04 - CONDOMINIO ARAGUARI]XLVIII16</v>
      </c>
      <c r="B445" s="114" t="s">
        <v>878</v>
      </c>
      <c r="C445" s="42" t="s">
        <v>619</v>
      </c>
      <c r="D445" s="45">
        <v>16</v>
      </c>
      <c r="E445" s="64">
        <v>256.60000000000002</v>
      </c>
      <c r="F445" s="243">
        <v>4868</v>
      </c>
      <c r="G445" s="41" t="s">
        <v>1371</v>
      </c>
      <c r="H445" s="208">
        <v>44147</v>
      </c>
      <c r="I445" s="259" t="str">
        <f t="shared" si="53"/>
        <v>LONDRINA [ETAPA 04 - CONDOMINIO ARAGUARI]11/2020</v>
      </c>
      <c r="J445" s="53" t="str">
        <f t="shared" si="52"/>
        <v>Remanescente11/2020</v>
      </c>
      <c r="K445" s="43">
        <v>129532.6</v>
      </c>
      <c r="L445" s="43" t="s">
        <v>539</v>
      </c>
      <c r="M445" s="190">
        <v>0</v>
      </c>
      <c r="N445" s="494" t="str">
        <f t="shared" si="49"/>
        <v>VENDA</v>
      </c>
      <c r="O445" s="491" t="str">
        <f t="shared" si="50"/>
        <v>LONDRINA [ETAPA 04 - CONDOMINIO ARAGUARI]VENDA</v>
      </c>
      <c r="P445" s="492" t="str">
        <f t="shared" si="51"/>
        <v>VENDARemanescenteLONDRINA [ETAPA 04 - CONDOMINIO ARAGUARI]</v>
      </c>
      <c r="Q445" s="485"/>
    </row>
    <row r="446" spans="1:17">
      <c r="A446" s="61" t="str">
        <f t="shared" si="48"/>
        <v>LONDRINA [ETAPA 04 - CONDOMINIO ARAGUARI]XLVIII17</v>
      </c>
      <c r="B446" s="114" t="s">
        <v>878</v>
      </c>
      <c r="C446" s="42" t="s">
        <v>619</v>
      </c>
      <c r="D446" s="45">
        <v>17</v>
      </c>
      <c r="E446" s="64">
        <v>256.60000000000002</v>
      </c>
      <c r="F446" s="243">
        <v>4950</v>
      </c>
      <c r="G446" s="41" t="s">
        <v>1393</v>
      </c>
      <c r="H446" s="208">
        <v>44174</v>
      </c>
      <c r="I446" s="259" t="str">
        <f t="shared" si="53"/>
        <v>LONDRINA [ETAPA 04 - CONDOMINIO ARAGUARI]12/2020</v>
      </c>
      <c r="J446" s="53" t="str">
        <f t="shared" si="52"/>
        <v>Remanescente12/2020</v>
      </c>
      <c r="K446" s="43">
        <v>129532</v>
      </c>
      <c r="L446" s="43" t="s">
        <v>539</v>
      </c>
      <c r="M446" s="190">
        <v>0</v>
      </c>
      <c r="N446" s="494" t="str">
        <f t="shared" si="49"/>
        <v>VENDA</v>
      </c>
      <c r="O446" s="491" t="str">
        <f t="shared" si="50"/>
        <v>LONDRINA [ETAPA 04 - CONDOMINIO ARAGUARI]VENDA</v>
      </c>
      <c r="P446" s="492" t="str">
        <f t="shared" si="51"/>
        <v>VENDARemanescenteLONDRINA [ETAPA 04 - CONDOMINIO ARAGUARI]</v>
      </c>
      <c r="Q446" s="485"/>
    </row>
    <row r="447" spans="1:17">
      <c r="A447" s="61" t="str">
        <f t="shared" si="48"/>
        <v>LONDRINA [ETAPA 04 - CONDOMINIO ARAGUARI]XLVIII18</v>
      </c>
      <c r="B447" s="114" t="s">
        <v>878</v>
      </c>
      <c r="C447" s="42" t="s">
        <v>619</v>
      </c>
      <c r="D447" s="45">
        <v>18</v>
      </c>
      <c r="E447" s="64">
        <v>256.60000000000002</v>
      </c>
      <c r="F447" s="243">
        <v>4848</v>
      </c>
      <c r="G447" s="41" t="s">
        <v>1356</v>
      </c>
      <c r="H447" s="208">
        <v>44132</v>
      </c>
      <c r="I447" s="259" t="str">
        <f t="shared" si="53"/>
        <v>LONDRINA [ETAPA 04 - CONDOMINIO ARAGUARI]10/2020</v>
      </c>
      <c r="J447" s="53" t="str">
        <f t="shared" si="52"/>
        <v>Remanescente10/2020</v>
      </c>
      <c r="K447" s="43">
        <v>129531.9</v>
      </c>
      <c r="L447" s="43" t="s">
        <v>539</v>
      </c>
      <c r="M447" s="190">
        <v>0</v>
      </c>
      <c r="N447" s="494" t="str">
        <f t="shared" si="49"/>
        <v>VENDA</v>
      </c>
      <c r="O447" s="491" t="str">
        <f t="shared" si="50"/>
        <v>LONDRINA [ETAPA 04 - CONDOMINIO ARAGUARI]VENDA</v>
      </c>
      <c r="P447" s="492" t="str">
        <f t="shared" si="51"/>
        <v>VENDARemanescenteLONDRINA [ETAPA 04 - CONDOMINIO ARAGUARI]</v>
      </c>
      <c r="Q447" s="485"/>
    </row>
    <row r="448" spans="1:17">
      <c r="A448" s="61" t="str">
        <f t="shared" si="48"/>
        <v>LONDRINA [ETAPA 04 - CONDOMINIO ARAGUARI]XLVIII19</v>
      </c>
      <c r="B448" s="114" t="s">
        <v>878</v>
      </c>
      <c r="C448" s="42" t="s">
        <v>619</v>
      </c>
      <c r="D448" s="45">
        <v>19</v>
      </c>
      <c r="E448" s="64">
        <v>330.17</v>
      </c>
      <c r="F448" s="243">
        <v>4974</v>
      </c>
      <c r="G448" s="41" t="s">
        <v>1418</v>
      </c>
      <c r="H448" s="208">
        <v>44210</v>
      </c>
      <c r="I448" s="259" t="str">
        <f t="shared" si="53"/>
        <v>LONDRINA [ETAPA 04 - CONDOMINIO ARAGUARI]1/2021</v>
      </c>
      <c r="J448" s="53" t="str">
        <f t="shared" si="52"/>
        <v>Remanescente1/2021</v>
      </c>
      <c r="K448" s="43">
        <v>188570.43</v>
      </c>
      <c r="L448" s="43" t="s">
        <v>539</v>
      </c>
      <c r="M448" s="190">
        <v>0</v>
      </c>
      <c r="N448" s="494" t="str">
        <f t="shared" si="49"/>
        <v>VENDA</v>
      </c>
      <c r="O448" s="491" t="str">
        <f t="shared" si="50"/>
        <v>LONDRINA [ETAPA 04 - CONDOMINIO ARAGUARI]VENDA</v>
      </c>
      <c r="P448" s="492" t="str">
        <f t="shared" si="51"/>
        <v>VENDARemanescenteLONDRINA [ETAPA 04 - CONDOMINIO ARAGUARI]</v>
      </c>
      <c r="Q448" s="485"/>
    </row>
    <row r="449" spans="1:18">
      <c r="A449" s="61" t="str">
        <f t="shared" si="48"/>
        <v>LONDRINA [ETAPA 04 - CONDOMINIO ARAGUARI]XLVIII20</v>
      </c>
      <c r="B449" s="114" t="s">
        <v>878</v>
      </c>
      <c r="C449" s="42" t="s">
        <v>619</v>
      </c>
      <c r="D449" s="45">
        <v>20</v>
      </c>
      <c r="E449" s="64">
        <v>396.17</v>
      </c>
      <c r="F449" s="201"/>
      <c r="G449" s="41"/>
      <c r="H449" s="208"/>
      <c r="I449" s="259" t="str">
        <f t="shared" si="53"/>
        <v>LONDRINA [ETAPA 04 - CONDOMINIO ARAGUARI]1/1900</v>
      </c>
      <c r="J449" s="53" t="str">
        <f t="shared" si="52"/>
        <v>Remanescente1/1900</v>
      </c>
      <c r="K449" s="43"/>
      <c r="L449" s="43" t="s">
        <v>539</v>
      </c>
      <c r="M449" s="316">
        <v>249790.92946499996</v>
      </c>
      <c r="N449" s="494" t="str">
        <f t="shared" si="49"/>
        <v>VGV</v>
      </c>
      <c r="O449" s="491" t="str">
        <f t="shared" si="50"/>
        <v>LONDRINA [ETAPA 04 - CONDOMINIO ARAGUARI]VGV</v>
      </c>
      <c r="P449" s="492" t="str">
        <f t="shared" si="51"/>
        <v>VGVRemanescenteLONDRINA [ETAPA 04 - CONDOMINIO ARAGUARI]</v>
      </c>
      <c r="Q449" s="485"/>
    </row>
    <row r="450" spans="1:18">
      <c r="A450" s="61" t="str">
        <f t="shared" si="48"/>
        <v>LONDRINA [ETAPA 04 - CONDOMINIO ARAGUARI]XLVIII21</v>
      </c>
      <c r="B450" s="114" t="s">
        <v>878</v>
      </c>
      <c r="C450" s="42" t="s">
        <v>619</v>
      </c>
      <c r="D450" s="45">
        <v>21</v>
      </c>
      <c r="E450" s="64">
        <v>250.07</v>
      </c>
      <c r="F450" s="243">
        <v>4680</v>
      </c>
      <c r="G450" s="41" t="s">
        <v>1254</v>
      </c>
      <c r="H450" s="208">
        <v>44050</v>
      </c>
      <c r="I450" s="259" t="str">
        <f t="shared" si="53"/>
        <v>LONDRINA [ETAPA 04 - CONDOMINIO ARAGUARI]8/2020</v>
      </c>
      <c r="J450" s="53" t="str">
        <f t="shared" si="52"/>
        <v>Remanescente8/2020</v>
      </c>
      <c r="K450" s="43">
        <v>126507.02</v>
      </c>
      <c r="L450" s="43" t="s">
        <v>539</v>
      </c>
      <c r="M450" s="190">
        <v>0</v>
      </c>
      <c r="N450" s="494" t="str">
        <f t="shared" si="49"/>
        <v>VENDA</v>
      </c>
      <c r="O450" s="491" t="str">
        <f t="shared" si="50"/>
        <v>LONDRINA [ETAPA 04 - CONDOMINIO ARAGUARI]VENDA</v>
      </c>
      <c r="P450" s="492" t="str">
        <f t="shared" si="51"/>
        <v>VENDARemanescenteLONDRINA [ETAPA 04 - CONDOMINIO ARAGUARI]</v>
      </c>
      <c r="Q450" s="485"/>
    </row>
    <row r="451" spans="1:18">
      <c r="A451" s="61" t="str">
        <f t="shared" si="48"/>
        <v>LONDRINA [ETAPA 04 - CONDOMINIO ARAGUARI]XLVIII22</v>
      </c>
      <c r="B451" s="114" t="s">
        <v>878</v>
      </c>
      <c r="C451" s="42" t="s">
        <v>619</v>
      </c>
      <c r="D451" s="45">
        <v>22</v>
      </c>
      <c r="E451" s="64">
        <v>250.07</v>
      </c>
      <c r="F451" s="243">
        <v>4823</v>
      </c>
      <c r="G451" s="41" t="s">
        <v>1334</v>
      </c>
      <c r="H451" s="208">
        <v>44112</v>
      </c>
      <c r="I451" s="259" t="str">
        <f t="shared" si="53"/>
        <v>LONDRINA [ETAPA 04 - CONDOMINIO ARAGUARI]10/2020</v>
      </c>
      <c r="J451" s="53" t="str">
        <f t="shared" si="52"/>
        <v>Remanescente10/2020</v>
      </c>
      <c r="K451" s="43">
        <v>117500</v>
      </c>
      <c r="L451" s="43" t="s">
        <v>539</v>
      </c>
      <c r="M451" s="190">
        <v>0</v>
      </c>
      <c r="N451" s="494" t="str">
        <f t="shared" si="49"/>
        <v>VENDA</v>
      </c>
      <c r="O451" s="491" t="str">
        <f t="shared" si="50"/>
        <v>LONDRINA [ETAPA 04 - CONDOMINIO ARAGUARI]VENDA</v>
      </c>
      <c r="P451" s="492" t="str">
        <f t="shared" si="51"/>
        <v>VENDARemanescenteLONDRINA [ETAPA 04 - CONDOMINIO ARAGUARI]</v>
      </c>
      <c r="Q451" s="485"/>
    </row>
    <row r="452" spans="1:18">
      <c r="A452" s="61" t="str">
        <f t="shared" si="48"/>
        <v>LONDRINA [ETAPA 04 - CONDOMINIO ARAGUARI]XLVIII23</v>
      </c>
      <c r="B452" s="114" t="s">
        <v>878</v>
      </c>
      <c r="C452" s="42" t="s">
        <v>619</v>
      </c>
      <c r="D452" s="45">
        <v>23</v>
      </c>
      <c r="E452" s="64">
        <v>250.07</v>
      </c>
      <c r="F452" s="243">
        <v>4840</v>
      </c>
      <c r="G452" s="41" t="s">
        <v>1337</v>
      </c>
      <c r="H452" s="208">
        <v>44106</v>
      </c>
      <c r="I452" s="259" t="str">
        <f t="shared" si="53"/>
        <v>LONDRINA [ETAPA 04 - CONDOMINIO ARAGUARI]10/2020</v>
      </c>
      <c r="J452" s="53" t="str">
        <f t="shared" si="52"/>
        <v>Remanescente10/2020</v>
      </c>
      <c r="K452" s="43">
        <v>117500</v>
      </c>
      <c r="L452" s="43" t="s">
        <v>539</v>
      </c>
      <c r="M452" s="190">
        <v>0</v>
      </c>
      <c r="N452" s="494" t="str">
        <f t="shared" si="49"/>
        <v>VENDA</v>
      </c>
      <c r="O452" s="491" t="str">
        <f t="shared" si="50"/>
        <v>LONDRINA [ETAPA 04 - CONDOMINIO ARAGUARI]VENDA</v>
      </c>
      <c r="P452" s="492" t="str">
        <f t="shared" si="51"/>
        <v>VENDARemanescenteLONDRINA [ETAPA 04 - CONDOMINIO ARAGUARI]</v>
      </c>
      <c r="Q452" s="485"/>
    </row>
    <row r="453" spans="1:18">
      <c r="A453" s="61" t="str">
        <f t="shared" ref="A453:A468" si="54">CONCATENATE(B453,C453,D453)</f>
        <v>LONDRINA [ETAPA 04 - CONDOMINIO ARAGUARI]XLVIII24</v>
      </c>
      <c r="B453" s="114" t="s">
        <v>878</v>
      </c>
      <c r="C453" s="42" t="s">
        <v>619</v>
      </c>
      <c r="D453" s="45">
        <v>24</v>
      </c>
      <c r="E453" s="64">
        <v>250.07</v>
      </c>
      <c r="F453" s="243">
        <v>4832</v>
      </c>
      <c r="G453" s="41" t="s">
        <v>1336</v>
      </c>
      <c r="H453" s="208">
        <v>44106</v>
      </c>
      <c r="I453" s="259" t="str">
        <f t="shared" si="53"/>
        <v>LONDRINA [ETAPA 04 - CONDOMINIO ARAGUARI]10/2020</v>
      </c>
      <c r="J453" s="53" t="str">
        <f t="shared" si="52"/>
        <v>Remanescente10/2020</v>
      </c>
      <c r="K453" s="43">
        <v>117500</v>
      </c>
      <c r="L453" s="43" t="s">
        <v>539</v>
      </c>
      <c r="M453" s="190">
        <v>0</v>
      </c>
      <c r="N453" s="494" t="str">
        <f t="shared" ref="N453:N467" si="55">IF(M453&gt;0,"VGV","VENDA")</f>
        <v>VENDA</v>
      </c>
      <c r="O453" s="491" t="str">
        <f t="shared" si="50"/>
        <v>LONDRINA [ETAPA 04 - CONDOMINIO ARAGUARI]VENDA</v>
      </c>
      <c r="P453" s="492" t="str">
        <f t="shared" si="51"/>
        <v>VENDARemanescenteLONDRINA [ETAPA 04 - CONDOMINIO ARAGUARI]</v>
      </c>
      <c r="Q453" s="485"/>
    </row>
    <row r="454" spans="1:18">
      <c r="A454" s="61" t="str">
        <f t="shared" si="54"/>
        <v>LONDRINA [ETAPA 04 - CONDOMINIO ARAGUARI]XLVIII25</v>
      </c>
      <c r="B454" s="114" t="s">
        <v>878</v>
      </c>
      <c r="C454" s="42" t="s">
        <v>619</v>
      </c>
      <c r="D454" s="45">
        <v>25</v>
      </c>
      <c r="E454" s="64">
        <v>250.07</v>
      </c>
      <c r="F454" s="243">
        <v>4833</v>
      </c>
      <c r="G454" s="41" t="s">
        <v>1336</v>
      </c>
      <c r="H454" s="208">
        <v>44110</v>
      </c>
      <c r="I454" s="259" t="str">
        <f t="shared" si="53"/>
        <v>LONDRINA [ETAPA 04 - CONDOMINIO ARAGUARI]10/2020</v>
      </c>
      <c r="J454" s="53" t="str">
        <f t="shared" si="52"/>
        <v>Remanescente10/2020</v>
      </c>
      <c r="K454" s="43">
        <v>117500</v>
      </c>
      <c r="L454" s="43" t="s">
        <v>539</v>
      </c>
      <c r="M454" s="190">
        <v>0</v>
      </c>
      <c r="N454" s="494" t="str">
        <f t="shared" si="55"/>
        <v>VENDA</v>
      </c>
      <c r="O454" s="491" t="str">
        <f t="shared" ref="O454:O467" si="56">CONCATENATE(B454,N454)</f>
        <v>LONDRINA [ETAPA 04 - CONDOMINIO ARAGUARI]VENDA</v>
      </c>
      <c r="P454" s="492" t="str">
        <f t="shared" ref="P454:P467" si="57">CONCATENATE(N454,L454,B454)</f>
        <v>VENDARemanescenteLONDRINA [ETAPA 04 - CONDOMINIO ARAGUARI]</v>
      </c>
      <c r="Q454" s="485"/>
    </row>
    <row r="455" spans="1:18">
      <c r="A455" s="61" t="str">
        <f t="shared" si="54"/>
        <v>LONDRINA [ETAPA 04 - CONDOMINIO ARAGUARI]XLVIII26</v>
      </c>
      <c r="B455" s="114" t="s">
        <v>878</v>
      </c>
      <c r="C455" s="42" t="s">
        <v>619</v>
      </c>
      <c r="D455" s="45">
        <v>26</v>
      </c>
      <c r="E455" s="64">
        <v>250.07</v>
      </c>
      <c r="F455" s="243">
        <v>4835</v>
      </c>
      <c r="G455" s="41" t="s">
        <v>1358</v>
      </c>
      <c r="H455" s="208">
        <v>44112</v>
      </c>
      <c r="I455" s="259" t="str">
        <f t="shared" si="53"/>
        <v>LONDRINA [ETAPA 04 - CONDOMINIO ARAGUARI]10/2020</v>
      </c>
      <c r="J455" s="53" t="str">
        <f t="shared" ref="J455:J467" si="58">CONCATENATE(L455,MONTH(H455),"/",YEAR(H455))</f>
        <v>Remanescente10/2020</v>
      </c>
      <c r="K455" s="43">
        <v>117500</v>
      </c>
      <c r="L455" s="43" t="s">
        <v>539</v>
      </c>
      <c r="M455" s="190">
        <v>0</v>
      </c>
      <c r="N455" s="494" t="str">
        <f t="shared" si="55"/>
        <v>VENDA</v>
      </c>
      <c r="O455" s="491" t="str">
        <f t="shared" si="56"/>
        <v>LONDRINA [ETAPA 04 - CONDOMINIO ARAGUARI]VENDA</v>
      </c>
      <c r="P455" s="492" t="str">
        <f t="shared" si="57"/>
        <v>VENDARemanescenteLONDRINA [ETAPA 04 - CONDOMINIO ARAGUARI]</v>
      </c>
      <c r="Q455" s="485"/>
    </row>
    <row r="456" spans="1:18">
      <c r="A456" s="61" t="str">
        <f t="shared" si="54"/>
        <v>LONDRINA [ETAPA 04 - CONDOMINIO ARAGUARI]XLVIII27</v>
      </c>
      <c r="B456" s="114" t="s">
        <v>878</v>
      </c>
      <c r="C456" s="42" t="s">
        <v>619</v>
      </c>
      <c r="D456" s="45">
        <v>27</v>
      </c>
      <c r="E456" s="64">
        <v>250.07</v>
      </c>
      <c r="F456" s="243">
        <v>4824</v>
      </c>
      <c r="G456" s="41" t="s">
        <v>1358</v>
      </c>
      <c r="H456" s="208">
        <v>44112</v>
      </c>
      <c r="I456" s="259" t="str">
        <f t="shared" ref="I456:I467" si="59">CONCATENATE(B456,MONTH(H456),"/",YEAR(H456))</f>
        <v>LONDRINA [ETAPA 04 - CONDOMINIO ARAGUARI]10/2020</v>
      </c>
      <c r="J456" s="53" t="str">
        <f t="shared" si="58"/>
        <v>Remanescente10/2020</v>
      </c>
      <c r="K456" s="43">
        <v>117500</v>
      </c>
      <c r="L456" s="43" t="s">
        <v>539</v>
      </c>
      <c r="M456" s="190">
        <v>0</v>
      </c>
      <c r="N456" s="494" t="str">
        <f t="shared" si="55"/>
        <v>VENDA</v>
      </c>
      <c r="O456" s="491" t="str">
        <f t="shared" si="56"/>
        <v>LONDRINA [ETAPA 04 - CONDOMINIO ARAGUARI]VENDA</v>
      </c>
      <c r="P456" s="492" t="str">
        <f t="shared" si="57"/>
        <v>VENDARemanescenteLONDRINA [ETAPA 04 - CONDOMINIO ARAGUARI]</v>
      </c>
      <c r="Q456" s="485"/>
    </row>
    <row r="457" spans="1:18">
      <c r="A457" s="61" t="str">
        <f t="shared" si="54"/>
        <v>LONDRINA [ETAPA 04 - CONDOMINIO ARAGUARI]XLVIII28</v>
      </c>
      <c r="B457" s="114" t="s">
        <v>878</v>
      </c>
      <c r="C457" s="42" t="s">
        <v>619</v>
      </c>
      <c r="D457" s="45">
        <v>28</v>
      </c>
      <c r="E457" s="64">
        <v>250.07</v>
      </c>
      <c r="F457" s="243">
        <v>4826</v>
      </c>
      <c r="G457" s="41" t="s">
        <v>1335</v>
      </c>
      <c r="H457" s="208">
        <v>44113</v>
      </c>
      <c r="I457" s="259" t="str">
        <f t="shared" si="59"/>
        <v>LONDRINA [ETAPA 04 - CONDOMINIO ARAGUARI]10/2020</v>
      </c>
      <c r="J457" s="53" t="str">
        <f t="shared" si="58"/>
        <v>Remanescente10/2020</v>
      </c>
      <c r="K457" s="43">
        <v>117500</v>
      </c>
      <c r="L457" s="43" t="s">
        <v>539</v>
      </c>
      <c r="M457" s="190">
        <v>0</v>
      </c>
      <c r="N457" s="494" t="str">
        <f t="shared" si="55"/>
        <v>VENDA</v>
      </c>
      <c r="O457" s="491" t="str">
        <f t="shared" si="56"/>
        <v>LONDRINA [ETAPA 04 - CONDOMINIO ARAGUARI]VENDA</v>
      </c>
      <c r="P457" s="492" t="str">
        <f t="shared" si="57"/>
        <v>VENDARemanescenteLONDRINA [ETAPA 04 - CONDOMINIO ARAGUARI]</v>
      </c>
      <c r="Q457" s="485"/>
    </row>
    <row r="458" spans="1:18">
      <c r="A458" s="61" t="str">
        <f t="shared" si="54"/>
        <v>LONDRINA [ETAPA 04 - CONDOMINIO ARAGUARI]XLVIII29</v>
      </c>
      <c r="B458" s="114" t="s">
        <v>878</v>
      </c>
      <c r="C458" s="42" t="s">
        <v>619</v>
      </c>
      <c r="D458" s="45">
        <v>29</v>
      </c>
      <c r="E458" s="64">
        <v>250.07</v>
      </c>
      <c r="F458" s="243">
        <v>4822</v>
      </c>
      <c r="G458" s="41" t="s">
        <v>1333</v>
      </c>
      <c r="H458" s="208">
        <v>44113</v>
      </c>
      <c r="I458" s="259" t="str">
        <f t="shared" si="59"/>
        <v>LONDRINA [ETAPA 04 - CONDOMINIO ARAGUARI]10/2020</v>
      </c>
      <c r="J458" s="53" t="str">
        <f t="shared" si="58"/>
        <v>Remanescente10/2020</v>
      </c>
      <c r="K458" s="43">
        <v>117500</v>
      </c>
      <c r="L458" s="43" t="s">
        <v>539</v>
      </c>
      <c r="M458" s="190">
        <v>0</v>
      </c>
      <c r="N458" s="494" t="str">
        <f t="shared" si="55"/>
        <v>VENDA</v>
      </c>
      <c r="O458" s="491" t="str">
        <f t="shared" si="56"/>
        <v>LONDRINA [ETAPA 04 - CONDOMINIO ARAGUARI]VENDA</v>
      </c>
      <c r="P458" s="492" t="str">
        <f t="shared" si="57"/>
        <v>VENDARemanescenteLONDRINA [ETAPA 04 - CONDOMINIO ARAGUARI]</v>
      </c>
      <c r="Q458" s="485"/>
    </row>
    <row r="459" spans="1:18">
      <c r="A459" s="61" t="str">
        <f t="shared" si="54"/>
        <v>LONDRINA [ETAPA 04 - CONDOMINIO ARAGUARI]XLVIII30</v>
      </c>
      <c r="B459" s="114" t="s">
        <v>878</v>
      </c>
      <c r="C459" s="42" t="s">
        <v>619</v>
      </c>
      <c r="D459" s="45">
        <v>30</v>
      </c>
      <c r="E459" s="64">
        <v>250.07</v>
      </c>
      <c r="F459" s="243">
        <v>4821</v>
      </c>
      <c r="G459" s="41" t="s">
        <v>1332</v>
      </c>
      <c r="H459" s="208">
        <v>44113</v>
      </c>
      <c r="I459" s="259" t="str">
        <f t="shared" si="59"/>
        <v>LONDRINA [ETAPA 04 - CONDOMINIO ARAGUARI]10/2020</v>
      </c>
      <c r="J459" s="53" t="str">
        <f t="shared" si="58"/>
        <v>Remanescente10/2020</v>
      </c>
      <c r="K459" s="43">
        <v>117500</v>
      </c>
      <c r="L459" s="43" t="s">
        <v>539</v>
      </c>
      <c r="M459" s="190">
        <v>0</v>
      </c>
      <c r="N459" s="494" t="str">
        <f t="shared" si="55"/>
        <v>VENDA</v>
      </c>
      <c r="O459" s="491" t="str">
        <f t="shared" si="56"/>
        <v>LONDRINA [ETAPA 04 - CONDOMINIO ARAGUARI]VENDA</v>
      </c>
      <c r="P459" s="492" t="str">
        <f t="shared" si="57"/>
        <v>VENDARemanescenteLONDRINA [ETAPA 04 - CONDOMINIO ARAGUARI]</v>
      </c>
      <c r="Q459" s="485"/>
    </row>
    <row r="460" spans="1:18">
      <c r="A460" s="61" t="str">
        <f t="shared" si="54"/>
        <v>LONDRINA [ETAPA 04 - CONDOMINIO ARAGUARI]XLVIII31</v>
      </c>
      <c r="B460" s="114" t="s">
        <v>878</v>
      </c>
      <c r="C460" s="42" t="s">
        <v>619</v>
      </c>
      <c r="D460" s="45">
        <v>31</v>
      </c>
      <c r="E460" s="64">
        <v>250.07</v>
      </c>
      <c r="F460" s="243">
        <v>5014</v>
      </c>
      <c r="G460" s="41" t="s">
        <v>1484</v>
      </c>
      <c r="H460" s="208">
        <v>44230</v>
      </c>
      <c r="I460" s="259" t="str">
        <f t="shared" si="59"/>
        <v>LONDRINA [ETAPA 04 - CONDOMINIO ARAGUARI]2/2021</v>
      </c>
      <c r="J460" s="53" t="str">
        <f t="shared" si="58"/>
        <v>Remanescente2/2021</v>
      </c>
      <c r="K460" s="43">
        <v>148211.69</v>
      </c>
      <c r="L460" s="43" t="s">
        <v>539</v>
      </c>
      <c r="M460" s="316">
        <v>0</v>
      </c>
      <c r="N460" s="494" t="str">
        <f t="shared" si="55"/>
        <v>VENDA</v>
      </c>
      <c r="O460" s="491" t="str">
        <f t="shared" si="56"/>
        <v>LONDRINA [ETAPA 04 - CONDOMINIO ARAGUARI]VENDA</v>
      </c>
      <c r="P460" s="492" t="str">
        <f t="shared" si="57"/>
        <v>VENDARemanescenteLONDRINA [ETAPA 04 - CONDOMINIO ARAGUARI]</v>
      </c>
      <c r="Q460" s="485"/>
    </row>
    <row r="461" spans="1:18">
      <c r="A461" s="61" t="str">
        <f t="shared" si="54"/>
        <v>LONDRINA [ETAPA 04 - CONDOMINIO ARAGUARI]XLVIII32</v>
      </c>
      <c r="B461" s="114" t="s">
        <v>878</v>
      </c>
      <c r="C461" s="42" t="s">
        <v>619</v>
      </c>
      <c r="D461" s="45">
        <v>32</v>
      </c>
      <c r="E461" s="64">
        <v>250.07</v>
      </c>
      <c r="F461" s="201">
        <v>5125</v>
      </c>
      <c r="G461" s="41" t="s">
        <v>1489</v>
      </c>
      <c r="H461" s="208">
        <v>44280</v>
      </c>
      <c r="I461" s="259" t="str">
        <f t="shared" si="59"/>
        <v>LONDRINA [ETAPA 04 - CONDOMINIO ARAGUARI]3/2021</v>
      </c>
      <c r="J461" s="53" t="str">
        <f t="shared" si="58"/>
        <v>Remanescente3/2021</v>
      </c>
      <c r="K461" s="43">
        <v>150000</v>
      </c>
      <c r="L461" s="43" t="s">
        <v>539</v>
      </c>
      <c r="M461" s="316">
        <v>0</v>
      </c>
      <c r="N461" s="494" t="str">
        <f t="shared" si="55"/>
        <v>VENDA</v>
      </c>
      <c r="O461" s="491" t="str">
        <f t="shared" si="56"/>
        <v>LONDRINA [ETAPA 04 - CONDOMINIO ARAGUARI]VENDA</v>
      </c>
      <c r="P461" s="492" t="str">
        <f t="shared" si="57"/>
        <v>VENDARemanescenteLONDRINA [ETAPA 04 - CONDOMINIO ARAGUARI]</v>
      </c>
      <c r="Q461" s="485"/>
    </row>
    <row r="462" spans="1:18">
      <c r="A462" s="61" t="str">
        <f t="shared" si="54"/>
        <v>LONDRINA [ETAPA 04 - CONDOMINIO ARAGUARI]XLVIII33</v>
      </c>
      <c r="B462" s="114" t="s">
        <v>878</v>
      </c>
      <c r="C462" s="42" t="s">
        <v>619</v>
      </c>
      <c r="D462" s="45">
        <v>33</v>
      </c>
      <c r="E462" s="64">
        <v>250.07</v>
      </c>
      <c r="F462" s="243">
        <v>4862</v>
      </c>
      <c r="G462" s="41" t="s">
        <v>1372</v>
      </c>
      <c r="H462" s="208">
        <v>44141</v>
      </c>
      <c r="I462" s="259" t="str">
        <f t="shared" si="59"/>
        <v>LONDRINA [ETAPA 04 - CONDOMINIO ARAGUARI]11/2020</v>
      </c>
      <c r="J462" s="53" t="str">
        <f t="shared" si="58"/>
        <v>Remanescente11/2020</v>
      </c>
      <c r="K462" s="43">
        <v>131599.9</v>
      </c>
      <c r="L462" s="43" t="s">
        <v>539</v>
      </c>
      <c r="M462" s="190">
        <v>0</v>
      </c>
      <c r="N462" s="494" t="str">
        <f t="shared" si="55"/>
        <v>VENDA</v>
      </c>
      <c r="O462" s="491" t="str">
        <f t="shared" si="56"/>
        <v>LONDRINA [ETAPA 04 - CONDOMINIO ARAGUARI]VENDA</v>
      </c>
      <c r="P462" s="492" t="str">
        <f t="shared" si="57"/>
        <v>VENDARemanescenteLONDRINA [ETAPA 04 - CONDOMINIO ARAGUARI]</v>
      </c>
      <c r="Q462" s="485"/>
    </row>
    <row r="463" spans="1:18">
      <c r="A463" s="61" t="str">
        <f t="shared" si="54"/>
        <v>LONDRINA [ETAPA 04 - CONDOMINIO ARAGUARI]XLVIII34</v>
      </c>
      <c r="B463" s="114" t="s">
        <v>878</v>
      </c>
      <c r="C463" s="42" t="s">
        <v>619</v>
      </c>
      <c r="D463" s="45">
        <v>34</v>
      </c>
      <c r="E463" s="64">
        <v>250.07</v>
      </c>
      <c r="F463" s="201"/>
      <c r="G463" s="41"/>
      <c r="H463" s="208"/>
      <c r="I463" s="259" t="str">
        <f t="shared" si="59"/>
        <v>LONDRINA [ETAPA 04 - CONDOMINIO ARAGUARI]1/1900</v>
      </c>
      <c r="J463" s="53" t="str">
        <f t="shared" si="58"/>
        <v>Remanescente1/1900</v>
      </c>
      <c r="K463" s="43"/>
      <c r="L463" s="43" t="s">
        <v>539</v>
      </c>
      <c r="M463" s="316">
        <v>157672.761015</v>
      </c>
      <c r="N463" s="494" t="str">
        <f t="shared" si="55"/>
        <v>VGV</v>
      </c>
      <c r="O463" s="491" t="str">
        <f t="shared" si="56"/>
        <v>LONDRINA [ETAPA 04 - CONDOMINIO ARAGUARI]VGV</v>
      </c>
      <c r="P463" s="492" t="str">
        <f t="shared" si="57"/>
        <v>VGVRemanescenteLONDRINA [ETAPA 04 - CONDOMINIO ARAGUARI]</v>
      </c>
      <c r="Q463" s="485"/>
    </row>
    <row r="464" spans="1:18">
      <c r="A464" s="61" t="str">
        <f t="shared" si="54"/>
        <v>LONDRINA [ETAPA 04 - CONDOMINIO ARAGUARI]XLVIII35</v>
      </c>
      <c r="B464" s="114" t="s">
        <v>878</v>
      </c>
      <c r="C464" s="42" t="s">
        <v>619</v>
      </c>
      <c r="D464" s="45">
        <v>35</v>
      </c>
      <c r="E464" s="64">
        <v>253.65</v>
      </c>
      <c r="F464" s="201"/>
      <c r="G464" s="41"/>
      <c r="H464" s="208"/>
      <c r="I464" s="259" t="str">
        <f t="shared" si="59"/>
        <v>LONDRINA [ETAPA 04 - CONDOMINIO ARAGUARI]1/1900</v>
      </c>
      <c r="J464" s="53" t="str">
        <f t="shared" si="58"/>
        <v>Remanescente1/1900</v>
      </c>
      <c r="K464" s="43"/>
      <c r="L464" s="43" t="s">
        <v>539</v>
      </c>
      <c r="M464" s="316">
        <v>159930.00292500001</v>
      </c>
      <c r="N464" s="494" t="str">
        <f t="shared" si="55"/>
        <v>VGV</v>
      </c>
      <c r="O464" s="491" t="str">
        <f t="shared" si="56"/>
        <v>LONDRINA [ETAPA 04 - CONDOMINIO ARAGUARI]VGV</v>
      </c>
      <c r="P464" s="492" t="str">
        <f t="shared" si="57"/>
        <v>VGVRemanescenteLONDRINA [ETAPA 04 - CONDOMINIO ARAGUARI]</v>
      </c>
      <c r="Q464" s="485"/>
      <c r="R464" s="107"/>
    </row>
    <row r="465" spans="1:18">
      <c r="A465" s="61" t="str">
        <f t="shared" si="54"/>
        <v>LONDRINA [ETAPA 04 - CONDOMINIO ARAGUARI]XLVIII36</v>
      </c>
      <c r="B465" s="114" t="s">
        <v>878</v>
      </c>
      <c r="C465" s="42" t="s">
        <v>619</v>
      </c>
      <c r="D465" s="45">
        <v>36</v>
      </c>
      <c r="E465" s="64">
        <v>254.95</v>
      </c>
      <c r="F465" s="201">
        <v>5124</v>
      </c>
      <c r="G465" s="41" t="s">
        <v>1497</v>
      </c>
      <c r="H465" s="208">
        <v>44256</v>
      </c>
      <c r="I465" s="259" t="str">
        <f t="shared" si="59"/>
        <v>LONDRINA [ETAPA 04 - CONDOMINIO ARAGUARI]3/2021</v>
      </c>
      <c r="J465" s="53" t="str">
        <f t="shared" si="58"/>
        <v>Remanescente3/2021</v>
      </c>
      <c r="K465" s="43">
        <v>151104.97</v>
      </c>
      <c r="L465" s="43" t="s">
        <v>539</v>
      </c>
      <c r="M465" s="316">
        <v>0</v>
      </c>
      <c r="N465" s="494" t="str">
        <f t="shared" si="55"/>
        <v>VENDA</v>
      </c>
      <c r="O465" s="491" t="str">
        <f t="shared" si="56"/>
        <v>LONDRINA [ETAPA 04 - CONDOMINIO ARAGUARI]VENDA</v>
      </c>
      <c r="P465" s="492" t="str">
        <f t="shared" si="57"/>
        <v>VENDARemanescenteLONDRINA [ETAPA 04 - CONDOMINIO ARAGUARI]</v>
      </c>
      <c r="Q465" s="485"/>
      <c r="R465" s="107"/>
    </row>
    <row r="466" spans="1:18">
      <c r="A466" s="61" t="str">
        <f t="shared" si="54"/>
        <v>LONDRINA [ETAPA 04 - CONDOMINIO ARAGUARI]XLVIII37</v>
      </c>
      <c r="B466" s="114" t="s">
        <v>878</v>
      </c>
      <c r="C466" s="42" t="s">
        <v>619</v>
      </c>
      <c r="D466" s="45">
        <v>37</v>
      </c>
      <c r="E466" s="64">
        <v>254.95</v>
      </c>
      <c r="F466" s="201"/>
      <c r="G466" s="41"/>
      <c r="H466" s="208"/>
      <c r="I466" s="259" t="str">
        <f t="shared" si="59"/>
        <v>LONDRINA [ETAPA 04 - CONDOMINIO ARAGUARI]1/1900</v>
      </c>
      <c r="J466" s="53" t="str">
        <f t="shared" si="58"/>
        <v>Distrato1/1900</v>
      </c>
      <c r="K466" s="43"/>
      <c r="L466" s="43" t="s">
        <v>570</v>
      </c>
      <c r="M466" s="316">
        <v>160749.671775</v>
      </c>
      <c r="N466" s="494" t="str">
        <f t="shared" si="55"/>
        <v>VGV</v>
      </c>
      <c r="O466" s="491" t="str">
        <f t="shared" si="56"/>
        <v>LONDRINA [ETAPA 04 - CONDOMINIO ARAGUARI]VGV</v>
      </c>
      <c r="P466" s="492" t="str">
        <f t="shared" si="57"/>
        <v>VGVDistratoLONDRINA [ETAPA 04 - CONDOMINIO ARAGUARI]</v>
      </c>
      <c r="Q466" s="485"/>
      <c r="R466" s="107"/>
    </row>
    <row r="467" spans="1:18">
      <c r="A467" s="61" t="str">
        <f t="shared" si="54"/>
        <v>LONDRINA [ETAPA 04 - CONDOMINIO ARAGUARI]XLVIII38</v>
      </c>
      <c r="B467" s="114" t="s">
        <v>878</v>
      </c>
      <c r="C467" s="42" t="s">
        <v>619</v>
      </c>
      <c r="D467" s="45">
        <v>38</v>
      </c>
      <c r="E467" s="64">
        <v>343.51</v>
      </c>
      <c r="F467" s="201"/>
      <c r="G467" s="41"/>
      <c r="H467" s="208"/>
      <c r="I467" s="259" t="str">
        <f t="shared" si="59"/>
        <v>LONDRINA [ETAPA 04 - CONDOMINIO ARAGUARI]1/1900</v>
      </c>
      <c r="J467" s="53" t="str">
        <f t="shared" si="58"/>
        <v>Remanescente1/1900</v>
      </c>
      <c r="K467" s="43"/>
      <c r="L467" s="43" t="s">
        <v>539</v>
      </c>
      <c r="M467" s="316">
        <v>216588.04146000004</v>
      </c>
      <c r="N467" s="494" t="str">
        <f t="shared" si="55"/>
        <v>VGV</v>
      </c>
      <c r="O467" s="491" t="str">
        <f t="shared" si="56"/>
        <v>LONDRINA [ETAPA 04 - CONDOMINIO ARAGUARI]VGV</v>
      </c>
      <c r="P467" s="492" t="str">
        <f t="shared" si="57"/>
        <v>VGVRemanescenteLONDRINA [ETAPA 04 - CONDOMINIO ARAGUARI]</v>
      </c>
      <c r="Q467" s="485"/>
      <c r="R467" s="107"/>
    </row>
    <row r="468" spans="1:18">
      <c r="A468" s="61" t="str">
        <f t="shared" si="54"/>
        <v/>
      </c>
      <c r="B468" s="114"/>
      <c r="C468" s="42"/>
      <c r="D468" s="45"/>
      <c r="E468" s="64"/>
      <c r="F468" s="201"/>
      <c r="G468" s="41"/>
      <c r="H468" s="208"/>
      <c r="I468" s="259"/>
      <c r="J468" s="53"/>
      <c r="K468" s="43"/>
      <c r="L468" s="43"/>
      <c r="M468" s="43"/>
      <c r="N468" s="236"/>
      <c r="O468" s="488"/>
      <c r="P468" s="489"/>
      <c r="Q468" s="485"/>
      <c r="R468" s="107"/>
    </row>
    <row r="469" spans="1:18">
      <c r="N469" s="107"/>
      <c r="O469" s="107"/>
      <c r="P469" s="107"/>
      <c r="R469" s="107"/>
    </row>
    <row r="470" spans="1:18">
      <c r="N470" s="107"/>
      <c r="O470" s="107"/>
      <c r="P470" s="107"/>
      <c r="R470" s="107"/>
    </row>
    <row r="471" spans="1:18">
      <c r="N471" s="107"/>
      <c r="O471" s="107"/>
      <c r="P471" s="107"/>
      <c r="R471" s="107"/>
    </row>
    <row r="472" spans="1:18">
      <c r="N472" s="107"/>
      <c r="O472" s="107"/>
      <c r="P472" s="107"/>
    </row>
    <row r="473" spans="1:18">
      <c r="N473" s="107"/>
      <c r="O473" s="107"/>
      <c r="P473" s="107"/>
    </row>
    <row r="474" spans="1:18">
      <c r="N474" s="107"/>
      <c r="O474" s="107"/>
      <c r="P474" s="107"/>
    </row>
    <row r="475" spans="1:18">
      <c r="H475" s="5"/>
      <c r="I475" s="5"/>
      <c r="J475" s="5"/>
      <c r="K475" s="5"/>
      <c r="L475" s="5"/>
      <c r="M475" s="107"/>
    </row>
    <row r="476" spans="1:18">
      <c r="B476" s="481"/>
      <c r="C476" s="481" t="s">
        <v>890</v>
      </c>
      <c r="D476" s="357" t="s">
        <v>895</v>
      </c>
      <c r="E476" s="357" t="s">
        <v>1094</v>
      </c>
      <c r="F476" s="357" t="s">
        <v>897</v>
      </c>
      <c r="G476" s="484" t="s">
        <v>896</v>
      </c>
      <c r="H476" s="5"/>
      <c r="I476" s="5"/>
      <c r="J476" s="5"/>
      <c r="K476" s="5"/>
      <c r="L476" s="5"/>
      <c r="M476" s="107"/>
    </row>
    <row r="477" spans="1:18">
      <c r="B477" s="481" t="s">
        <v>1472</v>
      </c>
      <c r="C477" s="481">
        <f>M5/E5</f>
        <v>726.7890000000001</v>
      </c>
      <c r="D477" s="357">
        <f>M15/E15</f>
        <v>726.7890000000001</v>
      </c>
      <c r="E477" s="357">
        <f>M34/E34</f>
        <v>726.7890000000001</v>
      </c>
      <c r="F477" s="357">
        <f>M41/E41</f>
        <v>726.7890000000001</v>
      </c>
      <c r="G477" s="484">
        <f>M263/E263</f>
        <v>0</v>
      </c>
    </row>
    <row r="481" spans="7:17">
      <c r="K481" s="5"/>
      <c r="L481" s="5"/>
      <c r="Q481" s="5"/>
    </row>
    <row r="482" spans="7:17">
      <c r="K482" s="5"/>
      <c r="L482" s="5"/>
      <c r="Q482" s="5"/>
    </row>
    <row r="484" spans="7:17">
      <c r="G484" s="382"/>
    </row>
  </sheetData>
  <autoFilter ref="A4:P468" xr:uid="{C23E133F-ED84-4C9D-8827-9770DD633480}"/>
  <sortState xmlns:xlrd2="http://schemas.microsoft.com/office/spreadsheetml/2017/richdata2" ref="B5:M464">
    <sortCondition ref="B5:B464"/>
    <sortCondition ref="C5:C464"/>
    <sortCondition ref="D5:D464"/>
  </sortState>
  <mergeCells count="6">
    <mergeCell ref="Z36:AG36"/>
    <mergeCell ref="S51:V51"/>
    <mergeCell ref="B2:M2"/>
    <mergeCell ref="R37:T37"/>
    <mergeCell ref="S23:V23"/>
    <mergeCell ref="R4:Y4"/>
  </mergeCells>
  <pageMargins left="0.511811024" right="0.511811024" top="0.78740157499999996" bottom="0.78740157499999996" header="0.31496062000000002" footer="0.31496062000000002"/>
  <pageSetup paperSize="9" scale="11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3"/>
  <dimension ref="A2:AV545"/>
  <sheetViews>
    <sheetView showGridLines="0" topLeftCell="D1" zoomScale="55" zoomScaleNormal="55" workbookViewId="0">
      <selection activeCell="T4" sqref="T4"/>
    </sheetView>
  </sheetViews>
  <sheetFormatPr defaultColWidth="8.85546875" defaultRowHeight="15"/>
  <cols>
    <col min="1" max="1" width="56" bestFit="1" customWidth="1"/>
    <col min="2" max="2" width="35.140625" bestFit="1" customWidth="1"/>
    <col min="3" max="3" width="52.140625" bestFit="1" customWidth="1"/>
    <col min="4" max="4" width="29" bestFit="1" customWidth="1"/>
    <col min="5" max="5" width="10.85546875" customWidth="1"/>
    <col min="6" max="6" width="55.28515625" customWidth="1"/>
    <col min="7" max="7" width="59.42578125" customWidth="1"/>
    <col min="8" max="8" width="10.85546875" customWidth="1"/>
    <col min="9" max="9" width="11.42578125" customWidth="1"/>
    <col min="10" max="10" width="15.85546875" customWidth="1"/>
    <col min="11" max="11" width="16.85546875" customWidth="1"/>
    <col min="12" max="12" width="11.85546875" style="161" bestFit="1" customWidth="1"/>
    <col min="13" max="13" width="30" bestFit="1" customWidth="1"/>
    <col min="14" max="14" width="11.85546875" style="161" bestFit="1" customWidth="1"/>
    <col min="15" max="15" width="8.85546875" style="161" bestFit="1" customWidth="1"/>
    <col min="16" max="16" width="8.140625" style="161" bestFit="1" customWidth="1"/>
    <col min="17" max="17" width="10" style="262" bestFit="1" customWidth="1"/>
    <col min="18" max="18" width="10.28515625" bestFit="1" customWidth="1"/>
    <col min="19" max="19" width="17" customWidth="1"/>
    <col min="20" max="20" width="10.140625" bestFit="1" customWidth="1"/>
    <col min="21" max="21" width="12" bestFit="1" customWidth="1"/>
    <col min="22" max="22" width="17" customWidth="1"/>
    <col min="23" max="23" width="13.42578125" customWidth="1"/>
    <col min="24" max="24" width="45.28515625" bestFit="1" customWidth="1"/>
    <col min="25" max="25" width="25.85546875" bestFit="1" customWidth="1"/>
    <col min="26" max="26" width="20" bestFit="1" customWidth="1"/>
    <col min="27" max="27" width="11.42578125" bestFit="1" customWidth="1"/>
    <col min="28" max="29" width="8" bestFit="1" customWidth="1"/>
    <col min="30" max="30" width="2.85546875" customWidth="1"/>
    <col min="31" max="31" width="25.85546875" bestFit="1" customWidth="1"/>
    <col min="32" max="32" width="20" bestFit="1" customWidth="1"/>
    <col min="33" max="33" width="11.42578125" bestFit="1" customWidth="1"/>
    <col min="34" max="35" width="8" bestFit="1" customWidth="1"/>
    <col min="36" max="36" width="2.85546875" customWidth="1"/>
    <col min="37" max="37" width="25.85546875" bestFit="1" customWidth="1"/>
    <col min="38" max="38" width="20" bestFit="1" customWidth="1"/>
    <col min="39" max="39" width="11.42578125" bestFit="1" customWidth="1"/>
    <col min="40" max="41" width="8" bestFit="1" customWidth="1"/>
    <col min="42" max="42" width="2.85546875" customWidth="1"/>
    <col min="43" max="43" width="25.85546875" bestFit="1" customWidth="1"/>
    <col min="44" max="44" width="20" bestFit="1" customWidth="1"/>
    <col min="45" max="45" width="11.42578125" bestFit="1" customWidth="1"/>
    <col min="46" max="47" width="8" bestFit="1" customWidth="1"/>
    <col min="48" max="48" width="2.85546875" customWidth="1"/>
  </cols>
  <sheetData>
    <row r="2" spans="1:48" ht="60">
      <c r="A2" s="1" t="s">
        <v>3</v>
      </c>
      <c r="B2" s="2" t="s">
        <v>22</v>
      </c>
      <c r="C2" s="2" t="s">
        <v>23</v>
      </c>
      <c r="D2" s="2" t="s">
        <v>847</v>
      </c>
      <c r="E2" s="2" t="s">
        <v>624</v>
      </c>
      <c r="F2" s="1" t="s">
        <v>6</v>
      </c>
      <c r="G2" s="1" t="s">
        <v>1507</v>
      </c>
      <c r="H2" s="3" t="s">
        <v>9</v>
      </c>
      <c r="I2" s="4" t="s">
        <v>10</v>
      </c>
      <c r="J2" s="4" t="s">
        <v>32</v>
      </c>
      <c r="K2" s="4" t="s">
        <v>8</v>
      </c>
      <c r="L2" s="4" t="s">
        <v>836</v>
      </c>
      <c r="M2" s="4" t="s">
        <v>840</v>
      </c>
      <c r="N2" s="4" t="s">
        <v>837</v>
      </c>
      <c r="O2" s="465" t="s">
        <v>838</v>
      </c>
      <c r="P2" s="465" t="s">
        <v>839</v>
      </c>
      <c r="Q2" s="465" t="s">
        <v>1043</v>
      </c>
    </row>
    <row r="3" spans="1:48">
      <c r="A3" s="156"/>
      <c r="B3" s="157"/>
      <c r="C3" s="157"/>
      <c r="D3" s="157"/>
      <c r="E3" s="157"/>
      <c r="F3" s="156"/>
      <c r="G3" s="156"/>
      <c r="H3" s="158"/>
      <c r="I3" s="159"/>
      <c r="J3" s="159"/>
      <c r="K3" s="159" t="s">
        <v>841</v>
      </c>
      <c r="L3" s="160">
        <f>AVERAGE(L4:L491)</f>
        <v>0.89987418621175508</v>
      </c>
      <c r="M3" s="159">
        <f>SUM(M4:M538)</f>
        <v>89233968.699999973</v>
      </c>
      <c r="N3" s="160">
        <f>AVERAGE(N4:N477)</f>
        <v>0.60756806754147452</v>
      </c>
      <c r="O3" s="160">
        <f>AVERAGE(O4:O477)</f>
        <v>0.67564175996621867</v>
      </c>
      <c r="P3" s="160" t="e">
        <f>AVERAGE(P4:P477)</f>
        <v>#DIV/0!</v>
      </c>
      <c r="Q3" s="160" t="e">
        <f>AVERAGE(Q4:Q477)</f>
        <v>#DIV/0!</v>
      </c>
      <c r="S3" s="162" t="s">
        <v>838</v>
      </c>
      <c r="Y3" s="162" t="s">
        <v>1026</v>
      </c>
      <c r="AE3" s="162" t="s">
        <v>1032</v>
      </c>
      <c r="AK3" s="162" t="s">
        <v>1031</v>
      </c>
      <c r="AQ3" s="162" t="s">
        <v>1028</v>
      </c>
    </row>
    <row r="4" spans="1:48">
      <c r="A4" s="263" t="s">
        <v>37</v>
      </c>
      <c r="B4" s="440" t="s">
        <v>532</v>
      </c>
      <c r="C4" s="441">
        <v>9</v>
      </c>
      <c r="D4" s="64">
        <v>252.5</v>
      </c>
      <c r="E4" s="441">
        <v>2367</v>
      </c>
      <c r="F4" s="442" t="s">
        <v>585</v>
      </c>
      <c r="G4" s="34" t="str">
        <f>CONCATENATE(B4,C4,F4)</f>
        <v>VII9ROMARIO LOMBARDE</v>
      </c>
      <c r="H4" s="40">
        <v>41446</v>
      </c>
      <c r="I4" s="35">
        <v>79749.600000000006</v>
      </c>
      <c r="J4" s="35" t="s">
        <v>834</v>
      </c>
      <c r="K4" s="35">
        <v>48209.07</v>
      </c>
      <c r="L4" s="170">
        <f>K4/I4</f>
        <v>0.60450547714345892</v>
      </c>
      <c r="M4" s="154">
        <v>176968.99</v>
      </c>
      <c r="N4" s="170">
        <f t="shared" ref="N4:N68" si="0">K4/M4</f>
        <v>0.27241535367297964</v>
      </c>
      <c r="O4" s="170">
        <f>K4/(D4*$U$10)</f>
        <v>0.31886751010461728</v>
      </c>
      <c r="P4" s="170">
        <f>IF(A4=$X$29,K4/(D4*Vendas!$U$25),IF(A4=$X$30,K4/(D4*Vendas!$U$26),IF(A4=$X$31,K4/(D4*Vendas!$U$27),IF(A4=$X$32,K4/(D4*Vendas!$U$28),IF(A4=$X$33,K4/(D4*Vendas!$U$29),IF(A4=$X$34,K4/(D4*Vendas!$U$30),IF(A4=$X$35,K4/(D4*Vendas!$U$31),IF(A4=$X$36,K4/(D4*Vendas!$U$32),0))))))))</f>
        <v>0.29389093927928833</v>
      </c>
      <c r="Q4" s="170">
        <f>IF(A4=$X$29,K4/(D4*Vendas!$U$25),IF(A4=$X$30,K4/(D4*Vendas!$U$26),IF(A4=$X$31,K4/(D4*Vendas!$U$27),IF(A4=$X$32,K4/(D4*Vendas!$U$28),IF(A4=$X$33,K4/(D4*Vendas!$U$29),IF(A4=$X$34,K4/(D4*Vendas!$U$30),IF(A4=$X$35,K4/(D4*Vendas!$U$31),IF(A4=$X$36,K4/(D4*Vendas!$U$32),0))))))))</f>
        <v>0.29389093927928833</v>
      </c>
      <c r="S4" t="s">
        <v>25</v>
      </c>
      <c r="T4" t="s">
        <v>842</v>
      </c>
      <c r="U4" t="s">
        <v>843</v>
      </c>
      <c r="V4" t="s">
        <v>844</v>
      </c>
      <c r="W4" s="169">
        <v>0</v>
      </c>
      <c r="X4" s="169"/>
      <c r="Y4" s="242" t="s">
        <v>849</v>
      </c>
      <c r="Z4" t="s">
        <v>846</v>
      </c>
      <c r="AA4" s="242" t="s">
        <v>25</v>
      </c>
      <c r="AB4" s="255" t="s">
        <v>847</v>
      </c>
      <c r="AC4" s="242" t="s">
        <v>848</v>
      </c>
      <c r="AD4" s="242"/>
      <c r="AE4" s="242" t="s">
        <v>849</v>
      </c>
      <c r="AF4" t="s">
        <v>846</v>
      </c>
      <c r="AG4" s="242" t="s">
        <v>25</v>
      </c>
      <c r="AH4" s="255" t="s">
        <v>847</v>
      </c>
      <c r="AI4" s="242" t="s">
        <v>848</v>
      </c>
      <c r="AJ4" s="242"/>
      <c r="AK4" s="242" t="s">
        <v>849</v>
      </c>
      <c r="AL4" t="s">
        <v>846</v>
      </c>
      <c r="AM4" s="242" t="s">
        <v>25</v>
      </c>
      <c r="AN4" s="255" t="s">
        <v>847</v>
      </c>
      <c r="AO4" s="242" t="s">
        <v>848</v>
      </c>
      <c r="AP4" s="242"/>
      <c r="AQ4" s="242" t="s">
        <v>849</v>
      </c>
      <c r="AR4" t="s">
        <v>846</v>
      </c>
      <c r="AS4" s="242" t="s">
        <v>25</v>
      </c>
      <c r="AT4" s="255" t="s">
        <v>847</v>
      </c>
      <c r="AU4" s="242" t="s">
        <v>848</v>
      </c>
      <c r="AV4" s="242"/>
    </row>
    <row r="5" spans="1:48">
      <c r="A5" s="263" t="s">
        <v>37</v>
      </c>
      <c r="B5" s="337" t="s">
        <v>532</v>
      </c>
      <c r="C5" s="166">
        <v>18</v>
      </c>
      <c r="D5" s="197">
        <v>252.5</v>
      </c>
      <c r="E5" s="166">
        <v>2398</v>
      </c>
      <c r="F5" s="338" t="s">
        <v>458</v>
      </c>
      <c r="G5" s="34" t="str">
        <f t="shared" ref="G5:G68" si="1">CONCATENATE(B5,C5,F5)</f>
        <v>VII18VALDELICE FLORENTINO</v>
      </c>
      <c r="H5" s="40">
        <v>41442</v>
      </c>
      <c r="I5" s="35">
        <v>79749.600000000006</v>
      </c>
      <c r="J5" s="35" t="s">
        <v>1250</v>
      </c>
      <c r="K5" s="35">
        <v>119260.23</v>
      </c>
      <c r="L5" s="170">
        <f t="shared" ref="L5:L68" si="2">K5/I5</f>
        <v>1.4954335821120104</v>
      </c>
      <c r="M5" s="154">
        <v>161113.85</v>
      </c>
      <c r="N5" s="170">
        <f t="shared" si="0"/>
        <v>0.74022332654827616</v>
      </c>
      <c r="O5" s="170">
        <f t="shared" ref="O5:O68" si="3">K5/(D5*$U$10)</f>
        <v>0.78881863090501392</v>
      </c>
      <c r="P5" s="170">
        <f>IF(A5=$X$29,K5/(D5*Vendas!$U$25),IF(A5=$X$30,K5/(D5*Vendas!$U$26),IF(A5=$X$31,K5/(D5*Vendas!$U$27),IF(A5=$X$32,K5/(D5*Vendas!$U$28),IF(A5=$X$33,K5/(D5*Vendas!$U$29),IF(A5=$X$34,K5/(D5*Vendas!$U$30),IF(A5=$X$35,K5/(D5*Vendas!$U$31),IF(A5=$X$36,K5/(D5*Vendas!$U$32),0))))))))</f>
        <v>0.72703126223683545</v>
      </c>
      <c r="Q5" s="170">
        <f>IF(A5=$X$29,K5/(D5*Vendas!$U$25),IF(A5=$X$30,K5/(D5*Vendas!$U$26),IF(A5=$X$31,K5/(D5*Vendas!$U$27),IF(A5=$X$32,K5/(D5*Vendas!$U$28),IF(A5=$X$33,K5/(D5*Vendas!$U$29),IF(A5=$X$34,K5/(D5*Vendas!$U$30),IF(A5=$X$35,K5/(D5*Vendas!$U$31),IF(A5=$X$36,K5/(D5*Vendas!$U$32),0))))))))</f>
        <v>0.72703126223683545</v>
      </c>
      <c r="S5" s="163">
        <v>185000</v>
      </c>
      <c r="T5">
        <v>320.20999999999998</v>
      </c>
      <c r="U5" s="164">
        <f>S5/T5</f>
        <v>577.74585428312673</v>
      </c>
      <c r="V5" t="s">
        <v>852</v>
      </c>
      <c r="W5" s="169">
        <v>0</v>
      </c>
      <c r="X5" s="169"/>
      <c r="Y5" s="40">
        <v>44046</v>
      </c>
      <c r="Z5" s="254" t="s">
        <v>1281</v>
      </c>
      <c r="AA5" s="163">
        <v>149460</v>
      </c>
      <c r="AB5" s="154">
        <v>256.74</v>
      </c>
      <c r="AC5" s="255">
        <f>AA5/AB5</f>
        <v>582.14536106566948</v>
      </c>
      <c r="AE5" s="40">
        <v>43864</v>
      </c>
      <c r="AF5" s="254" t="s">
        <v>1286</v>
      </c>
      <c r="AG5" s="35">
        <v>205488.41</v>
      </c>
      <c r="AH5" s="154">
        <v>334.77</v>
      </c>
      <c r="AI5" s="255">
        <f>AG5/AH5</f>
        <v>613.81966723422056</v>
      </c>
      <c r="AK5" s="40">
        <v>44062</v>
      </c>
      <c r="AL5" s="254" t="s">
        <v>1296</v>
      </c>
      <c r="AM5" s="35">
        <v>122200</v>
      </c>
      <c r="AN5" s="154">
        <v>255.45</v>
      </c>
      <c r="AO5" s="255">
        <f>AM5/AN5</f>
        <v>478.37150127226465</v>
      </c>
      <c r="AQ5" s="40">
        <v>44057</v>
      </c>
      <c r="AR5" s="254" t="s">
        <v>1305</v>
      </c>
      <c r="AS5" s="35">
        <v>137240</v>
      </c>
      <c r="AT5" s="154">
        <v>252.75</v>
      </c>
      <c r="AU5" s="255">
        <f>AS5/AT5</f>
        <v>542.98714144411474</v>
      </c>
    </row>
    <row r="6" spans="1:48">
      <c r="A6" s="263" t="s">
        <v>37</v>
      </c>
      <c r="B6" s="337" t="s">
        <v>532</v>
      </c>
      <c r="C6" s="73">
        <v>19</v>
      </c>
      <c r="D6" s="315">
        <v>252.5</v>
      </c>
      <c r="E6" s="166">
        <v>2399</v>
      </c>
      <c r="F6" s="74" t="s">
        <v>458</v>
      </c>
      <c r="G6" s="34" t="str">
        <f t="shared" si="1"/>
        <v>VII19VALDELICE FLORENTINO</v>
      </c>
      <c r="H6" s="40">
        <v>41442</v>
      </c>
      <c r="I6" s="35">
        <v>79749.600000000006</v>
      </c>
      <c r="J6" s="35" t="s">
        <v>1250</v>
      </c>
      <c r="K6" s="35">
        <v>119260.23</v>
      </c>
      <c r="L6" s="170">
        <f t="shared" si="2"/>
        <v>1.4954335821120104</v>
      </c>
      <c r="M6" s="154">
        <v>161088.44</v>
      </c>
      <c r="N6" s="170">
        <f t="shared" si="0"/>
        <v>0.7403400889598285</v>
      </c>
      <c r="O6" s="170">
        <f t="shared" si="3"/>
        <v>0.78881863090501392</v>
      </c>
      <c r="P6" s="170">
        <f>IF(A6=$X$29,K6/(D6*Vendas!$U$25),IF(A6=$X$30,K6/(D6*Vendas!$U$26),IF(A6=$X$31,K6/(D6*Vendas!$U$27),IF(A6=$X$32,K6/(D6*Vendas!$U$28),IF(A6=$X$33,K6/(D6*Vendas!$U$29),IF(A6=$X$34,K6/(D6*Vendas!$U$30),IF(A6=$X$35,K6/(D6*Vendas!$U$31),IF(A6=$X$36,K6/(D6*Vendas!$U$32),0))))))))</f>
        <v>0.72703126223683545</v>
      </c>
      <c r="Q6" s="170">
        <f>IF(A6=$X$29,K6/(D6*Vendas!$U$25),IF(A6=$X$30,K6/(D6*Vendas!$U$26),IF(A6=$X$31,K6/(D6*Vendas!$U$27),IF(A6=$X$32,K6/(D6*Vendas!$U$28),IF(A6=$X$33,K6/(D6*Vendas!$U$29),IF(A6=$X$34,K6/(D6*Vendas!$U$30),IF(A6=$X$35,K6/(D6*Vendas!$U$31),IF(A6=$X$36,K6/(D6*Vendas!$U$32),0))))))))</f>
        <v>0.72703126223683545</v>
      </c>
      <c r="S6" s="163">
        <v>130000</v>
      </c>
      <c r="T6" s="163">
        <v>251.75</v>
      </c>
      <c r="U6" s="164">
        <f>S6/T6</f>
        <v>516.38530287984111</v>
      </c>
      <c r="V6" t="s">
        <v>853</v>
      </c>
      <c r="W6" s="169">
        <v>0</v>
      </c>
      <c r="X6" s="169"/>
      <c r="Y6" s="40">
        <v>44046</v>
      </c>
      <c r="Z6" s="254" t="s">
        <v>1282</v>
      </c>
      <c r="AA6" s="163">
        <v>155100</v>
      </c>
      <c r="AB6" s="154">
        <v>266.81</v>
      </c>
      <c r="AC6" s="255">
        <f>AA6/AB6</f>
        <v>581.31254450732729</v>
      </c>
      <c r="AE6" s="40">
        <v>43864</v>
      </c>
      <c r="AF6" s="254" t="s">
        <v>1287</v>
      </c>
      <c r="AG6" s="35">
        <v>157954.60999999999</v>
      </c>
      <c r="AH6" s="154">
        <v>257.73</v>
      </c>
      <c r="AI6" s="255">
        <f>AG6/AH6</f>
        <v>612.86854460093889</v>
      </c>
      <c r="AK6" s="40">
        <v>44046</v>
      </c>
      <c r="AL6" s="254" t="s">
        <v>1297</v>
      </c>
      <c r="AM6" s="35">
        <v>122200</v>
      </c>
      <c r="AN6" s="154">
        <v>253.77</v>
      </c>
      <c r="AO6" s="255">
        <f>AM6/AN6</f>
        <v>481.53840091421364</v>
      </c>
      <c r="AQ6" s="40">
        <v>44062</v>
      </c>
      <c r="AR6" s="254" t="s">
        <v>1306</v>
      </c>
      <c r="AS6" s="35">
        <v>147303.56</v>
      </c>
      <c r="AT6" s="154">
        <v>253.57</v>
      </c>
      <c r="AU6" s="255">
        <f>AS6/AT6</f>
        <v>580.91872066884889</v>
      </c>
    </row>
    <row r="7" spans="1:48">
      <c r="A7" s="41" t="s">
        <v>37</v>
      </c>
      <c r="B7" s="337" t="s">
        <v>532</v>
      </c>
      <c r="C7" s="45">
        <v>25</v>
      </c>
      <c r="D7" s="64">
        <v>252.75</v>
      </c>
      <c r="E7" s="378">
        <v>4953</v>
      </c>
      <c r="F7" s="41" t="s">
        <v>1394</v>
      </c>
      <c r="G7" s="34" t="str">
        <f t="shared" si="1"/>
        <v>VII25MARCO ANTONIO VOLSE FERNANDES</v>
      </c>
      <c r="H7" s="40">
        <v>44187</v>
      </c>
      <c r="I7" s="35">
        <v>159800.1</v>
      </c>
      <c r="J7" s="35" t="s">
        <v>834</v>
      </c>
      <c r="K7" s="35">
        <v>113719.89</v>
      </c>
      <c r="L7" s="170">
        <f t="shared" si="2"/>
        <v>0.71163841574567221</v>
      </c>
      <c r="M7" s="154">
        <v>162997.06</v>
      </c>
      <c r="N7" s="170">
        <f t="shared" si="0"/>
        <v>0.6976806207424846</v>
      </c>
      <c r="O7" s="170">
        <f t="shared" si="3"/>
        <v>0.75142937071686466</v>
      </c>
      <c r="P7" s="170">
        <f>IF(A7=$X$29,K7/(D7*Vendas!$U$25),IF(A7=$X$30,K7/(D7*Vendas!$U$26),IF(A7=$X$31,K7/(D7*Vendas!$U$27),IF(A7=$X$32,K7/(D7*Vendas!$U$28),IF(A7=$X$33,K7/(D7*Vendas!$U$29),IF(A7=$X$34,K7/(D7*Vendas!$U$30),IF(A7=$X$35,K7/(D7*Vendas!$U$31),IF(A7=$X$36,K7/(D7*Vendas!$U$32),0))))))))</f>
        <v>0.69257066513163734</v>
      </c>
      <c r="Q7" s="170">
        <f>IF(A7=$X$29,K7/(D7*Vendas!$U$25),IF(A7=$X$30,K7/(D7*Vendas!$U$26),IF(A7=$X$31,K7/(D7*Vendas!$U$27),IF(A7=$X$32,K7/(D7*Vendas!$U$28),IF(A7=$X$33,K7/(D7*Vendas!$U$29),IF(A7=$X$34,K7/(D7*Vendas!$U$30),IF(A7=$X$35,K7/(D7*Vendas!$U$31),IF(A7=$X$36,K7/(D7*Vendas!$U$32),0))))))))</f>
        <v>0.69257066513163734</v>
      </c>
      <c r="S7" s="163">
        <v>159000</v>
      </c>
      <c r="T7">
        <v>256</v>
      </c>
      <c r="U7" s="164">
        <f>S7/T7</f>
        <v>621.09375</v>
      </c>
      <c r="V7" t="s">
        <v>854</v>
      </c>
      <c r="W7" s="169">
        <v>0</v>
      </c>
      <c r="X7" s="169"/>
      <c r="Y7" s="40">
        <v>44054</v>
      </c>
      <c r="Z7" s="254" t="s">
        <v>1283</v>
      </c>
      <c r="AA7" s="163">
        <v>155100.6</v>
      </c>
      <c r="AB7" s="154">
        <v>268.58</v>
      </c>
      <c r="AC7" s="255">
        <f>AA7/AB7</f>
        <v>577.48380370839232</v>
      </c>
      <c r="AE7" s="40">
        <v>44020</v>
      </c>
      <c r="AF7" s="254" t="s">
        <v>1288</v>
      </c>
      <c r="AG7" s="35">
        <v>147580</v>
      </c>
      <c r="AH7" s="154">
        <v>253.5</v>
      </c>
      <c r="AI7" s="255">
        <f>AG7/AH7</f>
        <v>582.16962524654832</v>
      </c>
      <c r="AK7" s="40">
        <v>44046</v>
      </c>
      <c r="AL7" s="254" t="s">
        <v>1298</v>
      </c>
      <c r="AM7" s="35">
        <v>143820</v>
      </c>
      <c r="AN7" s="154">
        <v>250.5</v>
      </c>
      <c r="AO7" s="255">
        <f>AM7/AN7</f>
        <v>574.13173652694616</v>
      </c>
      <c r="AQ7" s="40">
        <v>44064</v>
      </c>
      <c r="AR7" s="254" t="s">
        <v>1307</v>
      </c>
      <c r="AS7" s="35">
        <v>145700</v>
      </c>
      <c r="AT7" s="154">
        <v>251.38</v>
      </c>
      <c r="AU7" s="255">
        <f>AS7/AT7</f>
        <v>579.60060466226435</v>
      </c>
    </row>
    <row r="8" spans="1:48">
      <c r="A8" s="263" t="s">
        <v>37</v>
      </c>
      <c r="B8" s="337" t="s">
        <v>503</v>
      </c>
      <c r="C8" s="166">
        <v>1</v>
      </c>
      <c r="D8" s="197">
        <v>400.62</v>
      </c>
      <c r="E8" s="166">
        <v>2633</v>
      </c>
      <c r="F8" s="338" t="s">
        <v>454</v>
      </c>
      <c r="G8" s="34" t="str">
        <f t="shared" si="1"/>
        <v>XI1THIAGO DE MENEZES CALDAS</v>
      </c>
      <c r="H8" s="40">
        <v>41433</v>
      </c>
      <c r="I8" s="35">
        <v>120506.5</v>
      </c>
      <c r="J8" s="35" t="s">
        <v>834</v>
      </c>
      <c r="K8" s="35">
        <v>112050.31</v>
      </c>
      <c r="L8" s="170">
        <f t="shared" si="2"/>
        <v>0.92982793459273982</v>
      </c>
      <c r="M8" s="154">
        <v>282245.19</v>
      </c>
      <c r="N8" s="170">
        <f t="shared" si="0"/>
        <v>0.3969963491671904</v>
      </c>
      <c r="O8" s="170">
        <f t="shared" si="3"/>
        <v>0.46711448547816692</v>
      </c>
      <c r="P8" s="170">
        <f>IF(A8=$X$29,K8/(D8*Vendas!$U$25),IF(A8=$X$30,K8/(D8*Vendas!$U$26),IF(A8=$X$31,K8/(D8*Vendas!$U$27),IF(A8=$X$32,K8/(D8*Vendas!$U$28),IF(A8=$X$33,K8/(D8*Vendas!$U$29),IF(A8=$X$34,K8/(D8*Vendas!$U$30),IF(A8=$X$35,K8/(D8*Vendas!$U$31),IF(A8=$X$36,K8/(D8*Vendas!$U$32),0))))))))</f>
        <v>0.4305258784223564</v>
      </c>
      <c r="Q8" s="170">
        <f>IF(A8=$X$29,K8/(D8*Vendas!$U$25),IF(A8=$X$30,K8/(D8*Vendas!$U$26),IF(A8=$X$31,K8/(D8*Vendas!$U$27),IF(A8=$X$32,K8/(D8*Vendas!$U$28),IF(A8=$X$33,K8/(D8*Vendas!$U$29),IF(A8=$X$34,K8/(D8*Vendas!$U$30),IF(A8=$X$35,K8/(D8*Vendas!$U$31),IF(A8=$X$36,K8/(D8*Vendas!$U$32),0))))))))</f>
        <v>0.4305258784223564</v>
      </c>
      <c r="S8" s="163">
        <v>185000</v>
      </c>
      <c r="T8">
        <v>285</v>
      </c>
      <c r="U8" s="164">
        <f>S8/T8</f>
        <v>649.12280701754389</v>
      </c>
      <c r="V8" t="s">
        <v>855</v>
      </c>
      <c r="W8" s="169">
        <v>0</v>
      </c>
      <c r="X8" s="169"/>
      <c r="Y8" s="40">
        <v>44050</v>
      </c>
      <c r="Z8" s="254" t="s">
        <v>1025</v>
      </c>
      <c r="AA8" s="163">
        <v>164860.60999999999</v>
      </c>
      <c r="AB8" s="154">
        <v>268.58</v>
      </c>
      <c r="AC8" s="255">
        <f>AA8/AB8</f>
        <v>613.82310670936033</v>
      </c>
      <c r="AE8" s="281">
        <v>43678</v>
      </c>
      <c r="AF8" s="254" t="s">
        <v>1085</v>
      </c>
      <c r="AG8" s="163">
        <v>141000</v>
      </c>
      <c r="AH8" s="255">
        <v>250.97</v>
      </c>
      <c r="AI8" s="255">
        <f t="shared" ref="AI8:AI9" si="4">AG8/AH8</f>
        <v>561.82013786508344</v>
      </c>
      <c r="AK8" s="40">
        <v>44046</v>
      </c>
      <c r="AL8" s="254" t="s">
        <v>1299</v>
      </c>
      <c r="AM8" s="35">
        <v>146640</v>
      </c>
      <c r="AN8" s="154">
        <v>255.5</v>
      </c>
      <c r="AO8" s="255">
        <f>AM8/AN8</f>
        <v>573.93346379647744</v>
      </c>
      <c r="AQ8" s="40">
        <v>44057</v>
      </c>
      <c r="AR8" s="254" t="s">
        <v>1308</v>
      </c>
      <c r="AS8" s="35">
        <v>140530.9</v>
      </c>
      <c r="AT8" s="154">
        <v>254.49</v>
      </c>
      <c r="AU8" s="255">
        <f>AS8/AT8</f>
        <v>552.20598058862822</v>
      </c>
    </row>
    <row r="9" spans="1:48">
      <c r="A9" s="263" t="s">
        <v>37</v>
      </c>
      <c r="B9" s="337" t="s">
        <v>503</v>
      </c>
      <c r="C9" s="73">
        <v>2</v>
      </c>
      <c r="D9" s="315">
        <v>267.14</v>
      </c>
      <c r="E9" s="166">
        <v>2634</v>
      </c>
      <c r="F9" s="74" t="s">
        <v>454</v>
      </c>
      <c r="G9" s="34" t="str">
        <f t="shared" si="1"/>
        <v>XI2THIAGO DE MENEZES CALDAS</v>
      </c>
      <c r="H9" s="40">
        <v>41433</v>
      </c>
      <c r="I9" s="35">
        <v>87889.06</v>
      </c>
      <c r="J9" s="35" t="s">
        <v>834</v>
      </c>
      <c r="K9" s="35">
        <v>82439.839999999997</v>
      </c>
      <c r="L9" s="170">
        <f t="shared" si="2"/>
        <v>0.93799888177208857</v>
      </c>
      <c r="M9" s="154">
        <v>206595.05000000002</v>
      </c>
      <c r="N9" s="170">
        <f t="shared" si="0"/>
        <v>0.3990407320988571</v>
      </c>
      <c r="O9" s="170">
        <f t="shared" si="3"/>
        <v>0.51539608824303862</v>
      </c>
      <c r="P9" s="170">
        <f>IF(A9=$X$29,K9/(D9*Vendas!$U$25),IF(A9=$X$30,K9/(D9*Vendas!$U$26),IF(A9=$X$31,K9/(D9*Vendas!$U$27),IF(A9=$X$32,K9/(D9*Vendas!$U$28),IF(A9=$X$33,K9/(D9*Vendas!$U$29),IF(A9=$X$34,K9/(D9*Vendas!$U$30),IF(A9=$X$35,K9/(D9*Vendas!$U$31),IF(A9=$X$36,K9/(D9*Vendas!$U$32),0))))))))</f>
        <v>0.47502563188366759</v>
      </c>
      <c r="Q9" s="170">
        <f>IF(A9=$X$29,K9/(D9*Vendas!$U$25),IF(A9=$X$30,K9/(D9*Vendas!$U$26),IF(A9=$X$31,K9/(D9*Vendas!$U$27),IF(A9=$X$32,K9/(D9*Vendas!$U$28),IF(A9=$X$33,K9/(D9*Vendas!$U$29),IF(A9=$X$34,K9/(D9*Vendas!$U$30),IF(A9=$X$35,K9/(D9*Vendas!$U$31),IF(A9=$X$36,K9/(D9*Vendas!$U$32),0))))))))</f>
        <v>0.47502563188366759</v>
      </c>
      <c r="S9" s="163">
        <v>158000</v>
      </c>
      <c r="T9">
        <v>251</v>
      </c>
      <c r="U9" s="164">
        <f>S9/T9</f>
        <v>629.48207171314743</v>
      </c>
      <c r="V9" t="s">
        <v>856</v>
      </c>
      <c r="W9" s="169">
        <v>0</v>
      </c>
      <c r="X9" s="169"/>
      <c r="Y9" s="40">
        <v>44046</v>
      </c>
      <c r="Z9" s="254" t="s">
        <v>1284</v>
      </c>
      <c r="AA9" s="163">
        <v>158132.89000000001</v>
      </c>
      <c r="AB9" s="154">
        <v>257.62</v>
      </c>
      <c r="AC9" s="255">
        <f>AA9/AB9</f>
        <v>613.82225758869663</v>
      </c>
      <c r="AE9" s="281">
        <v>43678</v>
      </c>
      <c r="AF9" s="254" t="s">
        <v>1086</v>
      </c>
      <c r="AG9" s="163">
        <v>150400</v>
      </c>
      <c r="AH9" s="255">
        <v>257.33</v>
      </c>
      <c r="AI9" s="255">
        <f t="shared" si="4"/>
        <v>584.46352932032801</v>
      </c>
      <c r="AK9" s="40">
        <v>44064</v>
      </c>
      <c r="AL9" s="254" t="s">
        <v>1300</v>
      </c>
      <c r="AM9" s="35">
        <v>223393.96</v>
      </c>
      <c r="AN9" s="154">
        <v>365.62</v>
      </c>
      <c r="AO9" s="255">
        <f>AM9/AN9</f>
        <v>611.00038291121928</v>
      </c>
      <c r="AQ9" s="40">
        <v>44050</v>
      </c>
      <c r="AR9" s="254" t="s">
        <v>1309</v>
      </c>
      <c r="AS9" s="35">
        <v>126507.02</v>
      </c>
      <c r="AT9" s="154">
        <v>250.07</v>
      </c>
      <c r="AU9" s="255">
        <f>AS9/AT9</f>
        <v>505.88643179909627</v>
      </c>
    </row>
    <row r="10" spans="1:48">
      <c r="A10" s="263" t="s">
        <v>37</v>
      </c>
      <c r="B10" s="337" t="s">
        <v>503</v>
      </c>
      <c r="C10" s="166">
        <v>3</v>
      </c>
      <c r="D10" s="197">
        <v>262.63</v>
      </c>
      <c r="E10" s="166">
        <v>2638</v>
      </c>
      <c r="F10" s="338" t="s">
        <v>454</v>
      </c>
      <c r="G10" s="34" t="str">
        <f t="shared" si="1"/>
        <v>XI3THIAGO DE MENEZES CALDAS</v>
      </c>
      <c r="H10" s="40">
        <v>41433</v>
      </c>
      <c r="I10" s="35">
        <v>86405.27</v>
      </c>
      <c r="J10" s="35" t="s">
        <v>834</v>
      </c>
      <c r="K10" s="35">
        <v>78259.759999999995</v>
      </c>
      <c r="L10" s="170">
        <f t="shared" si="2"/>
        <v>0.90572901398259609</v>
      </c>
      <c r="M10" s="154">
        <v>202797.93</v>
      </c>
      <c r="N10" s="170">
        <f t="shared" si="0"/>
        <v>0.3859001913875551</v>
      </c>
      <c r="O10" s="170">
        <f t="shared" si="3"/>
        <v>0.49766497581846592</v>
      </c>
      <c r="P10" s="170">
        <f>IF(A10=$X$29,K10/(D10*Vendas!$U$25),IF(A10=$X$30,K10/(D10*Vendas!$U$26),IF(A10=$X$31,K10/(D10*Vendas!$U$27),IF(A10=$X$32,K10/(D10*Vendas!$U$28),IF(A10=$X$33,K10/(D10*Vendas!$U$29),IF(A10=$X$34,K10/(D10*Vendas!$U$30),IF(A10=$X$35,K10/(D10*Vendas!$U$31),IF(A10=$X$36,K10/(D10*Vendas!$U$32),0))))))))</f>
        <v>0.45868337963220845</v>
      </c>
      <c r="Q10" s="170">
        <f>IF(A10=$X$29,K10/(D10*Vendas!$U$25),IF(A10=$X$30,K10/(D10*Vendas!$U$26),IF(A10=$X$31,K10/(D10*Vendas!$U$27),IF(A10=$X$32,K10/(D10*Vendas!$U$28),IF(A10=$X$33,K10/(D10*Vendas!$U$29),IF(A10=$X$34,K10/(D10*Vendas!$U$30),IF(A10=$X$35,K10/(D10*Vendas!$U$31),IF(A10=$X$36,K10/(D10*Vendas!$U$32),0))))))))</f>
        <v>0.45868337963220845</v>
      </c>
      <c r="S10" t="s">
        <v>850</v>
      </c>
      <c r="U10">
        <f>AVERAGE(U5:U9)</f>
        <v>598.76595717873181</v>
      </c>
      <c r="Z10" t="s">
        <v>1024</v>
      </c>
      <c r="AB10" s="163"/>
      <c r="AC10" s="256">
        <f>AVERAGE(AC5:AC9)</f>
        <v>593.71741471588916</v>
      </c>
      <c r="AF10" t="s">
        <v>1024</v>
      </c>
      <c r="AH10" s="163"/>
      <c r="AI10" s="256">
        <f>AVERAGE(AI5:AI7)</f>
        <v>602.95261236056933</v>
      </c>
      <c r="AL10" t="s">
        <v>1024</v>
      </c>
      <c r="AN10" s="255"/>
      <c r="AO10" s="256">
        <f>AVERAGE(AO5:AO9)</f>
        <v>543.79509708422427</v>
      </c>
      <c r="AR10" t="s">
        <v>1024</v>
      </c>
      <c r="AT10" s="163"/>
      <c r="AU10" s="256">
        <f>AVERAGE(AU5:AU9)</f>
        <v>552.31977583259049</v>
      </c>
    </row>
    <row r="11" spans="1:48">
      <c r="A11" s="263" t="s">
        <v>37</v>
      </c>
      <c r="B11" s="337" t="s">
        <v>503</v>
      </c>
      <c r="C11" s="73">
        <v>4</v>
      </c>
      <c r="D11" s="315">
        <v>262.63</v>
      </c>
      <c r="E11" s="166">
        <v>2639</v>
      </c>
      <c r="F11" s="74" t="s">
        <v>454</v>
      </c>
      <c r="G11" s="34" t="str">
        <f t="shared" si="1"/>
        <v>XI4THIAGO DE MENEZES CALDAS</v>
      </c>
      <c r="H11" s="40">
        <v>41433</v>
      </c>
      <c r="I11" s="35">
        <v>86405.27</v>
      </c>
      <c r="J11" s="35" t="s">
        <v>834</v>
      </c>
      <c r="K11" s="35">
        <v>79642.740000000005</v>
      </c>
      <c r="L11" s="170">
        <f t="shared" si="2"/>
        <v>0.92173475066972188</v>
      </c>
      <c r="M11" s="154">
        <v>204422.49</v>
      </c>
      <c r="N11" s="170">
        <f t="shared" si="0"/>
        <v>0.38959871783187855</v>
      </c>
      <c r="O11" s="170">
        <f t="shared" si="3"/>
        <v>0.50645954288917283</v>
      </c>
      <c r="P11" s="170">
        <f>IF(A11=$X$29,K11/(D11*Vendas!$U$25),IF(A11=$X$30,K11/(D11*Vendas!$U$26),IF(A11=$X$31,K11/(D11*Vendas!$U$27),IF(A11=$X$32,K11/(D11*Vendas!$U$28),IF(A11=$X$33,K11/(D11*Vendas!$U$29),IF(A11=$X$34,K11/(D11*Vendas!$U$30),IF(A11=$X$35,K11/(D11*Vendas!$U$31),IF(A11=$X$36,K11/(D11*Vendas!$U$32),0))))))))</f>
        <v>0.4667890771243009</v>
      </c>
      <c r="Q11" s="170">
        <f>IF(A11=$X$29,K11/(D11*Vendas!$U$25),IF(A11=$X$30,K11/(D11*Vendas!$U$26),IF(A11=$X$31,K11/(D11*Vendas!$U$27),IF(A11=$X$32,K11/(D11*Vendas!$U$28),IF(A11=$X$33,K11/(D11*Vendas!$U$29),IF(A11=$X$34,K11/(D11*Vendas!$U$30),IF(A11=$X$35,K11/(D11*Vendas!$U$31),IF(A11=$X$36,K11/(D11*Vendas!$U$32),0))))))))</f>
        <v>0.4667890771243009</v>
      </c>
    </row>
    <row r="12" spans="1:48">
      <c r="A12" s="263" t="s">
        <v>37</v>
      </c>
      <c r="B12" s="337" t="s">
        <v>503</v>
      </c>
      <c r="C12" s="166">
        <v>5</v>
      </c>
      <c r="D12" s="197">
        <v>262.08999999999997</v>
      </c>
      <c r="E12" s="166">
        <v>2658</v>
      </c>
      <c r="F12" s="338" t="s">
        <v>340</v>
      </c>
      <c r="G12" s="34" t="str">
        <f t="shared" si="1"/>
        <v>XI5MARCOS ALIPIO VASCONCELOS VIANA</v>
      </c>
      <c r="H12" s="40">
        <v>41447</v>
      </c>
      <c r="I12" s="35">
        <v>86227.69</v>
      </c>
      <c r="J12" s="35" t="s">
        <v>834</v>
      </c>
      <c r="K12" s="35">
        <v>77386.36</v>
      </c>
      <c r="L12" s="170">
        <f t="shared" si="2"/>
        <v>0.89746530377886735</v>
      </c>
      <c r="M12" s="154">
        <v>159678.22</v>
      </c>
      <c r="N12" s="170">
        <f t="shared" si="0"/>
        <v>0.48463942045446146</v>
      </c>
      <c r="O12" s="170">
        <f t="shared" si="3"/>
        <v>0.49312482672794244</v>
      </c>
      <c r="P12" s="170">
        <f>IF(A12=$X$29,K12/(D12*Vendas!$U$25),IF(A12=$X$30,K12/(D12*Vendas!$U$26),IF(A12=$X$31,K12/(D12*Vendas!$U$27),IF(A12=$X$32,K12/(D12*Vendas!$U$28),IF(A12=$X$33,K12/(D12*Vendas!$U$29),IF(A12=$X$34,K12/(D12*Vendas!$U$30),IF(A12=$X$35,K12/(D12*Vendas!$U$31),IF(A12=$X$36,K12/(D12*Vendas!$U$32),0))))))))</f>
        <v>0.45449885584599969</v>
      </c>
      <c r="Q12" s="170">
        <f>IF(A12=$X$29,K12/(D12*Vendas!$U$25),IF(A12=$X$30,K12/(D12*Vendas!$U$26),IF(A12=$X$31,K12/(D12*Vendas!$U$27),IF(A12=$X$32,K12/(D12*Vendas!$U$28),IF(A12=$X$33,K12/(D12*Vendas!$U$29),IF(A12=$X$34,K12/(D12*Vendas!$U$30),IF(A12=$X$35,K12/(D12*Vendas!$U$31),IF(A12=$X$36,K12/(D12*Vendas!$U$32),0))))))))</f>
        <v>0.45449885584599969</v>
      </c>
    </row>
    <row r="13" spans="1:48">
      <c r="A13" s="263" t="s">
        <v>37</v>
      </c>
      <c r="B13" s="337" t="s">
        <v>503</v>
      </c>
      <c r="C13" s="73">
        <v>8</v>
      </c>
      <c r="D13" s="315">
        <v>252.75</v>
      </c>
      <c r="E13" s="166">
        <v>2454</v>
      </c>
      <c r="F13" s="74" t="s">
        <v>358</v>
      </c>
      <c r="G13" s="34" t="str">
        <f t="shared" si="1"/>
        <v>XI8MARIO CESAR VOLPE PAULO</v>
      </c>
      <c r="H13" s="40">
        <v>41446</v>
      </c>
      <c r="I13" s="35">
        <v>83154.75</v>
      </c>
      <c r="J13" s="35" t="s">
        <v>834</v>
      </c>
      <c r="K13" s="35">
        <v>84089.33</v>
      </c>
      <c r="L13" s="170">
        <f t="shared" si="2"/>
        <v>1.0112390452740223</v>
      </c>
      <c r="M13" s="154">
        <v>161309.64000000001</v>
      </c>
      <c r="N13" s="170">
        <f t="shared" si="0"/>
        <v>0.52129141197017115</v>
      </c>
      <c r="O13" s="170">
        <f t="shared" si="3"/>
        <v>0.5556388801106189</v>
      </c>
      <c r="P13" s="170">
        <f>IF(A13=$X$29,K13/(D13*Vendas!$U$25),IF(A13=$X$30,K13/(D13*Vendas!$U$26),IF(A13=$X$31,K13/(D13*Vendas!$U$27),IF(A13=$X$32,K13/(D13*Vendas!$U$28),IF(A13=$X$33,K13/(D13*Vendas!$U$29),IF(A13=$X$34,K13/(D13*Vendas!$U$30),IF(A13=$X$35,K13/(D13*Vendas!$U$31),IF(A13=$X$36,K13/(D13*Vendas!$U$32),0))))))))</f>
        <v>0.51211624640662023</v>
      </c>
      <c r="Q13" s="170">
        <f>IF(A13=$X$29,K13/(D13*Vendas!$U$25),IF(A13=$X$30,K13/(D13*Vendas!$U$26),IF(A13=$X$31,K13/(D13*Vendas!$U$27),IF(A13=$X$32,K13/(D13*Vendas!$U$28),IF(A13=$X$33,K13/(D13*Vendas!$U$29),IF(A13=$X$34,K13/(D13*Vendas!$U$30),IF(A13=$X$35,K13/(D13*Vendas!$U$31),IF(A13=$X$36,K13/(D13*Vendas!$U$32),0))))))))</f>
        <v>0.51211624640662023</v>
      </c>
      <c r="S13" s="162" t="s">
        <v>845</v>
      </c>
      <c r="Y13" s="162" t="s">
        <v>1027</v>
      </c>
      <c r="AE13" s="162" t="s">
        <v>1033</v>
      </c>
      <c r="AK13" s="162" t="s">
        <v>1030</v>
      </c>
      <c r="AQ13" s="162" t="s">
        <v>1029</v>
      </c>
    </row>
    <row r="14" spans="1:48">
      <c r="A14" s="263" t="s">
        <v>37</v>
      </c>
      <c r="B14" s="337" t="s">
        <v>503</v>
      </c>
      <c r="C14" s="166">
        <v>9</v>
      </c>
      <c r="D14" s="197">
        <v>252.75</v>
      </c>
      <c r="E14" s="166">
        <v>2455</v>
      </c>
      <c r="F14" s="338" t="s">
        <v>358</v>
      </c>
      <c r="G14" s="34" t="str">
        <f t="shared" si="1"/>
        <v>XI9MARIO CESAR VOLPE PAULO</v>
      </c>
      <c r="H14" s="40">
        <v>41446</v>
      </c>
      <c r="I14" s="35">
        <v>83154.75</v>
      </c>
      <c r="J14" s="35" t="s">
        <v>834</v>
      </c>
      <c r="K14" s="35">
        <v>41486.51</v>
      </c>
      <c r="L14" s="170">
        <f t="shared" si="2"/>
        <v>0.49890727829739134</v>
      </c>
      <c r="M14" s="154">
        <v>139541.29</v>
      </c>
      <c r="N14" s="170">
        <f t="shared" si="0"/>
        <v>0.29730633850382204</v>
      </c>
      <c r="O14" s="170">
        <f t="shared" si="3"/>
        <v>0.27413130721933443</v>
      </c>
      <c r="P14" s="170">
        <f>IF(A14=$X$29,K14/(D14*Vendas!$U$25),IF(A14=$X$30,K14/(D14*Vendas!$U$26),IF(A14=$X$31,K14/(D14*Vendas!$U$27),IF(A14=$X$32,K14/(D14*Vendas!$U$28),IF(A14=$X$33,K14/(D14*Vendas!$U$29),IF(A14=$X$34,K14/(D14*Vendas!$U$30),IF(A14=$X$35,K14/(D14*Vendas!$U$31),IF(A14=$X$36,K14/(D14*Vendas!$U$32),0))))))))</f>
        <v>0.25265887809678961</v>
      </c>
      <c r="Q14" s="170">
        <f>IF(A14=$X$29,K14/(D14*Vendas!$U$25),IF(A14=$X$30,K14/(D14*Vendas!$U$26),IF(A14=$X$31,K14/(D14*Vendas!$U$27),IF(A14=$X$32,K14/(D14*Vendas!$U$28),IF(A14=$X$33,K14/(D14*Vendas!$U$29),IF(A14=$X$34,K14/(D14*Vendas!$U$30),IF(A14=$X$35,K14/(D14*Vendas!$U$31),IF(A14=$X$36,K14/(D14*Vendas!$U$32),0))))))))</f>
        <v>0.25265887809678961</v>
      </c>
      <c r="S14" t="s">
        <v>25</v>
      </c>
      <c r="T14" s="163" t="s">
        <v>847</v>
      </c>
      <c r="U14" t="s">
        <v>848</v>
      </c>
      <c r="V14" s="161" t="s">
        <v>846</v>
      </c>
      <c r="W14" t="s">
        <v>849</v>
      </c>
      <c r="Y14" s="242" t="s">
        <v>849</v>
      </c>
      <c r="Z14" t="s">
        <v>846</v>
      </c>
      <c r="AA14" s="242" t="s">
        <v>25</v>
      </c>
      <c r="AB14" s="255" t="s">
        <v>847</v>
      </c>
      <c r="AC14" s="242" t="s">
        <v>848</v>
      </c>
      <c r="AE14" s="242" t="s">
        <v>849</v>
      </c>
      <c r="AF14" t="s">
        <v>846</v>
      </c>
      <c r="AG14" s="242" t="s">
        <v>25</v>
      </c>
      <c r="AH14" s="255" t="s">
        <v>847</v>
      </c>
      <c r="AI14" s="242" t="s">
        <v>848</v>
      </c>
      <c r="AK14" s="242" t="s">
        <v>849</v>
      </c>
      <c r="AL14" t="s">
        <v>846</v>
      </c>
      <c r="AM14" s="242" t="s">
        <v>25</v>
      </c>
      <c r="AN14" s="255" t="s">
        <v>847</v>
      </c>
      <c r="AO14" s="242" t="s">
        <v>848</v>
      </c>
      <c r="AQ14" s="242" t="s">
        <v>849</v>
      </c>
      <c r="AR14" t="s">
        <v>846</v>
      </c>
      <c r="AS14" s="242" t="s">
        <v>25</v>
      </c>
      <c r="AT14" s="255" t="s">
        <v>847</v>
      </c>
      <c r="AU14" s="242" t="s">
        <v>848</v>
      </c>
    </row>
    <row r="15" spans="1:48">
      <c r="A15" s="263" t="s">
        <v>37</v>
      </c>
      <c r="B15" s="337" t="s">
        <v>503</v>
      </c>
      <c r="C15" s="73">
        <v>10</v>
      </c>
      <c r="D15" s="315">
        <v>252.75</v>
      </c>
      <c r="E15" s="166">
        <v>2630</v>
      </c>
      <c r="F15" s="74" t="s">
        <v>321</v>
      </c>
      <c r="G15" s="34" t="str">
        <f t="shared" si="1"/>
        <v>XI10LUIZ HIROAKI SATO</v>
      </c>
      <c r="H15" s="40">
        <v>41431</v>
      </c>
      <c r="I15" s="35">
        <v>83154.75</v>
      </c>
      <c r="J15" s="35" t="s">
        <v>834</v>
      </c>
      <c r="K15" s="35">
        <v>83257.710000000006</v>
      </c>
      <c r="L15" s="170">
        <f t="shared" si="2"/>
        <v>1.0012381734056084</v>
      </c>
      <c r="M15" s="154">
        <v>163003.98000000001</v>
      </c>
      <c r="N15" s="170">
        <f t="shared" si="0"/>
        <v>0.51077102534551611</v>
      </c>
      <c r="O15" s="170">
        <f t="shared" si="3"/>
        <v>0.55014376669399889</v>
      </c>
      <c r="P15" s="170">
        <f>IF(A15=$X$29,K15/(D15*Vendas!$U$25),IF(A15=$X$30,K15/(D15*Vendas!$U$26),IF(A15=$X$31,K15/(D15*Vendas!$U$27),IF(A15=$X$32,K15/(D15*Vendas!$U$28),IF(A15=$X$33,K15/(D15*Vendas!$U$29),IF(A15=$X$34,K15/(D15*Vendas!$U$30),IF(A15=$X$35,K15/(D15*Vendas!$U$31),IF(A15=$X$36,K15/(D15*Vendas!$U$32),0))))))))</f>
        <v>0.50705155968790494</v>
      </c>
      <c r="Q15" s="170">
        <f>IF(A15=$X$29,K15/(D15*Vendas!$U$25),IF(A15=$X$30,K15/(D15*Vendas!$U$26),IF(A15=$X$31,K15/(D15*Vendas!$U$27),IF(A15=$X$32,K15/(D15*Vendas!$U$28),IF(A15=$X$33,K15/(D15*Vendas!$U$29),IF(A15=$X$34,K15/(D15*Vendas!$U$30),IF(A15=$X$35,K15/(D15*Vendas!$U$31),IF(A15=$X$36,K15/(D15*Vendas!$U$32),0))))))))</f>
        <v>0.50705155968790494</v>
      </c>
      <c r="S15" s="163">
        <v>150400</v>
      </c>
      <c r="T15" s="163">
        <v>252.75</v>
      </c>
      <c r="U15" s="163">
        <v>595.05440158259148</v>
      </c>
      <c r="V15" s="254" t="s">
        <v>1084</v>
      </c>
      <c r="W15" s="165">
        <v>43752</v>
      </c>
      <c r="X15" t="s">
        <v>1093</v>
      </c>
      <c r="Y15" s="40">
        <v>43892</v>
      </c>
      <c r="Z15" s="254" t="s">
        <v>1285</v>
      </c>
      <c r="AA15" s="35">
        <v>144759</v>
      </c>
      <c r="AB15" s="255">
        <v>252.75</v>
      </c>
      <c r="AC15" s="255">
        <f>AA15/AB15</f>
        <v>572.73590504451033</v>
      </c>
      <c r="AE15" s="40">
        <v>43955</v>
      </c>
      <c r="AF15" s="254" t="s">
        <v>1289</v>
      </c>
      <c r="AG15" s="35">
        <v>145700</v>
      </c>
      <c r="AH15" s="154">
        <v>251.25</v>
      </c>
      <c r="AI15" s="255">
        <f>AG15/AH15</f>
        <v>579.90049751243782</v>
      </c>
      <c r="AK15" s="40">
        <v>43892</v>
      </c>
      <c r="AL15" s="254" t="s">
        <v>1294</v>
      </c>
      <c r="AM15" s="35">
        <v>187530</v>
      </c>
      <c r="AN15" s="154">
        <v>378.5</v>
      </c>
      <c r="AO15" s="255">
        <f t="shared" ref="AO15:AO17" si="5">AM15/AN15</f>
        <v>495.4557463672391</v>
      </c>
      <c r="AQ15" s="40">
        <v>44050</v>
      </c>
      <c r="AR15" s="254" t="s">
        <v>1301</v>
      </c>
      <c r="AS15" s="35">
        <v>119380</v>
      </c>
      <c r="AT15" s="154">
        <v>257</v>
      </c>
      <c r="AU15" s="255">
        <f>AS15/AT15</f>
        <v>464.51361867704281</v>
      </c>
    </row>
    <row r="16" spans="1:48">
      <c r="A16" s="263" t="s">
        <v>37</v>
      </c>
      <c r="B16" s="337" t="s">
        <v>503</v>
      </c>
      <c r="C16" s="166">
        <v>11</v>
      </c>
      <c r="D16" s="197">
        <v>252.75</v>
      </c>
      <c r="E16" s="166">
        <v>2348</v>
      </c>
      <c r="F16" s="338" t="s">
        <v>192</v>
      </c>
      <c r="G16" s="34" t="str">
        <f t="shared" si="1"/>
        <v>XI11EUGENIA CAMPREGHER DA SILVA</v>
      </c>
      <c r="H16" s="40">
        <v>41440</v>
      </c>
      <c r="I16" s="35">
        <v>83154.75</v>
      </c>
      <c r="J16" s="35" t="s">
        <v>834</v>
      </c>
      <c r="K16" s="35">
        <v>14726.74</v>
      </c>
      <c r="L16" s="170">
        <f t="shared" si="2"/>
        <v>0.17710040617042322</v>
      </c>
      <c r="M16" s="154">
        <v>116463.53</v>
      </c>
      <c r="N16" s="170">
        <f t="shared" si="0"/>
        <v>0.12644937003025755</v>
      </c>
      <c r="O16" s="170">
        <f t="shared" si="3"/>
        <v>9.7310197634827816E-2</v>
      </c>
      <c r="P16" s="170">
        <f>IF(A16=$X$29,K16/(D16*Vendas!$U$25),IF(A16=$X$30,K16/(D16*Vendas!$U$26),IF(A16=$X$31,K16/(D16*Vendas!$U$27),IF(A16=$X$32,K16/(D16*Vendas!$U$28),IF(A16=$X$33,K16/(D16*Vendas!$U$29),IF(A16=$X$34,K16/(D16*Vendas!$U$30),IF(A16=$X$35,K16/(D16*Vendas!$U$31),IF(A16=$X$36,K16/(D16*Vendas!$U$32),0))))))))</f>
        <v>8.9687987888668275E-2</v>
      </c>
      <c r="Q16" s="170">
        <f>IF(A16=$X$29,K16/(D16*Vendas!$U$25),IF(A16=$X$30,K16/(D16*Vendas!$U$26),IF(A16=$X$31,K16/(D16*Vendas!$U$27),IF(A16=$X$32,K16/(D16*Vendas!$U$28),IF(A16=$X$33,K16/(D16*Vendas!$U$29),IF(A16=$X$34,K16/(D16*Vendas!$U$30),IF(A16=$X$35,K16/(D16*Vendas!$U$31),IF(A16=$X$36,K16/(D16*Vendas!$U$32),0))))))))</f>
        <v>8.9687987888668275E-2</v>
      </c>
      <c r="S16" s="163">
        <v>93060.9</v>
      </c>
      <c r="T16" s="163">
        <v>258.2</v>
      </c>
      <c r="U16" s="163">
        <v>360.42176607281175</v>
      </c>
      <c r="V16" s="254" t="s">
        <v>1087</v>
      </c>
      <c r="W16" s="281">
        <v>43727</v>
      </c>
      <c r="X16" t="s">
        <v>893</v>
      </c>
      <c r="Y16" s="165">
        <v>43525</v>
      </c>
      <c r="Z16" s="254" t="s">
        <v>1034</v>
      </c>
      <c r="AA16" s="163">
        <v>154912</v>
      </c>
      <c r="AB16" s="255">
        <v>252.75</v>
      </c>
      <c r="AC16" s="255">
        <f>AA16/AB16</f>
        <v>612.90603363006926</v>
      </c>
      <c r="AE16" s="40">
        <v>44034</v>
      </c>
      <c r="AF16" s="254" t="s">
        <v>1290</v>
      </c>
      <c r="AG16" s="35">
        <v>145700</v>
      </c>
      <c r="AH16" s="154">
        <v>251.25</v>
      </c>
      <c r="AI16" s="255">
        <f>AG16/AH16</f>
        <v>579.90049751243782</v>
      </c>
      <c r="AK16" s="40">
        <v>44046</v>
      </c>
      <c r="AL16" s="254" t="s">
        <v>1295</v>
      </c>
      <c r="AM16" s="35">
        <v>135915</v>
      </c>
      <c r="AN16" s="154">
        <v>257.75</v>
      </c>
      <c r="AO16" s="255">
        <f t="shared" si="5"/>
        <v>527.31328806983515</v>
      </c>
      <c r="AQ16" s="40">
        <v>44050</v>
      </c>
      <c r="AR16" s="254" t="s">
        <v>1302</v>
      </c>
      <c r="AS16" s="35">
        <v>122200</v>
      </c>
      <c r="AT16" s="154">
        <v>257</v>
      </c>
      <c r="AU16" s="255">
        <f>AS16/AT16</f>
        <v>475.48638132295719</v>
      </c>
    </row>
    <row r="17" spans="1:48">
      <c r="A17" s="263" t="s">
        <v>37</v>
      </c>
      <c r="B17" s="337" t="s">
        <v>503</v>
      </c>
      <c r="C17" s="73">
        <v>13</v>
      </c>
      <c r="D17" s="315">
        <v>252.75</v>
      </c>
      <c r="E17" s="166">
        <v>3801</v>
      </c>
      <c r="F17" s="74" t="s">
        <v>1146</v>
      </c>
      <c r="G17" s="34" t="str">
        <f t="shared" si="1"/>
        <v>XI13ROBERTO CARLOS DE OLIVEIRA</v>
      </c>
      <c r="H17" s="40">
        <v>43892</v>
      </c>
      <c r="I17" s="35">
        <v>144759</v>
      </c>
      <c r="J17" s="35" t="s">
        <v>834</v>
      </c>
      <c r="K17" s="35">
        <v>36375.79</v>
      </c>
      <c r="L17" s="170">
        <f t="shared" si="2"/>
        <v>0.25128517052480331</v>
      </c>
      <c r="M17" s="154">
        <v>141044.12</v>
      </c>
      <c r="N17" s="170">
        <f t="shared" si="0"/>
        <v>0.25790362618448753</v>
      </c>
      <c r="O17" s="170">
        <f t="shared" si="3"/>
        <v>0.24036109240897807</v>
      </c>
      <c r="P17" s="170">
        <f>IF(A17=$X$29,K17/(D17*Vendas!$U$25),IF(A17=$X$30,K17/(D17*Vendas!$U$26),IF(A17=$X$31,K17/(D17*Vendas!$U$27),IF(A17=$X$32,K17/(D17*Vendas!$U$28),IF(A17=$X$33,K17/(D17*Vendas!$U$29),IF(A17=$X$34,K17/(D17*Vendas!$U$30),IF(A17=$X$35,K17/(D17*Vendas!$U$31),IF(A17=$X$36,K17/(D17*Vendas!$U$32),0))))))))</f>
        <v>0.22153385019092758</v>
      </c>
      <c r="Q17" s="170">
        <f>IF(A17=$X$29,K17/(D17*Vendas!$U$25),IF(A17=$X$30,K17/(D17*Vendas!$U$26),IF(A17=$X$31,K17/(D17*Vendas!$U$27),IF(A17=$X$32,K17/(D17*Vendas!$U$28),IF(A17=$X$33,K17/(D17*Vendas!$U$29),IF(A17=$X$34,K17/(D17*Vendas!$U$30),IF(A17=$X$35,K17/(D17*Vendas!$U$31),IF(A17=$X$36,K17/(D17*Vendas!$U$32),0))))))))</f>
        <v>0.22153385019092758</v>
      </c>
      <c r="S17" s="163">
        <v>112800</v>
      </c>
      <c r="T17" s="255">
        <v>281.89</v>
      </c>
      <c r="U17" s="255">
        <f>S17/T17</f>
        <v>400.15608925467382</v>
      </c>
      <c r="V17" s="254" t="s">
        <v>1088</v>
      </c>
      <c r="W17" s="165">
        <v>43727</v>
      </c>
      <c r="X17" t="s">
        <v>1094</v>
      </c>
      <c r="Y17" s="165">
        <v>43752</v>
      </c>
      <c r="Z17" s="254" t="s">
        <v>1084</v>
      </c>
      <c r="AA17" s="163">
        <v>150400</v>
      </c>
      <c r="AB17" s="255">
        <v>252.75</v>
      </c>
      <c r="AC17" s="255">
        <f>AA17/AB17</f>
        <v>595.05440158259148</v>
      </c>
      <c r="AE17" s="40">
        <v>43985</v>
      </c>
      <c r="AF17" s="254" t="s">
        <v>1291</v>
      </c>
      <c r="AG17" s="35">
        <v>93060.2</v>
      </c>
      <c r="AH17" s="154">
        <v>265.02</v>
      </c>
      <c r="AI17" s="255">
        <f>AG17/AH17</f>
        <v>351.14406459889818</v>
      </c>
      <c r="AK17" s="40">
        <v>43850</v>
      </c>
      <c r="AL17" s="254" t="s">
        <v>1090</v>
      </c>
      <c r="AM17" s="35">
        <v>93060</v>
      </c>
      <c r="AN17" s="154">
        <v>273.33999999999997</v>
      </c>
      <c r="AO17" s="255">
        <f t="shared" si="5"/>
        <v>340.4551108509549</v>
      </c>
      <c r="AQ17" s="40">
        <v>44055</v>
      </c>
      <c r="AR17" s="254" t="s">
        <v>1303</v>
      </c>
      <c r="AS17" s="35">
        <v>117876</v>
      </c>
      <c r="AT17" s="154">
        <v>257</v>
      </c>
      <c r="AU17" s="255">
        <f>AS17/AT17</f>
        <v>458.66147859922177</v>
      </c>
    </row>
    <row r="18" spans="1:48">
      <c r="A18" s="263" t="s">
        <v>37</v>
      </c>
      <c r="B18" s="337" t="s">
        <v>503</v>
      </c>
      <c r="C18" s="166">
        <v>14</v>
      </c>
      <c r="D18" s="197">
        <v>252.75</v>
      </c>
      <c r="E18" s="166">
        <v>2299</v>
      </c>
      <c r="F18" s="338" t="s">
        <v>68</v>
      </c>
      <c r="G18" s="34" t="str">
        <f t="shared" si="1"/>
        <v>XI14ANDERSON CARNEIRO</v>
      </c>
      <c r="H18" s="40">
        <v>41445</v>
      </c>
      <c r="I18" s="35">
        <v>83154.75</v>
      </c>
      <c r="J18" s="35" t="s">
        <v>834</v>
      </c>
      <c r="K18" s="35">
        <v>43847.63</v>
      </c>
      <c r="L18" s="170">
        <f t="shared" si="2"/>
        <v>0.5273015672586352</v>
      </c>
      <c r="M18" s="154">
        <v>152746.86000000002</v>
      </c>
      <c r="N18" s="170">
        <f t="shared" si="0"/>
        <v>0.28706076183824658</v>
      </c>
      <c r="O18" s="170">
        <f t="shared" si="3"/>
        <v>0.28973293078568679</v>
      </c>
      <c r="P18" s="170">
        <f>IF(A18=$X$29,K18/(D18*Vendas!$U$25),IF(A18=$X$30,K18/(D18*Vendas!$U$26),IF(A18=$X$31,K18/(D18*Vendas!$U$27),IF(A18=$X$32,K18/(D18*Vendas!$U$28),IF(A18=$X$33,K18/(D18*Vendas!$U$29),IF(A18=$X$34,K18/(D18*Vendas!$U$30),IF(A18=$X$35,K18/(D18*Vendas!$U$31),IF(A18=$X$36,K18/(D18*Vendas!$U$32),0))))))))</f>
        <v>0.26703844220695194</v>
      </c>
      <c r="Q18" s="170">
        <f>IF(A18=$X$29,K18/(D18*Vendas!$U$25),IF(A18=$X$30,K18/(D18*Vendas!$U$26),IF(A18=$X$31,K18/(D18*Vendas!$U$27),IF(A18=$X$32,K18/(D18*Vendas!$U$28),IF(A18=$X$33,K18/(D18*Vendas!$U$29),IF(A18=$X$34,K18/(D18*Vendas!$U$30),IF(A18=$X$35,K18/(D18*Vendas!$U$31),IF(A18=$X$36,K18/(D18*Vendas!$U$32),0))))))))</f>
        <v>0.26703844220695194</v>
      </c>
      <c r="S18" s="163">
        <v>106220.55</v>
      </c>
      <c r="T18" s="255">
        <v>256.73</v>
      </c>
      <c r="U18" s="255">
        <f>S18/T18</f>
        <v>413.74420597514899</v>
      </c>
      <c r="V18" s="254" t="s">
        <v>1091</v>
      </c>
      <c r="W18" s="165">
        <v>43761</v>
      </c>
      <c r="X18" t="s">
        <v>896</v>
      </c>
      <c r="Y18" s="165"/>
      <c r="Z18" s="254"/>
      <c r="AA18" s="163"/>
      <c r="AB18" s="255"/>
      <c r="AC18" s="255"/>
      <c r="AE18" s="40">
        <v>43958</v>
      </c>
      <c r="AF18" s="254" t="s">
        <v>1292</v>
      </c>
      <c r="AG18" s="35">
        <v>94000</v>
      </c>
      <c r="AH18" s="154">
        <v>255.81</v>
      </c>
      <c r="AI18" s="255">
        <f>AG18/AH18</f>
        <v>367.46022438528593</v>
      </c>
      <c r="AK18" s="165">
        <v>43686</v>
      </c>
      <c r="AL18" s="254" t="s">
        <v>1089</v>
      </c>
      <c r="AM18" s="163">
        <v>93059.199999999997</v>
      </c>
      <c r="AN18" s="255">
        <v>273.33999999999997</v>
      </c>
      <c r="AO18" s="255">
        <f>AM18/AN18</f>
        <v>340.45218409307091</v>
      </c>
      <c r="AQ18" s="40">
        <v>43983</v>
      </c>
      <c r="AR18" s="254" t="s">
        <v>1304</v>
      </c>
      <c r="AS18" s="35">
        <v>124080</v>
      </c>
      <c r="AT18" s="154">
        <v>257</v>
      </c>
      <c r="AU18" s="255">
        <f>AS18/AT18</f>
        <v>482.80155642023345</v>
      </c>
    </row>
    <row r="19" spans="1:48">
      <c r="A19" s="263" t="s">
        <v>37</v>
      </c>
      <c r="B19" s="337" t="s">
        <v>503</v>
      </c>
      <c r="C19" s="73">
        <v>17</v>
      </c>
      <c r="D19" s="315">
        <v>252.75</v>
      </c>
      <c r="E19" s="166">
        <v>7018</v>
      </c>
      <c r="F19" s="74" t="s">
        <v>936</v>
      </c>
      <c r="G19" s="34" t="str">
        <f t="shared" si="1"/>
        <v>XI17DOUGLAS ANTONIO DE LIMA</v>
      </c>
      <c r="H19" s="40">
        <v>43525</v>
      </c>
      <c r="I19" s="35">
        <v>154912</v>
      </c>
      <c r="J19" s="35" t="s">
        <v>834</v>
      </c>
      <c r="K19" s="35">
        <v>153223.24</v>
      </c>
      <c r="L19" s="170">
        <f t="shared" si="2"/>
        <v>0.98909858500309844</v>
      </c>
      <c r="M19" s="154">
        <v>204333.98</v>
      </c>
      <c r="N19" s="170">
        <f t="shared" si="0"/>
        <v>0.74986666436977334</v>
      </c>
      <c r="O19" s="170">
        <f t="shared" si="3"/>
        <v>1.0124565088165238</v>
      </c>
      <c r="P19" s="170">
        <f>IF(A19=$X$29,K19/(D19*Vendas!$U$25),IF(A19=$X$30,K19/(D19*Vendas!$U$26),IF(A19=$X$31,K19/(D19*Vendas!$U$27),IF(A19=$X$32,K19/(D19*Vendas!$U$28),IF(A19=$X$33,K19/(D19*Vendas!$U$29),IF(A19=$X$34,K19/(D19*Vendas!$U$30),IF(A19=$X$35,K19/(D19*Vendas!$U$31),IF(A19=$X$36,K19/(D19*Vendas!$U$32),0))))))))</f>
        <v>0.93315181047417906</v>
      </c>
      <c r="Q19" s="170">
        <f>IF(A19=$X$29,K19/(D19*Vendas!$U$25),IF(A19=$X$30,K19/(D19*Vendas!$U$26),IF(A19=$X$31,K19/(D19*Vendas!$U$27),IF(A19=$X$32,K19/(D19*Vendas!$U$28),IF(A19=$X$33,K19/(D19*Vendas!$U$29),IF(A19=$X$34,K19/(D19*Vendas!$U$30),IF(A19=$X$35,K19/(D19*Vendas!$U$31),IF(A19=$X$36,K19/(D19*Vendas!$U$32),0))))))))</f>
        <v>0.93315181047417906</v>
      </c>
      <c r="S19" s="163">
        <v>105280</v>
      </c>
      <c r="T19" s="255">
        <v>252.5</v>
      </c>
      <c r="U19" s="255">
        <f>S19/T19</f>
        <v>416.95049504950492</v>
      </c>
      <c r="V19" s="254" t="s">
        <v>1092</v>
      </c>
      <c r="W19" s="165">
        <v>43762</v>
      </c>
      <c r="X19" t="s">
        <v>897</v>
      </c>
      <c r="Y19" s="165"/>
      <c r="Z19" s="254"/>
      <c r="AA19" s="163"/>
      <c r="AB19" s="255"/>
      <c r="AC19" s="255"/>
      <c r="AE19" s="40">
        <v>43990</v>
      </c>
      <c r="AF19" s="254" t="s">
        <v>1293</v>
      </c>
      <c r="AG19" s="35">
        <v>93060</v>
      </c>
      <c r="AH19" s="154">
        <v>261.55</v>
      </c>
      <c r="AI19" s="255">
        <f t="shared" ref="AI19" si="6">AG19/AH19</f>
        <v>355.80194991397434</v>
      </c>
      <c r="AK19" s="165">
        <v>43696</v>
      </c>
      <c r="AL19" s="254" t="s">
        <v>1090</v>
      </c>
      <c r="AM19" s="163">
        <v>93060</v>
      </c>
      <c r="AN19" s="255">
        <v>273.33999999999997</v>
      </c>
      <c r="AO19" s="255">
        <f>AM19/AN19</f>
        <v>340.4551108509549</v>
      </c>
      <c r="AQ19" s="165"/>
      <c r="AR19" s="254"/>
      <c r="AS19" s="163"/>
      <c r="AT19" s="255"/>
      <c r="AU19" s="255"/>
    </row>
    <row r="20" spans="1:48">
      <c r="A20" s="263" t="s">
        <v>37</v>
      </c>
      <c r="B20" s="337" t="s">
        <v>503</v>
      </c>
      <c r="C20" s="166">
        <v>19</v>
      </c>
      <c r="D20" s="197">
        <v>252.75</v>
      </c>
      <c r="E20" s="166">
        <v>2614</v>
      </c>
      <c r="F20" s="338" t="s">
        <v>76</v>
      </c>
      <c r="G20" s="34" t="str">
        <f t="shared" si="1"/>
        <v>XI19ANGELA MARIA CARDOSO DE ALMEIDA</v>
      </c>
      <c r="H20" s="40">
        <v>41445</v>
      </c>
      <c r="I20" s="35">
        <v>83154.75</v>
      </c>
      <c r="J20" s="35" t="s">
        <v>834</v>
      </c>
      <c r="K20" s="35">
        <v>86975.69</v>
      </c>
      <c r="L20" s="170">
        <f t="shared" si="2"/>
        <v>1.0459497503149249</v>
      </c>
      <c r="M20" s="154">
        <v>159324.35</v>
      </c>
      <c r="N20" s="170">
        <f t="shared" si="0"/>
        <v>0.54590330982050139</v>
      </c>
      <c r="O20" s="170">
        <f t="shared" si="3"/>
        <v>0.57471114335728868</v>
      </c>
      <c r="P20" s="170">
        <f>IF(A20=$X$29,K20/(D20*Vendas!$U$25),IF(A20=$X$30,K20/(D20*Vendas!$U$26),IF(A20=$X$31,K20/(D20*Vendas!$U$27),IF(A20=$X$32,K20/(D20*Vendas!$U$28),IF(A20=$X$33,K20/(D20*Vendas!$U$29),IF(A20=$X$34,K20/(D20*Vendas!$U$30),IF(A20=$X$35,K20/(D20*Vendas!$U$31),IF(A20=$X$36,K20/(D20*Vendas!$U$32),0))))))))</f>
        <v>0.52969459848741585</v>
      </c>
      <c r="Q20" s="170">
        <f>IF(A20=$X$29,K20/(D20*Vendas!$U$25),IF(A20=$X$30,K20/(D20*Vendas!$U$26),IF(A20=$X$31,K20/(D20*Vendas!$U$27),IF(A20=$X$32,K20/(D20*Vendas!$U$28),IF(A20=$X$33,K20/(D20*Vendas!$U$29),IF(A20=$X$34,K20/(D20*Vendas!$U$30),IF(A20=$X$35,K20/(D20*Vendas!$U$31),IF(A20=$X$36,K20/(D20*Vendas!$U$32),0))))))))</f>
        <v>0.52969459848741585</v>
      </c>
      <c r="S20" t="s">
        <v>851</v>
      </c>
      <c r="T20" s="163"/>
      <c r="U20" s="163">
        <f>AVERAGE(U15:U19)</f>
        <v>437.26539158694624</v>
      </c>
      <c r="Z20" t="s">
        <v>1024</v>
      </c>
      <c r="AB20" s="163"/>
      <c r="AC20" s="256">
        <f>AVERAGE(AC15:AC19)</f>
        <v>593.56544675239036</v>
      </c>
      <c r="AF20" t="s">
        <v>1024</v>
      </c>
      <c r="AH20" s="163"/>
      <c r="AI20" s="256">
        <f>AVERAGE(AI15:AI17)</f>
        <v>503.64835320792463</v>
      </c>
      <c r="AL20" t="s">
        <v>1024</v>
      </c>
      <c r="AN20" s="163"/>
      <c r="AO20" s="256">
        <f>AVERAGE(AO15:AO19)</f>
        <v>408.82628804641098</v>
      </c>
      <c r="AR20" t="s">
        <v>1024</v>
      </c>
      <c r="AT20" s="163"/>
      <c r="AU20" s="256">
        <f>AVERAGE(AU15:AU19)</f>
        <v>470.3657587548638</v>
      </c>
    </row>
    <row r="21" spans="1:48">
      <c r="A21" s="263" t="s">
        <v>37</v>
      </c>
      <c r="B21" s="337" t="s">
        <v>503</v>
      </c>
      <c r="C21" s="73">
        <v>20</v>
      </c>
      <c r="D21" s="315">
        <v>252.75</v>
      </c>
      <c r="E21" s="166">
        <v>2497</v>
      </c>
      <c r="F21" s="74" t="s">
        <v>393</v>
      </c>
      <c r="G21" s="34" t="str">
        <f t="shared" si="1"/>
        <v>XI20PAULA BERTONCINE SASSO</v>
      </c>
      <c r="H21" s="40">
        <v>41435</v>
      </c>
      <c r="I21" s="35">
        <v>83154.75</v>
      </c>
      <c r="J21" s="35" t="s">
        <v>834</v>
      </c>
      <c r="K21" s="35">
        <v>95484.790000000008</v>
      </c>
      <c r="L21" s="170">
        <f t="shared" si="2"/>
        <v>1.1482782402688962</v>
      </c>
      <c r="M21" s="154">
        <v>205045.22</v>
      </c>
      <c r="N21" s="170">
        <f t="shared" si="0"/>
        <v>0.4656767419401438</v>
      </c>
      <c r="O21" s="170">
        <f t="shared" si="3"/>
        <v>0.63093690701540406</v>
      </c>
      <c r="P21" s="170">
        <f>IF(A21=$X$29,K21/(D21*Vendas!$U$25),IF(A21=$X$30,K21/(D21*Vendas!$U$26),IF(A21=$X$31,K21/(D21*Vendas!$U$27),IF(A21=$X$32,K21/(D21*Vendas!$U$28),IF(A21=$X$33,K21/(D21*Vendas!$U$29),IF(A21=$X$34,K21/(D21*Vendas!$U$30),IF(A21=$X$35,K21/(D21*Vendas!$U$31),IF(A21=$X$36,K21/(D21*Vendas!$U$32),0))))))))</f>
        <v>0.58151625472250035</v>
      </c>
      <c r="Q21" s="170">
        <f>IF(A21=$X$29,K21/(D21*Vendas!$U$25),IF(A21=$X$30,K21/(D21*Vendas!$U$26),IF(A21=$X$31,K21/(D21*Vendas!$U$27),IF(A21=$X$32,K21/(D21*Vendas!$U$28),IF(A21=$X$33,K21/(D21*Vendas!$U$29),IF(A21=$X$34,K21/(D21*Vendas!$U$30),IF(A21=$X$35,K21/(D21*Vendas!$U$31),IF(A21=$X$36,K21/(D21*Vendas!$U$32),0))))))))</f>
        <v>0.58151625472250035</v>
      </c>
      <c r="U21" s="163"/>
    </row>
    <row r="22" spans="1:48">
      <c r="A22" s="263" t="s">
        <v>37</v>
      </c>
      <c r="B22" s="337" t="s">
        <v>503</v>
      </c>
      <c r="C22" s="166">
        <v>22</v>
      </c>
      <c r="D22" s="197">
        <v>252.75</v>
      </c>
      <c r="E22" s="166">
        <v>2413</v>
      </c>
      <c r="F22" s="338" t="s">
        <v>86</v>
      </c>
      <c r="G22" s="34" t="str">
        <f t="shared" si="1"/>
        <v>XI22BIANCA SILVA DE LIMA</v>
      </c>
      <c r="H22" s="40">
        <v>41435</v>
      </c>
      <c r="I22" s="35">
        <v>83154.75</v>
      </c>
      <c r="J22" s="35" t="s">
        <v>834</v>
      </c>
      <c r="K22" s="35">
        <v>72306.59</v>
      </c>
      <c r="L22" s="170">
        <f t="shared" si="2"/>
        <v>0.86954250959806867</v>
      </c>
      <c r="M22" s="154">
        <v>155047.83000000002</v>
      </c>
      <c r="N22" s="170">
        <f t="shared" si="0"/>
        <v>0.46635022237976492</v>
      </c>
      <c r="O22" s="170">
        <f t="shared" si="3"/>
        <v>0.47778181479407283</v>
      </c>
      <c r="P22" s="170">
        <f>IF(A22=$X$29,K22/(D22*Vendas!$U$25),IF(A22=$X$30,K22/(D22*Vendas!$U$26),IF(A22=$X$31,K22/(D22*Vendas!$U$27),IF(A22=$X$32,K22/(D22*Vendas!$U$28),IF(A22=$X$33,K22/(D22*Vendas!$U$29),IF(A22=$X$34,K22/(D22*Vendas!$U$30),IF(A22=$X$35,K22/(D22*Vendas!$U$31),IF(A22=$X$36,K22/(D22*Vendas!$U$32),0))))))))</f>
        <v>0.44035764657968446</v>
      </c>
      <c r="Q22" s="170">
        <f>IF(A22=$X$29,K22/(D22*Vendas!$U$25),IF(A22=$X$30,K22/(D22*Vendas!$U$26),IF(A22=$X$31,K22/(D22*Vendas!$U$27),IF(A22=$X$32,K22/(D22*Vendas!$U$28),IF(A22=$X$33,K22/(D22*Vendas!$U$29),IF(A22=$X$34,K22/(D22*Vendas!$U$30),IF(A22=$X$35,K22/(D22*Vendas!$U$31),IF(A22=$X$36,K22/(D22*Vendas!$U$32),0))))))))</f>
        <v>0.44035764657968446</v>
      </c>
    </row>
    <row r="23" spans="1:48">
      <c r="A23" s="263" t="s">
        <v>37</v>
      </c>
      <c r="B23" s="337" t="s">
        <v>503</v>
      </c>
      <c r="C23" s="73">
        <v>25</v>
      </c>
      <c r="D23" s="315">
        <v>252.75</v>
      </c>
      <c r="E23" s="166">
        <v>3124</v>
      </c>
      <c r="F23" s="74" t="s">
        <v>1081</v>
      </c>
      <c r="G23" s="34" t="str">
        <f t="shared" si="1"/>
        <v>XI25MARIO REGIS MARTINS DOS SANTOS</v>
      </c>
      <c r="H23" s="40">
        <v>43752</v>
      </c>
      <c r="I23" s="35">
        <v>150400</v>
      </c>
      <c r="J23" s="35" t="s">
        <v>834</v>
      </c>
      <c r="K23" s="35">
        <v>149694.30000000002</v>
      </c>
      <c r="L23" s="170">
        <f t="shared" si="2"/>
        <v>0.99530784574468101</v>
      </c>
      <c r="M23" s="154">
        <v>186027.38</v>
      </c>
      <c r="N23" s="170">
        <f t="shared" si="0"/>
        <v>0.80468961074439693</v>
      </c>
      <c r="O23" s="170">
        <f t="shared" si="3"/>
        <v>0.98913825583986736</v>
      </c>
      <c r="P23" s="170">
        <f>IF(A23=$X$29,K23/(D23*Vendas!$U$25),IF(A23=$X$30,K23/(D23*Vendas!$U$26),IF(A23=$X$31,K23/(D23*Vendas!$U$27),IF(A23=$X$32,K23/(D23*Vendas!$U$28),IF(A23=$X$33,K23/(D23*Vendas!$U$29),IF(A23=$X$34,K23/(D23*Vendas!$U$30),IF(A23=$X$35,K23/(D23*Vendas!$U$31),IF(A23=$X$36,K23/(D23*Vendas!$U$32),0))))))))</f>
        <v>0.91166005276134965</v>
      </c>
      <c r="Q23" s="170">
        <f>IF(A23=$X$29,K23/(D23*Vendas!$U$25),IF(A23=$X$30,K23/(D23*Vendas!$U$26),IF(A23=$X$31,K23/(D23*Vendas!$U$27),IF(A23=$X$32,K23/(D23*Vendas!$U$28),IF(A23=$X$33,K23/(D23*Vendas!$U$29),IF(A23=$X$34,K23/(D23*Vendas!$U$30),IF(A23=$X$35,K23/(D23*Vendas!$U$31),IF(A23=$X$36,K23/(D23*Vendas!$U$32),0))))))))</f>
        <v>0.91166005276134965</v>
      </c>
      <c r="AK23" s="328"/>
      <c r="AL23" s="36"/>
      <c r="AM23" s="154"/>
      <c r="AN23" s="40"/>
      <c r="AO23" s="35"/>
      <c r="AQ23" s="328"/>
      <c r="AR23" s="36"/>
      <c r="AS23" s="154"/>
      <c r="AT23" s="40"/>
      <c r="AU23" s="35"/>
      <c r="AV23" s="35"/>
    </row>
    <row r="24" spans="1:48">
      <c r="A24" s="263" t="s">
        <v>37</v>
      </c>
      <c r="B24" s="337" t="s">
        <v>503</v>
      </c>
      <c r="C24" s="166">
        <v>26</v>
      </c>
      <c r="D24" s="197">
        <v>252.75</v>
      </c>
      <c r="E24" s="166">
        <v>6006</v>
      </c>
      <c r="F24" s="338" t="s">
        <v>100</v>
      </c>
      <c r="G24" s="34" t="str">
        <f t="shared" si="1"/>
        <v>XI26CARLOS ROBERTO DA SILVA JUNIOR</v>
      </c>
      <c r="H24" s="40">
        <v>43067</v>
      </c>
      <c r="I24" s="35">
        <v>128780</v>
      </c>
      <c r="J24" s="35" t="s">
        <v>834</v>
      </c>
      <c r="K24" s="35">
        <v>128293.04000000001</v>
      </c>
      <c r="L24" s="170">
        <f t="shared" si="2"/>
        <v>0.99621866749495269</v>
      </c>
      <c r="M24" s="154">
        <v>195666.35</v>
      </c>
      <c r="N24" s="170">
        <f t="shared" si="0"/>
        <v>0.6556724751087758</v>
      </c>
      <c r="O24" s="170">
        <f t="shared" si="3"/>
        <v>0.847724688394911</v>
      </c>
      <c r="P24" s="170">
        <f>IF(A24=$X$29,K24/(D24*Vendas!$U$25),IF(A24=$X$30,K24/(D24*Vendas!$U$26),IF(A24=$X$31,K24/(D24*Vendas!$U$27),IF(A24=$X$32,K24/(D24*Vendas!$U$28),IF(A24=$X$33,K24/(D24*Vendas!$U$29),IF(A24=$X$34,K24/(D24*Vendas!$U$30),IF(A24=$X$35,K24/(D24*Vendas!$U$31),IF(A24=$X$36,K24/(D24*Vendas!$U$32),0))))))))</f>
        <v>0.78132326758810411</v>
      </c>
      <c r="Q24" s="170">
        <f>IF(A24=$X$29,K24/(D24*Vendas!$U$25),IF(A24=$X$30,K24/(D24*Vendas!$U$26),IF(A24=$X$31,K24/(D24*Vendas!$U$27),IF(A24=$X$32,K24/(D24*Vendas!$U$28),IF(A24=$X$33,K24/(D24*Vendas!$U$29),IF(A24=$X$34,K24/(D24*Vendas!$U$30),IF(A24=$X$35,K24/(D24*Vendas!$U$31),IF(A24=$X$36,K24/(D24*Vendas!$U$32),0))))))))</f>
        <v>0.78132326758810411</v>
      </c>
      <c r="Y24" s="35"/>
      <c r="Z24" s="35"/>
      <c r="AA24" s="35"/>
      <c r="AB24" s="35"/>
      <c r="AC24" s="35"/>
      <c r="AD24" s="35"/>
      <c r="AE24" s="328"/>
      <c r="AF24" s="36"/>
      <c r="AG24" s="154"/>
      <c r="AH24" s="40"/>
      <c r="AI24" s="35"/>
      <c r="AK24" s="328"/>
      <c r="AL24" s="36"/>
      <c r="AM24" s="154"/>
      <c r="AN24" s="40"/>
      <c r="AO24" s="35"/>
      <c r="AQ24" s="328"/>
      <c r="AR24" s="36"/>
      <c r="AS24" s="154"/>
      <c r="AT24" s="40"/>
      <c r="AU24" s="35"/>
      <c r="AV24" s="35"/>
    </row>
    <row r="25" spans="1:48">
      <c r="A25" s="263" t="s">
        <v>37</v>
      </c>
      <c r="B25" s="337" t="s">
        <v>503</v>
      </c>
      <c r="C25" s="73">
        <v>27</v>
      </c>
      <c r="D25" s="315">
        <v>252.75</v>
      </c>
      <c r="E25" s="166">
        <v>6007</v>
      </c>
      <c r="F25" s="74" t="s">
        <v>100</v>
      </c>
      <c r="G25" s="34" t="str">
        <f t="shared" si="1"/>
        <v>XI27CARLOS ROBERTO DA SILVA JUNIOR</v>
      </c>
      <c r="H25" s="40">
        <v>43067</v>
      </c>
      <c r="I25" s="35">
        <v>128779.81</v>
      </c>
      <c r="J25" s="35" t="s">
        <v>834</v>
      </c>
      <c r="K25" s="35">
        <v>77870.52</v>
      </c>
      <c r="L25" s="170">
        <f t="shared" si="2"/>
        <v>0.6046795689479586</v>
      </c>
      <c r="M25" s="154">
        <v>172445</v>
      </c>
      <c r="N25" s="170">
        <f t="shared" si="0"/>
        <v>0.45156728232189974</v>
      </c>
      <c r="O25" s="170">
        <f t="shared" si="3"/>
        <v>0.5145467150996631</v>
      </c>
      <c r="P25" s="170">
        <f>IF(A25=$X$29,K25/(D25*Vendas!$U$25),IF(A25=$X$30,K25/(D25*Vendas!$U$26),IF(A25=$X$31,K25/(D25*Vendas!$U$27),IF(A25=$X$32,K25/(D25*Vendas!$U$28),IF(A25=$X$33,K25/(D25*Vendas!$U$29),IF(A25=$X$34,K25/(D25*Vendas!$U$30),IF(A25=$X$35,K25/(D25*Vendas!$U$31),IF(A25=$X$36,K25/(D25*Vendas!$U$32),0))))))))</f>
        <v>0.47424278928291674</v>
      </c>
      <c r="Q25" s="170">
        <f>IF(A25=$X$29,K25/(D25*Vendas!$U$25),IF(A25=$X$30,K25/(D25*Vendas!$U$26),IF(A25=$X$31,K25/(D25*Vendas!$U$27),IF(A25=$X$32,K25/(D25*Vendas!$U$28),IF(A25=$X$33,K25/(D25*Vendas!$U$29),IF(A25=$X$34,K25/(D25*Vendas!$U$30),IF(A25=$X$35,K25/(D25*Vendas!$U$31),IF(A25=$X$36,K25/(D25*Vendas!$U$32),0))))))))</f>
        <v>0.47424278928291674</v>
      </c>
      <c r="Y25" s="32"/>
      <c r="Z25" s="328"/>
      <c r="AA25" s="36"/>
      <c r="AB25" s="154"/>
      <c r="AC25" s="40"/>
      <c r="AD25" s="35"/>
      <c r="AE25" s="328"/>
      <c r="AF25" s="36"/>
      <c r="AG25" s="154"/>
      <c r="AH25" s="40"/>
      <c r="AI25" s="35"/>
      <c r="AK25" s="328"/>
      <c r="AL25" s="36"/>
      <c r="AM25" s="154"/>
      <c r="AN25" s="40"/>
      <c r="AO25" s="35"/>
      <c r="AQ25" s="328"/>
      <c r="AR25" s="36"/>
      <c r="AS25" s="154"/>
      <c r="AT25" s="40"/>
      <c r="AU25" s="35"/>
      <c r="AV25" s="35"/>
    </row>
    <row r="26" spans="1:48">
      <c r="A26" s="263" t="s">
        <v>37</v>
      </c>
      <c r="B26" s="337" t="s">
        <v>503</v>
      </c>
      <c r="C26" s="166" t="s">
        <v>1080</v>
      </c>
      <c r="D26" s="197">
        <v>252.75</v>
      </c>
      <c r="E26" s="166">
        <v>2401</v>
      </c>
      <c r="F26" s="338" t="s">
        <v>361</v>
      </c>
      <c r="G26" s="34" t="str">
        <f t="shared" si="1"/>
        <v>XI12 - AMARLENE SALLES DE OLIVEIRA TSAY</v>
      </c>
      <c r="H26" s="40">
        <v>41440</v>
      </c>
      <c r="I26" s="35">
        <v>83154.75</v>
      </c>
      <c r="J26" s="35" t="s">
        <v>834</v>
      </c>
      <c r="K26" s="35">
        <v>84188.51</v>
      </c>
      <c r="L26" s="170">
        <f t="shared" si="2"/>
        <v>1.0124317612643896</v>
      </c>
      <c r="M26" s="154">
        <v>162795.28</v>
      </c>
      <c r="N26" s="170">
        <f t="shared" si="0"/>
        <v>0.51714343315113309</v>
      </c>
      <c r="O26" s="170">
        <f t="shared" si="3"/>
        <v>0.55629423393647726</v>
      </c>
      <c r="P26" s="170">
        <f>IF(A26=$X$29,K26/(D26*Vendas!$U$25),IF(A26=$X$30,K26/(D26*Vendas!$U$26),IF(A26=$X$31,K26/(D26*Vendas!$U$27),IF(A26=$X$32,K26/(D26*Vendas!$U$28),IF(A26=$X$33,K26/(D26*Vendas!$U$29),IF(A26=$X$34,K26/(D26*Vendas!$U$30),IF(A26=$X$35,K26/(D26*Vendas!$U$31),IF(A26=$X$36,K26/(D26*Vendas!$U$32),0))))))))</f>
        <v>0.51272026702753137</v>
      </c>
      <c r="Q26" s="170">
        <f>IF(A26=$X$29,K26/(D26*Vendas!$U$25),IF(A26=$X$30,K26/(D26*Vendas!$U$26),IF(A26=$X$31,K26/(D26*Vendas!$U$27),IF(A26=$X$32,K26/(D26*Vendas!$U$28),IF(A26=$X$33,K26/(D26*Vendas!$U$29),IF(A26=$X$34,K26/(D26*Vendas!$U$30),IF(A26=$X$35,K26/(D26*Vendas!$U$31),IF(A26=$X$36,K26/(D26*Vendas!$U$32),0))))))))</f>
        <v>0.51272026702753137</v>
      </c>
      <c r="Y26" s="32"/>
      <c r="Z26" s="328"/>
      <c r="AA26" s="36"/>
      <c r="AB26" s="154"/>
      <c r="AC26" s="40"/>
      <c r="AD26" s="35"/>
      <c r="AE26" s="328"/>
      <c r="AF26" s="36"/>
      <c r="AG26" s="154"/>
      <c r="AH26" s="40"/>
      <c r="AI26" s="35"/>
      <c r="AK26" s="328"/>
      <c r="AL26" s="36"/>
      <c r="AM26" s="154"/>
      <c r="AN26" s="40"/>
      <c r="AO26" s="35"/>
      <c r="AQ26" s="328"/>
      <c r="AR26" s="36"/>
      <c r="AS26" s="154"/>
      <c r="AT26" s="40"/>
      <c r="AU26" s="35"/>
      <c r="AV26" s="35"/>
    </row>
    <row r="27" spans="1:48">
      <c r="A27" s="263" t="s">
        <v>37</v>
      </c>
      <c r="B27" s="337" t="s">
        <v>1075</v>
      </c>
      <c r="C27" s="73">
        <v>1</v>
      </c>
      <c r="D27" s="315">
        <v>343.7</v>
      </c>
      <c r="E27" s="166">
        <v>2496</v>
      </c>
      <c r="F27" s="74" t="s">
        <v>454</v>
      </c>
      <c r="G27" s="34" t="str">
        <f t="shared" si="1"/>
        <v>XI - A1THIAGO DE MENEZES CALDAS</v>
      </c>
      <c r="H27" s="40">
        <v>41433</v>
      </c>
      <c r="I27" s="35">
        <v>108554.21</v>
      </c>
      <c r="J27" s="35" t="s">
        <v>834</v>
      </c>
      <c r="K27" s="35">
        <v>101033.7</v>
      </c>
      <c r="L27" s="170">
        <f t="shared" si="2"/>
        <v>0.93072115765938501</v>
      </c>
      <c r="M27" s="154">
        <v>254780.04</v>
      </c>
      <c r="N27" s="170">
        <f t="shared" si="0"/>
        <v>0.39655264988576028</v>
      </c>
      <c r="O27" s="170">
        <f t="shared" si="3"/>
        <v>0.49094136419530282</v>
      </c>
      <c r="P27" s="170">
        <f>IF(A27=$X$29,K27/(D27*Vendas!$U$25),IF(A27=$X$30,K27/(D27*Vendas!$U$26),IF(A27=$X$31,K27/(D27*Vendas!$U$27),IF(A27=$X$32,K27/(D27*Vendas!$U$28),IF(A27=$X$33,K27/(D27*Vendas!$U$29),IF(A27=$X$34,K27/(D27*Vendas!$U$30),IF(A27=$X$35,K27/(D27*Vendas!$U$31),IF(A27=$X$36,K27/(D27*Vendas!$U$32),0))))))))</f>
        <v>0.45248642173382553</v>
      </c>
      <c r="Q27" s="170">
        <f>IF(A27=$X$29,K27/(D27*Vendas!$U$25),IF(A27=$X$30,K27/(D27*Vendas!$U$26),IF(A27=$X$31,K27/(D27*Vendas!$U$27),IF(A27=$X$32,K27/(D27*Vendas!$U$28),IF(A27=$X$33,K27/(D27*Vendas!$U$29),IF(A27=$X$34,K27/(D27*Vendas!$U$30),IF(A27=$X$35,K27/(D27*Vendas!$U$31),IF(A27=$X$36,K27/(D27*Vendas!$U$32),0))))))))</f>
        <v>0.45248642173382553</v>
      </c>
      <c r="Y27" s="32"/>
      <c r="Z27" s="328"/>
      <c r="AA27" s="36"/>
      <c r="AB27" s="154"/>
      <c r="AC27" s="40"/>
      <c r="AD27" s="35"/>
      <c r="AE27" s="328"/>
      <c r="AF27" s="36"/>
      <c r="AG27" s="154"/>
      <c r="AH27" s="40"/>
      <c r="AI27" s="35"/>
      <c r="AK27" s="328"/>
      <c r="AL27" s="36"/>
      <c r="AM27" s="154"/>
      <c r="AN27" s="40"/>
      <c r="AO27" s="35"/>
      <c r="AQ27" s="328"/>
      <c r="AR27" s="36"/>
      <c r="AS27" s="154"/>
      <c r="AT27" s="40"/>
      <c r="AU27" s="35"/>
    </row>
    <row r="28" spans="1:48" ht="16.5" customHeight="1">
      <c r="A28" s="263" t="s">
        <v>37</v>
      </c>
      <c r="B28" s="337" t="s">
        <v>1075</v>
      </c>
      <c r="C28" s="166">
        <v>2</v>
      </c>
      <c r="D28" s="197">
        <v>338.02</v>
      </c>
      <c r="E28" s="166">
        <v>2495</v>
      </c>
      <c r="F28" s="338" t="s">
        <v>454</v>
      </c>
      <c r="G28" s="34" t="str">
        <f t="shared" si="1"/>
        <v>XI - A2THIAGO DE MENEZES CALDAS</v>
      </c>
      <c r="H28" s="40">
        <v>41433</v>
      </c>
      <c r="I28" s="35">
        <v>106760.24</v>
      </c>
      <c r="J28" s="35" t="s">
        <v>834</v>
      </c>
      <c r="K28" s="35">
        <v>99364.84</v>
      </c>
      <c r="L28" s="170">
        <f t="shared" si="2"/>
        <v>0.93072889307854678</v>
      </c>
      <c r="M28" s="154">
        <v>253350.6</v>
      </c>
      <c r="N28" s="170">
        <f t="shared" si="0"/>
        <v>0.39220289985498352</v>
      </c>
      <c r="O28" s="170">
        <f t="shared" si="3"/>
        <v>0.4909454501824555</v>
      </c>
      <c r="P28" s="170">
        <f>IF(A28=$X$29,K28/(D28*Vendas!$U$25),IF(A28=$X$30,K28/(D28*Vendas!$U$26),IF(A28=$X$31,K28/(D28*Vendas!$U$27),IF(A28=$X$32,K28/(D28*Vendas!$U$28),IF(A28=$X$33,K28/(D28*Vendas!$U$29),IF(A28=$X$34,K28/(D28*Vendas!$U$30),IF(A28=$X$35,K28/(D28*Vendas!$U$31),IF(A28=$X$36,K28/(D28*Vendas!$U$32),0))))))))</f>
        <v>0.45249018766972088</v>
      </c>
      <c r="Q28" s="170">
        <f>IF(A28=$X$29,K28/(D28*Vendas!$U$25),IF(A28=$X$30,K28/(D28*Vendas!$U$26),IF(A28=$X$31,K28/(D28*Vendas!$U$27),IF(A28=$X$32,K28/(D28*Vendas!$U$28),IF(A28=$X$33,K28/(D28*Vendas!$U$29),IF(A28=$X$34,K28/(D28*Vendas!$U$30),IF(A28=$X$35,K28/(D28*Vendas!$U$31),IF(A28=$X$36,K28/(D28*Vendas!$U$32),0))))))))</f>
        <v>0.45249018766972088</v>
      </c>
      <c r="S28" s="196" t="s">
        <v>920</v>
      </c>
      <c r="T28" s="196" t="s">
        <v>921</v>
      </c>
      <c r="U28" s="196" t="s">
        <v>922</v>
      </c>
      <c r="V28" s="196" t="s">
        <v>923</v>
      </c>
      <c r="W28" s="196" t="s">
        <v>1044</v>
      </c>
      <c r="Y28" s="32"/>
      <c r="Z28" s="328"/>
      <c r="AA28" s="36"/>
      <c r="AB28" s="154"/>
      <c r="AC28" s="40"/>
      <c r="AD28" s="35"/>
      <c r="AE28" s="328"/>
      <c r="AF28" s="36"/>
      <c r="AG28" s="154"/>
      <c r="AH28" s="40"/>
      <c r="AI28" s="35"/>
    </row>
    <row r="29" spans="1:48">
      <c r="A29" s="263" t="s">
        <v>34</v>
      </c>
      <c r="B29" s="337" t="s">
        <v>504</v>
      </c>
      <c r="C29" s="73">
        <v>6</v>
      </c>
      <c r="D29" s="315">
        <v>252.75</v>
      </c>
      <c r="E29" s="166">
        <v>2579</v>
      </c>
      <c r="F29" s="74" t="s">
        <v>228</v>
      </c>
      <c r="G29" s="34" t="str">
        <f t="shared" si="1"/>
        <v>XIX6GMO EMPREENDIMENTOS E ASSESSORIA EMPRESARIAL LTDA</v>
      </c>
      <c r="H29" s="40">
        <v>41444</v>
      </c>
      <c r="I29" s="35">
        <v>90282.3</v>
      </c>
      <c r="J29" s="35" t="s">
        <v>834</v>
      </c>
      <c r="K29" s="35">
        <v>91401.97</v>
      </c>
      <c r="L29" s="170">
        <f t="shared" si="2"/>
        <v>1.0124018772228887</v>
      </c>
      <c r="M29" s="154">
        <v>177044.80000000002</v>
      </c>
      <c r="N29" s="170">
        <f t="shared" si="0"/>
        <v>0.51626464036221331</v>
      </c>
      <c r="O29" s="170">
        <f t="shared" si="3"/>
        <v>0.60395876921250757</v>
      </c>
      <c r="P29" s="170">
        <f>IF(A29=$X$29,K29/(D29*Vendas!$U$25),IF(A29=$X$30,K29/(D29*Vendas!$U$26),IF(A29=$X$31,K29/(D29*Vendas!$U$27),IF(A29=$X$32,K29/(D29*Vendas!$U$28),IF(A29=$X$33,K29/(D29*Vendas!$U$29),IF(A29=$X$34,K29/(D29*Vendas!$U$30),IF(A29=$X$35,K29/(D29*Vendas!$U$31),IF(A29=$X$36,K29/(D29*Vendas!$U$32),0))))))))</f>
        <v>0.57197692617213625</v>
      </c>
      <c r="Q29" s="170">
        <f>IF(A29=$X$29,K29/(D29*Vendas!$U$25),IF(A29=$X$30,K29/(D29*Vendas!$U$26),IF(A29=$X$31,K29/(D29*Vendas!$U$27),IF(A29=$X$32,K29/(D29*Vendas!$U$28),IF(A29=$X$33,K29/(D29*Vendas!$U$29),IF(A29=$X$34,K29/(D29*Vendas!$U$30),IF(A29=$X$35,K29/(D29*Vendas!$U$31),IF(A29=$X$36,K29/(D29*Vendas!$U$32),0))))))))</f>
        <v>0.57197692617213625</v>
      </c>
      <c r="R29" s="195" t="s">
        <v>924</v>
      </c>
      <c r="S29" s="196">
        <f>AVERAGEIF($A$4:$A$528,"LONDRINA [ETAPA 01 - AREAS EXTERNAS G1 - G5]",O4:O528)</f>
        <v>0.54881957273094817</v>
      </c>
      <c r="T29" s="466">
        <f>AVERAGEIF($A$4:$A$528,"LONDRINA [ETAPA 01 - AREAS EXTERNAS G1 - G5]",$P$4:$P$528)</f>
        <v>0.50583108850392866</v>
      </c>
      <c r="U29" s="234">
        <f>AVERAGEIF($A$4:$A$528,"LONDRINA [ETAPA 01 - AREAS EXTERNAS G1 - G5]",L4:L528)</f>
        <v>0.87559182248859813</v>
      </c>
      <c r="V29" s="234">
        <f>AVERAGEIF($A$4:$A$528,"LONDRINA [ETAPA 01 - AREAS EXTERNAS G1 - G5]",$N$4:$N$528)</f>
        <v>0.47812970497252577</v>
      </c>
      <c r="W29" s="234">
        <f t="shared" ref="W29:W36" si="7">AVERAGEIF($A$4:$A$528,X29,$Q$4:$Q$528)</f>
        <v>0.50583108850392866</v>
      </c>
      <c r="X29" t="s">
        <v>37</v>
      </c>
    </row>
    <row r="30" spans="1:48">
      <c r="A30" s="263" t="s">
        <v>34</v>
      </c>
      <c r="B30" s="337" t="s">
        <v>504</v>
      </c>
      <c r="C30" s="166">
        <v>7</v>
      </c>
      <c r="D30" s="197">
        <v>252.75</v>
      </c>
      <c r="E30" s="166">
        <v>2690</v>
      </c>
      <c r="F30" s="338" t="s">
        <v>228</v>
      </c>
      <c r="G30" s="34" t="str">
        <f t="shared" si="1"/>
        <v>XIX7GMO EMPREENDIMENTOS E ASSESSORIA EMPRESARIAL LTDA</v>
      </c>
      <c r="H30" s="40">
        <v>41447</v>
      </c>
      <c r="I30" s="35">
        <v>93846.07</v>
      </c>
      <c r="J30" s="35" t="s">
        <v>834</v>
      </c>
      <c r="K30" s="35">
        <v>96809.37</v>
      </c>
      <c r="L30" s="170">
        <f t="shared" si="2"/>
        <v>1.0315761757524848</v>
      </c>
      <c r="M30" s="154">
        <v>185667.61000000002</v>
      </c>
      <c r="N30" s="170">
        <f t="shared" si="0"/>
        <v>0.5214122700238345</v>
      </c>
      <c r="O30" s="170">
        <f t="shared" si="3"/>
        <v>0.6396893628598842</v>
      </c>
      <c r="P30" s="170">
        <f>IF(A30=$X$29,K30/(D30*Vendas!$U$25),IF(A30=$X$30,K30/(D30*Vendas!$U$26),IF(A30=$X$31,K30/(D30*Vendas!$U$27),IF(A30=$X$32,K30/(D30*Vendas!$U$28),IF(A30=$X$33,K30/(D30*Vendas!$U$29),IF(A30=$X$34,K30/(D30*Vendas!$U$30),IF(A30=$X$35,K30/(D30*Vendas!$U$31),IF(A30=$X$36,K30/(D30*Vendas!$U$32),0))))))))</f>
        <v>0.60581545318181895</v>
      </c>
      <c r="Q30" s="170">
        <f>IF(A30=$X$29,K30/(D30*Vendas!$U$25),IF(A30=$X$30,K30/(D30*Vendas!$U$26),IF(A30=$X$31,K30/(D30*Vendas!$U$27),IF(A30=$X$32,K30/(D30*Vendas!$U$28),IF(A30=$X$33,K30/(D30*Vendas!$U$29),IF(A30=$X$34,K30/(D30*Vendas!$U$30),IF(A30=$X$35,K30/(D30*Vendas!$U$31),IF(A30=$X$36,K30/(D30*Vendas!$U$32),0))))))))</f>
        <v>0.60581545318181895</v>
      </c>
      <c r="R30" s="195" t="s">
        <v>890</v>
      </c>
      <c r="S30" s="196">
        <f ca="1">AVERAGEIF($A$4:$A$528,"LONDRINA [ETAPA 01 - CONDOMINIO ARAÇARI]",O5:O528)</f>
        <v>0.59113671685819069</v>
      </c>
      <c r="T30" s="466">
        <f>AVERAGEIF($A$4:$A$528,"LONDRINA [ETAPA 01 - CONDOMINIO ARAÇARI]",$P$4:$P$528)</f>
        <v>0.56075413821645348</v>
      </c>
      <c r="U30" s="234">
        <f ca="1">AVERAGEIF($A$4:$A$528,"LONDRINA [ETAPA 01 - CONDOMINIO ARAÇARI]",L5:L528)</f>
        <v>0.84950325567757756</v>
      </c>
      <c r="V30" s="234">
        <f ca="1">AVERAGEIF($A$4:$A$528,"LONDRINA [ETAPA 01 - CONDOMINIO ARAÇARI]",$N$4:$N$477)</f>
        <v>0.49472513412703178</v>
      </c>
      <c r="W30" s="234">
        <f t="shared" si="7"/>
        <v>0.56075413821645348</v>
      </c>
      <c r="X30" t="s">
        <v>34</v>
      </c>
    </row>
    <row r="31" spans="1:48">
      <c r="A31" s="263" t="s">
        <v>34</v>
      </c>
      <c r="B31" s="337" t="s">
        <v>504</v>
      </c>
      <c r="C31" s="73">
        <v>9</v>
      </c>
      <c r="D31" s="315">
        <v>252.75</v>
      </c>
      <c r="E31" s="166">
        <v>2530</v>
      </c>
      <c r="F31" s="74" t="s">
        <v>327</v>
      </c>
      <c r="G31" s="34" t="str">
        <f t="shared" si="1"/>
        <v>XIX9MARCELO FELIX RAMPAZZO</v>
      </c>
      <c r="H31" s="40">
        <v>41441</v>
      </c>
      <c r="I31" s="35">
        <v>93846.07</v>
      </c>
      <c r="J31" s="35" t="s">
        <v>834</v>
      </c>
      <c r="K31" s="35">
        <v>95157.98</v>
      </c>
      <c r="L31" s="170">
        <f t="shared" si="2"/>
        <v>1.013979381342234</v>
      </c>
      <c r="M31" s="154">
        <v>181087.27</v>
      </c>
      <c r="N31" s="170">
        <f t="shared" si="0"/>
        <v>0.52548133284023779</v>
      </c>
      <c r="O31" s="170">
        <f t="shared" si="3"/>
        <v>0.62877743752731374</v>
      </c>
      <c r="P31" s="170">
        <f>IF(A31=$X$29,K31/(D31*Vendas!$U$25),IF(A31=$X$30,K31/(D31*Vendas!$U$26),IF(A31=$X$31,K31/(D31*Vendas!$U$27),IF(A31=$X$32,K31/(D31*Vendas!$U$28),IF(A31=$X$33,K31/(D31*Vendas!$U$29),IF(A31=$X$34,K31/(D31*Vendas!$U$30),IF(A31=$X$35,K31/(D31*Vendas!$U$31),IF(A31=$X$36,K31/(D31*Vendas!$U$32),0))))))))</f>
        <v>0.5954813545173</v>
      </c>
      <c r="Q31" s="170">
        <f>IF(A31=$X$29,K31/(D31*Vendas!$U$25),IF(A31=$X$30,K31/(D31*Vendas!$U$26),IF(A31=$X$31,K31/(D31*Vendas!$U$27),IF(A31=$X$32,K31/(D31*Vendas!$U$28),IF(A31=$X$33,K31/(D31*Vendas!$U$29),IF(A31=$X$34,K31/(D31*Vendas!$U$30),IF(A31=$X$35,K31/(D31*Vendas!$U$31),IF(A31=$X$36,K31/(D31*Vendas!$U$32),0))))))))</f>
        <v>0.5954813545173</v>
      </c>
      <c r="R31" s="195" t="s">
        <v>925</v>
      </c>
      <c r="S31" s="196">
        <f ca="1">AVERAGEIF($A$4:$A$528,"LONDRINA [ETAPA 02 - AREAS EXTERNAS G2 - G6]",O6:O528)</f>
        <v>0.60802843583804889</v>
      </c>
      <c r="T31" s="466">
        <f>AVERAGEIF($A$4:$A$528,"LONDRINA [ETAPA 02 - AREAS EXTERNAS G2 - G6]",$P$4:$P$528)</f>
        <v>0.56833713765213212</v>
      </c>
      <c r="U31" s="234">
        <f ca="1">AVERAGEIF($A$4:$A$528,"LONDRINA [ETAPA 02 - AREAS EXTERNAS G2 - G6]",L6:L528)</f>
        <v>0.99108714965343236</v>
      </c>
      <c r="V31" s="234">
        <f>AVERAGEIF($A$4:$A$477,"LONDRINA [ETAPA 02 - AREAS EXTERNAS G2 - G6]",$N$4:$N$528)</f>
        <v>0.57359018715464705</v>
      </c>
      <c r="W31" s="234">
        <f t="shared" si="7"/>
        <v>0.56833713765213212</v>
      </c>
      <c r="X31" t="s">
        <v>38</v>
      </c>
    </row>
    <row r="32" spans="1:48">
      <c r="A32" s="263" t="s">
        <v>34</v>
      </c>
      <c r="B32" s="337" t="s">
        <v>504</v>
      </c>
      <c r="C32" s="166">
        <v>10</v>
      </c>
      <c r="D32" s="197">
        <v>252.75</v>
      </c>
      <c r="E32" s="166">
        <v>2340</v>
      </c>
      <c r="F32" s="338" t="s">
        <v>332</v>
      </c>
      <c r="G32" s="34" t="str">
        <f t="shared" si="1"/>
        <v>XIX10MARCELO RIBEIRO DA CRUZ</v>
      </c>
      <c r="H32" s="40">
        <v>41439</v>
      </c>
      <c r="I32" s="35">
        <v>93846.07</v>
      </c>
      <c r="J32" s="35" t="s">
        <v>834</v>
      </c>
      <c r="K32" s="35">
        <v>19968.16</v>
      </c>
      <c r="L32" s="170">
        <f t="shared" si="2"/>
        <v>0.21277566551268473</v>
      </c>
      <c r="M32" s="154">
        <v>73704.240000000005</v>
      </c>
      <c r="N32" s="170">
        <f t="shared" si="0"/>
        <v>0.27092281258174561</v>
      </c>
      <c r="O32" s="170">
        <f t="shared" si="3"/>
        <v>0.13194404165510246</v>
      </c>
      <c r="P32" s="170">
        <f>IF(A32=$X$29,K32/(D32*Vendas!$U$25),IF(A32=$X$30,K32/(D32*Vendas!$U$26),IF(A32=$X$31,K32/(D32*Vendas!$U$27),IF(A32=$X$32,K32/(D32*Vendas!$U$28),IF(A32=$X$33,K32/(D32*Vendas!$U$29),IF(A32=$X$34,K32/(D32*Vendas!$U$30),IF(A32=$X$35,K32/(D32*Vendas!$U$31),IF(A32=$X$36,K32/(D32*Vendas!$U$32),0))))))))</f>
        <v>0.12495711829967565</v>
      </c>
      <c r="Q32" s="170">
        <f>IF(A32=$X$29,K32/(D32*Vendas!$U$25),IF(A32=$X$30,K32/(D32*Vendas!$U$26),IF(A32=$X$31,K32/(D32*Vendas!$U$27),IF(A32=$X$32,K32/(D32*Vendas!$U$28),IF(A32=$X$33,K32/(D32*Vendas!$U$29),IF(A32=$X$34,K32/(D32*Vendas!$U$30),IF(A32=$X$35,K32/(D32*Vendas!$U$31),IF(A32=$X$36,K32/(D32*Vendas!$U$32),0))))))))</f>
        <v>0.12495711829967565</v>
      </c>
      <c r="R32" s="195" t="s">
        <v>892</v>
      </c>
      <c r="S32" s="196">
        <f ca="1">AVERAGEIF($A$4:$A$528,"LONDRINA [ETAPA 02 - CONDOMINIO TANGARA]",O7:O528)</f>
        <v>0.69735899864190953</v>
      </c>
      <c r="T32" s="466" t="e">
        <f>AVERAGEIF($A$4:$A$528,"LONDRINA [ETAPA 02 - CONDOMINIO TANGARA]",$P$4:$P$528)</f>
        <v>#DIV/0!</v>
      </c>
      <c r="U32" s="234">
        <f ca="1">AVERAGEIF($A$4:$A$528,"LONDRINA [ETAPA 02 - CONDOMINIO TANGARA]",L7:L528)</f>
        <v>0.99625910805482942</v>
      </c>
      <c r="V32" s="234">
        <f>AVERAGEIF($A$4:$A$528,"LONDRINA [ETAPA 02 - CONDOMINIO TANGARA]",$N$4:$N$528)</f>
        <v>0.57873975281413748</v>
      </c>
      <c r="W32" s="234" t="e">
        <f t="shared" si="7"/>
        <v>#DIV/0!</v>
      </c>
      <c r="X32" t="s">
        <v>35</v>
      </c>
    </row>
    <row r="33" spans="1:24">
      <c r="A33" s="263" t="s">
        <v>34</v>
      </c>
      <c r="B33" s="337" t="s">
        <v>504</v>
      </c>
      <c r="C33" s="73">
        <v>15</v>
      </c>
      <c r="D33" s="315">
        <v>252.75</v>
      </c>
      <c r="E33" s="166">
        <v>2711</v>
      </c>
      <c r="F33" s="74" t="s">
        <v>426</v>
      </c>
      <c r="G33" s="34" t="str">
        <f t="shared" si="1"/>
        <v>XIX15ROSICLER RODINI MASIRONI</v>
      </c>
      <c r="H33" s="40">
        <v>41484</v>
      </c>
      <c r="I33" s="35">
        <v>90282.3</v>
      </c>
      <c r="J33" s="35" t="s">
        <v>834</v>
      </c>
      <c r="K33" s="35">
        <v>88492.22</v>
      </c>
      <c r="L33" s="170">
        <f t="shared" si="2"/>
        <v>0.98017241474796279</v>
      </c>
      <c r="M33" s="154">
        <v>173433.61000000002</v>
      </c>
      <c r="N33" s="170">
        <f t="shared" si="0"/>
        <v>0.51023685662773199</v>
      </c>
      <c r="O33" s="170">
        <f t="shared" si="3"/>
        <v>0.58473195135818679</v>
      </c>
      <c r="P33" s="170">
        <f>IF(A33=$X$29,K33/(D33*Vendas!$U$25),IF(A33=$X$30,K33/(D33*Vendas!$U$26),IF(A33=$X$31,K33/(D33*Vendas!$U$27),IF(A33=$X$32,K33/(D33*Vendas!$U$28),IF(A33=$X$33,K33/(D33*Vendas!$U$29),IF(A33=$X$34,K33/(D33*Vendas!$U$30),IF(A33=$X$35,K33/(D33*Vendas!$U$31),IF(A33=$X$36,K33/(D33*Vendas!$U$32),0))))))))</f>
        <v>0.55376823919384277</v>
      </c>
      <c r="Q33" s="170">
        <f>IF(A33=$X$29,K33/(D33*Vendas!$U$25),IF(A33=$X$30,K33/(D33*Vendas!$U$26),IF(A33=$X$31,K33/(D33*Vendas!$U$27),IF(A33=$X$32,K33/(D33*Vendas!$U$28),IF(A33=$X$33,K33/(D33*Vendas!$U$29),IF(A33=$X$34,K33/(D33*Vendas!$U$30),IF(A33=$X$35,K33/(D33*Vendas!$U$31),IF(A33=$X$36,K33/(D33*Vendas!$U$32),0))))))))</f>
        <v>0.55376823919384277</v>
      </c>
      <c r="R33" s="195" t="s">
        <v>926</v>
      </c>
      <c r="S33" s="196">
        <f ca="1">AVERAGEIF($A$4:$A$528,"LONDRINA [ETAPA 03 - AREAS EXTERNAS G3 - G7]",O8:O528)</f>
        <v>0.7474207734517414</v>
      </c>
      <c r="T33" s="466">
        <f>AVERAGEIF($A$4:$A$528,"LONDRINA [ETAPA 03 - AREAS EXTERNAS G3 - G7]",$P$4:$P$528)</f>
        <v>0.67680370337853357</v>
      </c>
      <c r="U33" s="234">
        <f ca="1">AVERAGEIF($A$4:$A$528,"LONDRINA [ETAPA 03 - AREAS EXTERNAS G3 - G7]",L8:L528)</f>
        <v>0.98215854656694335</v>
      </c>
      <c r="V33" s="234">
        <f>AVERAGEIF($A$4:$A$528,"LONDRINA [ETAPA 03 - AREAS EXTERNAS G3 - G7]",$N$4:$N$528)</f>
        <v>0.60640753234565736</v>
      </c>
      <c r="W33" s="234">
        <f t="shared" si="7"/>
        <v>0.67680370337853357</v>
      </c>
      <c r="X33" t="s">
        <v>36</v>
      </c>
    </row>
    <row r="34" spans="1:24">
      <c r="A34" s="263" t="s">
        <v>34</v>
      </c>
      <c r="B34" s="337" t="s">
        <v>504</v>
      </c>
      <c r="C34" s="166">
        <v>17</v>
      </c>
      <c r="D34" s="197">
        <v>252.75</v>
      </c>
      <c r="E34" s="166">
        <v>2343</v>
      </c>
      <c r="F34" s="338" t="s">
        <v>81</v>
      </c>
      <c r="G34" s="34" t="str">
        <f t="shared" si="1"/>
        <v>XIX17ANTONIO ROBERTO DE MORAES</v>
      </c>
      <c r="H34" s="40">
        <v>41439</v>
      </c>
      <c r="I34" s="35">
        <v>90282.3</v>
      </c>
      <c r="J34" s="35" t="s">
        <v>834</v>
      </c>
      <c r="K34" s="35">
        <v>91608.59</v>
      </c>
      <c r="L34" s="170">
        <f t="shared" si="2"/>
        <v>1.0146904764278268</v>
      </c>
      <c r="M34" s="154">
        <v>177822.37</v>
      </c>
      <c r="N34" s="170">
        <f t="shared" si="0"/>
        <v>0.51516909824112678</v>
      </c>
      <c r="O34" s="170">
        <f t="shared" si="3"/>
        <v>0.605324056644438</v>
      </c>
      <c r="P34" s="170">
        <f>IF(A34=$X$29,K34/(D34*Vendas!$U$25),IF(A34=$X$30,K34/(D34*Vendas!$U$26),IF(A34=$X$31,K34/(D34*Vendas!$U$27),IF(A34=$X$32,K34/(D34*Vendas!$U$28),IF(A34=$X$33,K34/(D34*Vendas!$U$29),IF(A34=$X$34,K34/(D34*Vendas!$U$30),IF(A34=$X$35,K34/(D34*Vendas!$U$31),IF(A34=$X$36,K34/(D34*Vendas!$U$32),0))))))))</f>
        <v>0.57326991660205462</v>
      </c>
      <c r="Q34" s="170">
        <f>IF(A34=$X$29,K34/(D34*Vendas!$U$25),IF(A34=$X$30,K34/(D34*Vendas!$U$26),IF(A34=$X$31,K34/(D34*Vendas!$U$27),IF(A34=$X$32,K34/(D34*Vendas!$U$28),IF(A34=$X$33,K34/(D34*Vendas!$U$29),IF(A34=$X$34,K34/(D34*Vendas!$U$30),IF(A34=$X$35,K34/(D34*Vendas!$U$31),IF(A34=$X$36,K34/(D34*Vendas!$U$32),0))))))))</f>
        <v>0.57326991660205462</v>
      </c>
      <c r="R34" s="195" t="s">
        <v>894</v>
      </c>
      <c r="S34" s="196">
        <f ca="1">AVERAGEIF($A$4:$A$528,"LONDRINA [ETAPA 03 - CONDOMINIO ARANGUA]",O9:O528)</f>
        <v>0.7820875429082027</v>
      </c>
      <c r="T34" s="466">
        <f>AVERAGEIF($A$4:$A$528,"LONDRINA [ETAPA 03 - CONDOMINIO ARANGUA]",$P$4:$P$528)</f>
        <v>0.78303404408865485</v>
      </c>
      <c r="U34" s="234">
        <f ca="1">AVERAGEIF($A$4:$A$528,"LONDRINA [ETAPA 03 - CONDOMINIO ARANGUA]",L9:L528)</f>
        <v>0.89635393380630624</v>
      </c>
      <c r="V34" s="234">
        <f>AVERAGEIF($A$4:$A$528,"LONDRINA [ETAPA 03 - CONDOMINIO ARANGUA]",$N$4:$N$528)</f>
        <v>0.64064183327503488</v>
      </c>
      <c r="W34" s="234">
        <f t="shared" si="7"/>
        <v>0.78303404408865485</v>
      </c>
      <c r="X34" t="s">
        <v>33</v>
      </c>
    </row>
    <row r="35" spans="1:24">
      <c r="A35" s="263" t="s">
        <v>34</v>
      </c>
      <c r="B35" s="337" t="s">
        <v>504</v>
      </c>
      <c r="C35" s="73">
        <v>18</v>
      </c>
      <c r="D35" s="315">
        <v>252.75</v>
      </c>
      <c r="E35" s="166">
        <v>2344</v>
      </c>
      <c r="F35" s="74" t="s">
        <v>176</v>
      </c>
      <c r="G35" s="34" t="str">
        <f t="shared" si="1"/>
        <v>XIX18ELAINE LOMBARDI</v>
      </c>
      <c r="H35" s="40">
        <v>41444</v>
      </c>
      <c r="I35" s="35">
        <v>90282.3</v>
      </c>
      <c r="J35" s="35" t="s">
        <v>834</v>
      </c>
      <c r="K35" s="35">
        <v>91711.66</v>
      </c>
      <c r="L35" s="170">
        <f t="shared" si="2"/>
        <v>1.0158321177019194</v>
      </c>
      <c r="M35" s="154">
        <v>179869.09</v>
      </c>
      <c r="N35" s="170">
        <f t="shared" si="0"/>
        <v>0.50988004664948272</v>
      </c>
      <c r="O35" s="170">
        <f t="shared" si="3"/>
        <v>0.60600511450722516</v>
      </c>
      <c r="P35" s="170">
        <f>IF(A35=$X$29,K35/(D35*Vendas!$U$25),IF(A35=$X$30,K35/(D35*Vendas!$U$26),IF(A35=$X$31,K35/(D35*Vendas!$U$27),IF(A35=$X$32,K35/(D35*Vendas!$U$28),IF(A35=$X$33,K35/(D35*Vendas!$U$29),IF(A35=$X$34,K35/(D35*Vendas!$U$30),IF(A35=$X$35,K35/(D35*Vendas!$U$31),IF(A35=$X$36,K35/(D35*Vendas!$U$32),0))))))))</f>
        <v>0.57391490994060701</v>
      </c>
      <c r="Q35" s="170">
        <f>IF(A35=$X$29,K35/(D35*Vendas!$U$25),IF(A35=$X$30,K35/(D35*Vendas!$U$26),IF(A35=$X$31,K35/(D35*Vendas!$U$27),IF(A35=$X$32,K35/(D35*Vendas!$U$28),IF(A35=$X$33,K35/(D35*Vendas!$U$29),IF(A35=$X$34,K35/(D35*Vendas!$U$30),IF(A35=$X$35,K35/(D35*Vendas!$U$31),IF(A35=$X$36,K35/(D35*Vendas!$U$32),0))))))))</f>
        <v>0.57391490994060701</v>
      </c>
      <c r="R35" s="195" t="s">
        <v>927</v>
      </c>
      <c r="S35" s="196">
        <f ca="1">AVERAGEIF($A$4:$A$528,"LONDRINA [ETAPA 04 - AREAS EXTERNAS G4 - G8]",O10:O528)</f>
        <v>0.59993227896356149</v>
      </c>
      <c r="T35" s="466">
        <f>AVERAGEIF($A$4:$A$528,"LONDRINA [ETAPA 04 - AREAS EXTERNAS G4 - G8]",$P$4:$P$528)</f>
        <v>0.69625166031804342</v>
      </c>
      <c r="U35" s="234">
        <f ca="1">AVERAGEIF($A$4:$A$528,"LONDRINA [ETAPA 04 - AREAS EXTERNAS G4 - G8]",L10:L528)</f>
        <v>0.86854725584060333</v>
      </c>
      <c r="V35" s="234">
        <f>AVERAGEIF($A$4:$A$528,"LONDRINA [ETAPA 04 - AREAS EXTERNAS G4 - G8]",$N$4:$N$528)</f>
        <v>0.75794519856428788</v>
      </c>
      <c r="W35" s="234">
        <f t="shared" si="7"/>
        <v>0.69625166031804342</v>
      </c>
      <c r="X35" t="s">
        <v>612</v>
      </c>
    </row>
    <row r="36" spans="1:24">
      <c r="A36" s="263" t="s">
        <v>34</v>
      </c>
      <c r="B36" s="337" t="s">
        <v>505</v>
      </c>
      <c r="C36" s="166">
        <v>1</v>
      </c>
      <c r="D36" s="197">
        <v>310.73</v>
      </c>
      <c r="E36" s="166">
        <v>2791</v>
      </c>
      <c r="F36" s="338" t="s">
        <v>222</v>
      </c>
      <c r="G36" s="34" t="str">
        <f t="shared" si="1"/>
        <v>XXI1GIELE ROSA ALVES</v>
      </c>
      <c r="H36" s="40">
        <v>41506</v>
      </c>
      <c r="I36" s="35">
        <v>123085.12</v>
      </c>
      <c r="J36" s="35" t="s">
        <v>1250</v>
      </c>
      <c r="K36" s="35">
        <v>166290.83000000002</v>
      </c>
      <c r="L36" s="170">
        <f t="shared" si="2"/>
        <v>1.3510230156171601</v>
      </c>
      <c r="M36" s="154">
        <v>218805.79</v>
      </c>
      <c r="N36" s="170">
        <f t="shared" si="0"/>
        <v>0.75999282285902947</v>
      </c>
      <c r="O36" s="170">
        <f t="shared" si="3"/>
        <v>0.89377461442132089</v>
      </c>
      <c r="P36" s="170">
        <f>IF(A36=$X$29,K36/(D36*Vendas!$U$25),IF(A36=$X$30,K36/(D36*Vendas!$U$26),IF(A36=$X$31,K36/(D36*Vendas!$U$27),IF(A36=$X$32,K36/(D36*Vendas!$U$28),IF(A36=$X$33,K36/(D36*Vendas!$U$29),IF(A36=$X$34,K36/(D36*Vendas!$U$30),IF(A36=$X$35,K36/(D36*Vendas!$U$31),IF(A36=$X$36,K36/(D36*Vendas!$U$32),0))))))))</f>
        <v>0.84644595410703838</v>
      </c>
      <c r="Q36" s="170">
        <f>IF(A36=$X$29,K36/(D36*Vendas!$U$25),IF(A36=$X$30,K36/(D36*Vendas!$U$26),IF(A36=$X$31,K36/(D36*Vendas!$U$27),IF(A36=$X$32,K36/(D36*Vendas!$U$28),IF(A36=$X$33,K36/(D36*Vendas!$U$29),IF(A36=$X$34,K36/(D36*Vendas!$U$30),IF(A36=$X$35,K36/(D36*Vendas!$U$31),IF(A36=$X$36,K36/(D36*Vendas!$U$32),0))))))))</f>
        <v>0.84644595410703838</v>
      </c>
      <c r="R36" s="195" t="s">
        <v>896</v>
      </c>
      <c r="S36" s="196">
        <f>AVERAGEIF($A$4:$A$528,"LONDRINA [ETAPA 04 - CONDOMINIO ARAGUARI]",O4:O528)</f>
        <v>0.68357048220226635</v>
      </c>
      <c r="T36" s="466">
        <f>AVERAGEIF($A$4:$A$528,"LONDRINA [ETAPA 04 - CONDOMINIO ARAGUARI]",$P$4:$P$528)</f>
        <v>0.79981336922737667</v>
      </c>
      <c r="U36" s="234">
        <f>AVERAGEIF($A$4:$A$528,"LONDRINA [ETAPA 04 - CONDOMINIO ARAGUARI]",L4:L528)</f>
        <v>0.78409799620012932</v>
      </c>
      <c r="V36" s="234">
        <f>AVERAGEIF($A$4:$A$528,"LONDRINA [ETAPA 04 - CONDOMINIO ARAGUARI]",$N$4:$N$528)</f>
        <v>0.72179084843765595</v>
      </c>
      <c r="W36" s="234">
        <f t="shared" si="7"/>
        <v>0.79981336922737667</v>
      </c>
      <c r="X36" t="s">
        <v>878</v>
      </c>
    </row>
    <row r="37" spans="1:24">
      <c r="A37" s="263" t="s">
        <v>34</v>
      </c>
      <c r="B37" s="337" t="s">
        <v>505</v>
      </c>
      <c r="C37" s="73">
        <v>4</v>
      </c>
      <c r="D37" s="315">
        <v>256.74</v>
      </c>
      <c r="E37" s="166">
        <v>4732</v>
      </c>
      <c r="F37" s="74" t="s">
        <v>1255</v>
      </c>
      <c r="G37" s="34" t="str">
        <f t="shared" si="1"/>
        <v>XXI4ELCIO LUIZ DOS SANTOS</v>
      </c>
      <c r="H37" s="40">
        <v>44046</v>
      </c>
      <c r="I37" s="35">
        <v>149460</v>
      </c>
      <c r="J37" s="35" t="s">
        <v>834</v>
      </c>
      <c r="K37" s="35">
        <v>136100</v>
      </c>
      <c r="L37" s="170">
        <f t="shared" si="2"/>
        <v>0.91061153485882507</v>
      </c>
      <c r="M37" s="154">
        <v>149460</v>
      </c>
      <c r="N37" s="170">
        <f t="shared" si="0"/>
        <v>0.91061153485882507</v>
      </c>
      <c r="O37" s="170">
        <f t="shared" si="3"/>
        <v>0.88533470280895865</v>
      </c>
      <c r="P37" s="170">
        <f>IF(A37=$X$29,K37/(D37*Vendas!$U$25),IF(A37=$X$30,K37/(D37*Vendas!$U$26),IF(A37=$X$31,K37/(D37*Vendas!$U$27),IF(A37=$X$32,K37/(D37*Vendas!$U$28),IF(A37=$X$33,K37/(D37*Vendas!$U$29),IF(A37=$X$34,K37/(D37*Vendas!$U$30),IF(A37=$X$35,K37/(D37*Vendas!$U$31),IF(A37=$X$36,K37/(D37*Vendas!$U$32),0))))))))</f>
        <v>0.83845296692432414</v>
      </c>
      <c r="Q37" s="170">
        <f>IF(A37=$X$29,K37/(D37*Vendas!$U$25),IF(A37=$X$30,K37/(D37*Vendas!$U$26),IF(A37=$X$31,K37/(D37*Vendas!$U$27),IF(A37=$X$32,K37/(D37*Vendas!$U$28),IF(A37=$X$33,K37/(D37*Vendas!$U$29),IF(A37=$X$34,K37/(D37*Vendas!$U$30),IF(A37=$X$35,K37/(D37*Vendas!$U$31),IF(A37=$X$36,K37/(D37*Vendas!$U$32),0))))))))</f>
        <v>0.83845296692432414</v>
      </c>
      <c r="S37" s="198">
        <f ca="1">AVERAGE(S29:S36)</f>
        <v>0.65729435019935856</v>
      </c>
      <c r="T37" s="198" t="e">
        <f>AVERAGE(T29:T36)</f>
        <v>#DIV/0!</v>
      </c>
      <c r="U37" s="198">
        <f ca="1">AVERAGE(U29:U36)</f>
        <v>0.90544988353605249</v>
      </c>
      <c r="V37" s="198">
        <f ca="1">AVERAGE(V29:V36)</f>
        <v>0.60649627396137218</v>
      </c>
      <c r="W37" s="198" t="e">
        <f>AVERAGE(W29:W36)</f>
        <v>#DIV/0!</v>
      </c>
    </row>
    <row r="38" spans="1:24">
      <c r="A38" s="263" t="s">
        <v>34</v>
      </c>
      <c r="B38" s="337" t="s">
        <v>505</v>
      </c>
      <c r="C38" s="166">
        <v>10</v>
      </c>
      <c r="D38" s="197">
        <v>256.74</v>
      </c>
      <c r="E38" s="166">
        <v>2298</v>
      </c>
      <c r="F38" s="338" t="s">
        <v>383</v>
      </c>
      <c r="G38" s="34" t="str">
        <f t="shared" si="1"/>
        <v>XXI10NILSON DE SOUZA FARIA</v>
      </c>
      <c r="H38" s="40">
        <v>41447</v>
      </c>
      <c r="I38" s="35">
        <v>98947.6</v>
      </c>
      <c r="J38" s="35" t="s">
        <v>834</v>
      </c>
      <c r="K38" s="35">
        <v>100654.6</v>
      </c>
      <c r="L38" s="170">
        <f t="shared" si="2"/>
        <v>1.0172515553687003</v>
      </c>
      <c r="M38" s="154">
        <v>241973.09</v>
      </c>
      <c r="N38" s="170">
        <f t="shared" si="0"/>
        <v>0.41597435483425038</v>
      </c>
      <c r="O38" s="170">
        <f t="shared" si="3"/>
        <v>0.65476128124433963</v>
      </c>
      <c r="P38" s="170">
        <f>IF(A38=$X$29,K38/(D38*Vendas!$U$25),IF(A38=$X$30,K38/(D38*Vendas!$U$26),IF(A38=$X$31,K38/(D38*Vendas!$U$27),IF(A38=$X$32,K38/(D38*Vendas!$U$28),IF(A38=$X$33,K38/(D38*Vendas!$U$29),IF(A38=$X$34,K38/(D38*Vendas!$U$30),IF(A38=$X$35,K38/(D38*Vendas!$U$31),IF(A38=$X$36,K38/(D38*Vendas!$U$32),0))))))))</f>
        <v>0.62008925793226366</v>
      </c>
      <c r="Q38" s="170">
        <f>IF(A38=$X$29,K38/(D38*Vendas!$U$25),IF(A38=$X$30,K38/(D38*Vendas!$U$26),IF(A38=$X$31,K38/(D38*Vendas!$U$27),IF(A38=$X$32,K38/(D38*Vendas!$U$28),IF(A38=$X$33,K38/(D38*Vendas!$U$29),IF(A38=$X$34,K38/(D38*Vendas!$U$30),IF(A38=$X$35,K38/(D38*Vendas!$U$31),IF(A38=$X$36,K38/(D38*Vendas!$U$32),0))))))))</f>
        <v>0.62008925793226366</v>
      </c>
      <c r="S38" s="198">
        <f>O3</f>
        <v>0.67564175996621867</v>
      </c>
      <c r="T38" s="198" t="e">
        <f>P3</f>
        <v>#DIV/0!</v>
      </c>
      <c r="U38" s="198">
        <f>L3</f>
        <v>0.89987418621175508</v>
      </c>
      <c r="V38" s="198">
        <f>N3</f>
        <v>0.60756806754147452</v>
      </c>
      <c r="W38" s="198">
        <f>O3</f>
        <v>0.67564175996621867</v>
      </c>
    </row>
    <row r="39" spans="1:24">
      <c r="A39" s="263" t="s">
        <v>34</v>
      </c>
      <c r="B39" s="337" t="s">
        <v>505</v>
      </c>
      <c r="C39" s="73">
        <v>17</v>
      </c>
      <c r="D39" s="315">
        <v>256.74</v>
      </c>
      <c r="E39" s="166">
        <v>2500</v>
      </c>
      <c r="F39" s="74" t="s">
        <v>625</v>
      </c>
      <c r="G39" s="34" t="str">
        <f t="shared" si="1"/>
        <v>XXI17NILTON CESAR BONINI</v>
      </c>
      <c r="H39" s="40">
        <v>41447</v>
      </c>
      <c r="I39" s="35">
        <v>96534.24</v>
      </c>
      <c r="J39" s="35" t="s">
        <v>834</v>
      </c>
      <c r="K39" s="35">
        <v>4188.08</v>
      </c>
      <c r="L39" s="170">
        <f t="shared" si="2"/>
        <v>4.338439915205216E-2</v>
      </c>
      <c r="M39" s="154">
        <v>115469.6</v>
      </c>
      <c r="N39" s="170">
        <f t="shared" si="0"/>
        <v>3.6269979284590921E-2</v>
      </c>
      <c r="O39" s="170">
        <f t="shared" si="3"/>
        <v>2.7243589729170785E-2</v>
      </c>
      <c r="P39" s="170">
        <f>IF(A39=$X$29,K39/(D39*Vendas!$U$25),IF(A39=$X$30,K39/(D39*Vendas!$U$26),IF(A39=$X$31,K39/(D39*Vendas!$U$27),IF(A39=$X$32,K39/(D39*Vendas!$U$28),IF(A39=$X$33,K39/(D39*Vendas!$U$29),IF(A39=$X$34,K39/(D39*Vendas!$U$30),IF(A39=$X$35,K39/(D39*Vendas!$U$31),IF(A39=$X$36,K39/(D39*Vendas!$U$32),0))))))))</f>
        <v>2.580094123230289E-2</v>
      </c>
      <c r="Q39" s="170">
        <f>IF(A39=$X$29,K39/(D39*Vendas!$U$25),IF(A39=$X$30,K39/(D39*Vendas!$U$26),IF(A39=$X$31,K39/(D39*Vendas!$U$27),IF(A39=$X$32,K39/(D39*Vendas!$U$28),IF(A39=$X$33,K39/(D39*Vendas!$U$29),IF(A39=$X$34,K39/(D39*Vendas!$U$30),IF(A39=$X$35,K39/(D39*Vendas!$U$31),IF(A39=$X$36,K39/(D39*Vendas!$U$32),0))))))))</f>
        <v>2.580094123230289E-2</v>
      </c>
    </row>
    <row r="40" spans="1:24">
      <c r="A40" s="263" t="s">
        <v>34</v>
      </c>
      <c r="B40" s="337" t="s">
        <v>505</v>
      </c>
      <c r="C40" s="166">
        <v>21</v>
      </c>
      <c r="D40" s="197">
        <v>372.98</v>
      </c>
      <c r="E40" s="166">
        <v>2802</v>
      </c>
      <c r="F40" s="338" t="s">
        <v>206</v>
      </c>
      <c r="G40" s="34" t="str">
        <f t="shared" si="1"/>
        <v>XXI21FABIO HENRIQUE VILLAS BOAS</v>
      </c>
      <c r="H40" s="40">
        <v>41527</v>
      </c>
      <c r="I40" s="35">
        <v>126216.42</v>
      </c>
      <c r="J40" s="35" t="s">
        <v>834</v>
      </c>
      <c r="K40" s="35">
        <v>65656.72</v>
      </c>
      <c r="L40" s="170">
        <f t="shared" si="2"/>
        <v>0.520191588384459</v>
      </c>
      <c r="M40" s="154">
        <v>179755.38</v>
      </c>
      <c r="N40" s="170">
        <f t="shared" si="0"/>
        <v>0.36525593837580828</v>
      </c>
      <c r="O40" s="170">
        <f t="shared" si="3"/>
        <v>0.29399269391073857</v>
      </c>
      <c r="P40" s="170">
        <f>IF(A40=$X$29,K40/(D40*Vendas!$U$25),IF(A40=$X$30,K40/(D40*Vendas!$U$26),IF(A40=$X$31,K40/(D40*Vendas!$U$27),IF(A40=$X$32,K40/(D40*Vendas!$U$28),IF(A40=$X$33,K40/(D40*Vendas!$U$29),IF(A40=$X$34,K40/(D40*Vendas!$U$30),IF(A40=$X$35,K40/(D40*Vendas!$U$31),IF(A40=$X$36,K40/(D40*Vendas!$U$32),0))))))))</f>
        <v>0.27842469710206769</v>
      </c>
      <c r="Q40" s="170">
        <f>IF(A40=$X$29,K40/(D40*Vendas!$U$25),IF(A40=$X$30,K40/(D40*Vendas!$U$26),IF(A40=$X$31,K40/(D40*Vendas!$U$27),IF(A40=$X$32,K40/(D40*Vendas!$U$28),IF(A40=$X$33,K40/(D40*Vendas!$U$29),IF(A40=$X$34,K40/(D40*Vendas!$U$30),IF(A40=$X$35,K40/(D40*Vendas!$U$31),IF(A40=$X$36,K40/(D40*Vendas!$U$32),0))))))))</f>
        <v>0.27842469710206769</v>
      </c>
    </row>
    <row r="41" spans="1:24">
      <c r="A41" s="263" t="s">
        <v>34</v>
      </c>
      <c r="B41" s="337" t="s">
        <v>505</v>
      </c>
      <c r="C41" s="73">
        <v>30</v>
      </c>
      <c r="D41" s="315">
        <v>261.70999999999998</v>
      </c>
      <c r="E41" s="166">
        <v>2365</v>
      </c>
      <c r="F41" s="74" t="s">
        <v>82</v>
      </c>
      <c r="G41" s="34" t="str">
        <f t="shared" si="1"/>
        <v>XXI30ANTONIO SERGIO BARROTTI RODELLA</v>
      </c>
      <c r="H41" s="40">
        <v>41439</v>
      </c>
      <c r="I41" s="35">
        <v>95942.89</v>
      </c>
      <c r="J41" s="35" t="s">
        <v>1250</v>
      </c>
      <c r="K41" s="35">
        <v>222434.02000000002</v>
      </c>
      <c r="L41" s="170">
        <f t="shared" si="2"/>
        <v>2.3184002483143882</v>
      </c>
      <c r="M41" s="154">
        <v>256953.86000000002</v>
      </c>
      <c r="N41" s="170">
        <f t="shared" si="0"/>
        <v>0.86565743748702595</v>
      </c>
      <c r="O41" s="170">
        <f t="shared" si="3"/>
        <v>1.4194620724120375</v>
      </c>
      <c r="P41" s="170">
        <f>IF(A41=$X$29,K41/(D41*Vendas!$U$25),IF(A41=$X$30,K41/(D41*Vendas!$U$26),IF(A41=$X$31,K41/(D41*Vendas!$U$27),IF(A41=$X$32,K41/(D41*Vendas!$U$28),IF(A41=$X$33,K41/(D41*Vendas!$U$29),IF(A41=$X$34,K41/(D41*Vendas!$U$30),IF(A41=$X$35,K41/(D41*Vendas!$U$31),IF(A41=$X$36,K41/(D41*Vendas!$U$32),0))))))))</f>
        <v>1.3442963234970342</v>
      </c>
      <c r="Q41" s="170">
        <f>IF(A41=$X$29,K41/(D41*Vendas!$U$25),IF(A41=$X$30,K41/(D41*Vendas!$U$26),IF(A41=$X$31,K41/(D41*Vendas!$U$27),IF(A41=$X$32,K41/(D41*Vendas!$U$28),IF(A41=$X$33,K41/(D41*Vendas!$U$29),IF(A41=$X$34,K41/(D41*Vendas!$U$30),IF(A41=$X$35,K41/(D41*Vendas!$U$31),IF(A41=$X$36,K41/(D41*Vendas!$U$32),0))))))))</f>
        <v>1.3442963234970342</v>
      </c>
    </row>
    <row r="42" spans="1:24">
      <c r="A42" s="263" t="s">
        <v>34</v>
      </c>
      <c r="B42" s="337" t="s">
        <v>506</v>
      </c>
      <c r="C42" s="166">
        <v>10</v>
      </c>
      <c r="D42" s="197">
        <v>258.7</v>
      </c>
      <c r="E42" s="166">
        <v>2410</v>
      </c>
      <c r="F42" s="338" t="s">
        <v>74</v>
      </c>
      <c r="G42" s="34" t="str">
        <f t="shared" si="1"/>
        <v>XXII10ANGELA DO ROCIO DE OLIVEIRA LIMA</v>
      </c>
      <c r="H42" s="40">
        <v>41439</v>
      </c>
      <c r="I42" s="35">
        <v>94839.42</v>
      </c>
      <c r="J42" s="35" t="s">
        <v>834</v>
      </c>
      <c r="K42" s="35">
        <v>88806.05</v>
      </c>
      <c r="L42" s="170">
        <f t="shared" si="2"/>
        <v>0.93638330980935991</v>
      </c>
      <c r="M42" s="154">
        <v>184530.88</v>
      </c>
      <c r="N42" s="170">
        <f t="shared" si="0"/>
        <v>0.48125305639901572</v>
      </c>
      <c r="O42" s="170">
        <f t="shared" si="3"/>
        <v>0.57330934943858658</v>
      </c>
      <c r="P42" s="170">
        <f>IF(A42=$X$29,K42/(D42*Vendas!$U$25),IF(A42=$X$30,K42/(D42*Vendas!$U$26),IF(A42=$X$31,K42/(D42*Vendas!$U$27),IF(A42=$X$32,K42/(D42*Vendas!$U$28),IF(A42=$X$33,K42/(D42*Vendas!$U$29),IF(A42=$X$34,K42/(D42*Vendas!$U$30),IF(A42=$X$35,K42/(D42*Vendas!$U$31),IF(A42=$X$36,K42/(D42*Vendas!$U$32),0))))))))</f>
        <v>0.542950506149947</v>
      </c>
      <c r="Q42" s="170">
        <f>IF(A42=$X$29,K42/(D42*Vendas!$U$25),IF(A42=$X$30,K42/(D42*Vendas!$U$26),IF(A42=$X$31,K42/(D42*Vendas!$U$27),IF(A42=$X$32,K42/(D42*Vendas!$U$28),IF(A42=$X$33,K42/(D42*Vendas!$U$29),IF(A42=$X$34,K42/(D42*Vendas!$U$30),IF(A42=$X$35,K42/(D42*Vendas!$U$31),IF(A42=$X$36,K42/(D42*Vendas!$U$32),0))))))))</f>
        <v>0.542950506149947</v>
      </c>
    </row>
    <row r="43" spans="1:24">
      <c r="A43" s="263" t="s">
        <v>34</v>
      </c>
      <c r="B43" s="337" t="s">
        <v>506</v>
      </c>
      <c r="C43" s="73">
        <v>13</v>
      </c>
      <c r="D43" s="315">
        <v>258.7</v>
      </c>
      <c r="E43" s="166">
        <v>2292</v>
      </c>
      <c r="F43" s="74" t="s">
        <v>369</v>
      </c>
      <c r="G43" s="34" t="str">
        <f t="shared" si="1"/>
        <v>XXII13MEIRE ADRIANA ARAUJO MARCONDES</v>
      </c>
      <c r="H43" s="40">
        <v>41447</v>
      </c>
      <c r="I43" s="35">
        <v>94839.42</v>
      </c>
      <c r="J43" s="35" t="s">
        <v>834</v>
      </c>
      <c r="K43" s="35">
        <v>5865.47</v>
      </c>
      <c r="L43" s="170">
        <f t="shared" si="2"/>
        <v>6.1846329300622047E-2</v>
      </c>
      <c r="M43" s="154">
        <v>120752.84</v>
      </c>
      <c r="N43" s="170">
        <f t="shared" si="0"/>
        <v>4.8574178462386479E-2</v>
      </c>
      <c r="O43" s="170">
        <f t="shared" si="3"/>
        <v>3.7865987619667203E-2</v>
      </c>
      <c r="P43" s="170">
        <f>IF(A43=$X$29,K43/(D43*Vendas!$U$25),IF(A43=$X$30,K43/(D43*Vendas!$U$26),IF(A43=$X$31,K43/(D43*Vendas!$U$27),IF(A43=$X$32,K43/(D43*Vendas!$U$28),IF(A43=$X$33,K43/(D43*Vendas!$U$29),IF(A43=$X$34,K43/(D43*Vendas!$U$30),IF(A43=$X$35,K43/(D43*Vendas!$U$31),IF(A43=$X$36,K43/(D43*Vendas!$U$32),0))))))))</f>
        <v>3.5860844000012715E-2</v>
      </c>
      <c r="Q43" s="170">
        <f>IF(A43=$X$29,K43/(D43*Vendas!$U$25),IF(A43=$X$30,K43/(D43*Vendas!$U$26),IF(A43=$X$31,K43/(D43*Vendas!$U$27),IF(A43=$X$32,K43/(D43*Vendas!$U$28),IF(A43=$X$33,K43/(D43*Vendas!$U$29),IF(A43=$X$34,K43/(D43*Vendas!$U$30),IF(A43=$X$35,K43/(D43*Vendas!$U$31),IF(A43=$X$36,K43/(D43*Vendas!$U$32),0))))))))</f>
        <v>3.5860844000012715E-2</v>
      </c>
    </row>
    <row r="44" spans="1:24">
      <c r="A44" s="263" t="s">
        <v>34</v>
      </c>
      <c r="B44" s="337" t="s">
        <v>506</v>
      </c>
      <c r="C44" s="166">
        <v>14</v>
      </c>
      <c r="D44" s="197">
        <v>258.7</v>
      </c>
      <c r="E44" s="166">
        <v>2293</v>
      </c>
      <c r="F44" s="338" t="s">
        <v>481</v>
      </c>
      <c r="G44" s="34" t="str">
        <f t="shared" si="1"/>
        <v>XXII14WELLINGTON TEIXEIRA MARCONDES</v>
      </c>
      <c r="H44" s="40">
        <v>41446</v>
      </c>
      <c r="I44" s="35">
        <v>94839.42</v>
      </c>
      <c r="J44" s="35" t="s">
        <v>834</v>
      </c>
      <c r="K44" s="35">
        <v>5847.1900000000005</v>
      </c>
      <c r="L44" s="170">
        <f t="shared" si="2"/>
        <v>6.1653582444936933E-2</v>
      </c>
      <c r="M44" s="154">
        <v>120728.51000000001</v>
      </c>
      <c r="N44" s="170">
        <f t="shared" si="0"/>
        <v>4.8432553338064059E-2</v>
      </c>
      <c r="O44" s="170">
        <f t="shared" si="3"/>
        <v>3.7747976573035386E-2</v>
      </c>
      <c r="P44" s="170">
        <f>IF(A44=$X$29,K44/(D44*Vendas!$U$25),IF(A44=$X$30,K44/(D44*Vendas!$U$26),IF(A44=$X$31,K44/(D44*Vendas!$U$27),IF(A44=$X$32,K44/(D44*Vendas!$U$28),IF(A44=$X$33,K44/(D44*Vendas!$U$29),IF(A44=$X$34,K44/(D44*Vendas!$U$30),IF(A44=$X$35,K44/(D44*Vendas!$U$31),IF(A44=$X$36,K44/(D44*Vendas!$U$32),0))))))))</f>
        <v>3.5749082073292401E-2</v>
      </c>
      <c r="Q44" s="170">
        <f>IF(A44=$X$29,K44/(D44*Vendas!$U$25),IF(A44=$X$30,K44/(D44*Vendas!$U$26),IF(A44=$X$31,K44/(D44*Vendas!$U$27),IF(A44=$X$32,K44/(D44*Vendas!$U$28),IF(A44=$X$33,K44/(D44*Vendas!$U$29),IF(A44=$X$34,K44/(D44*Vendas!$U$30),IF(A44=$X$35,K44/(D44*Vendas!$U$31),IF(A44=$X$36,K44/(D44*Vendas!$U$32),0))))))))</f>
        <v>3.5749082073292401E-2</v>
      </c>
    </row>
    <row r="45" spans="1:24">
      <c r="A45" s="263" t="s">
        <v>34</v>
      </c>
      <c r="B45" s="337" t="s">
        <v>506</v>
      </c>
      <c r="C45" s="73">
        <v>16</v>
      </c>
      <c r="D45" s="315">
        <v>258.7</v>
      </c>
      <c r="E45" s="166">
        <v>2612</v>
      </c>
      <c r="F45" s="74" t="s">
        <v>57</v>
      </c>
      <c r="G45" s="34" t="str">
        <f t="shared" si="1"/>
        <v>XXII16ALEX SANDRO DA SILVA OLIVEIRA</v>
      </c>
      <c r="H45" s="40">
        <v>41432</v>
      </c>
      <c r="I45" s="35">
        <v>94839.12</v>
      </c>
      <c r="J45" s="35" t="s">
        <v>834</v>
      </c>
      <c r="K45" s="35">
        <v>96154.12</v>
      </c>
      <c r="L45" s="170">
        <f t="shared" si="2"/>
        <v>1.0138655862686199</v>
      </c>
      <c r="M45" s="154">
        <v>189104.39</v>
      </c>
      <c r="N45" s="170">
        <f t="shared" si="0"/>
        <v>0.50847111481653062</v>
      </c>
      <c r="O45" s="170">
        <f t="shared" si="3"/>
        <v>0.62074662686877513</v>
      </c>
      <c r="P45" s="170">
        <f>IF(A45=$X$29,K45/(D45*Vendas!$U$25),IF(A45=$X$30,K45/(D45*Vendas!$U$26),IF(A45=$X$31,K45/(D45*Vendas!$U$27),IF(A45=$X$32,K45/(D45*Vendas!$U$28),IF(A45=$X$33,K45/(D45*Vendas!$U$29),IF(A45=$X$34,K45/(D45*Vendas!$U$30),IF(A45=$X$35,K45/(D45*Vendas!$U$31),IF(A45=$X$36,K45/(D45*Vendas!$U$32),0))))))))</f>
        <v>0.58787580488494573</v>
      </c>
      <c r="Q45" s="170">
        <f>IF(A45=$X$29,K45/(D45*Vendas!$U$25),IF(A45=$X$30,K45/(D45*Vendas!$U$26),IF(A45=$X$31,K45/(D45*Vendas!$U$27),IF(A45=$X$32,K45/(D45*Vendas!$U$28),IF(A45=$X$33,K45/(D45*Vendas!$U$29),IF(A45=$X$34,K45/(D45*Vendas!$U$30),IF(A45=$X$35,K45/(D45*Vendas!$U$31),IF(A45=$X$36,K45/(D45*Vendas!$U$32),0))))))))</f>
        <v>0.58787580488494573</v>
      </c>
    </row>
    <row r="46" spans="1:24">
      <c r="A46" s="263" t="s">
        <v>34</v>
      </c>
      <c r="B46" s="337" t="s">
        <v>506</v>
      </c>
      <c r="C46" s="166">
        <v>17</v>
      </c>
      <c r="D46" s="197">
        <v>258.7</v>
      </c>
      <c r="E46" s="166">
        <v>2276</v>
      </c>
      <c r="F46" s="338" t="s">
        <v>339</v>
      </c>
      <c r="G46" s="34" t="str">
        <f t="shared" si="1"/>
        <v>XXII17MARCO AURELIO BENEDITO DA SILVA</v>
      </c>
      <c r="H46" s="40">
        <v>41433</v>
      </c>
      <c r="I46" s="35">
        <v>94839.42</v>
      </c>
      <c r="J46" s="35" t="s">
        <v>1250</v>
      </c>
      <c r="K46" s="35">
        <v>166513.09</v>
      </c>
      <c r="L46" s="170">
        <f t="shared" si="2"/>
        <v>1.7557371185947783</v>
      </c>
      <c r="M46" s="154">
        <v>199622.76</v>
      </c>
      <c r="N46" s="170">
        <f t="shared" si="0"/>
        <v>0.83413880260948192</v>
      </c>
      <c r="O46" s="170">
        <f t="shared" si="3"/>
        <v>1.0749663035447339</v>
      </c>
      <c r="P46" s="170">
        <f>IF(A46=$X$29,K46/(D46*Vendas!$U$25),IF(A46=$X$30,K46/(D46*Vendas!$U$26),IF(A46=$X$31,K46/(D46*Vendas!$U$27),IF(A46=$X$32,K46/(D46*Vendas!$U$28),IF(A46=$X$33,K46/(D46*Vendas!$U$29),IF(A46=$X$34,K46/(D46*Vendas!$U$30),IF(A46=$X$35,K46/(D46*Vendas!$U$31),IF(A46=$X$36,K46/(D46*Vendas!$U$32),0))))))))</f>
        <v>1.0180428754132367</v>
      </c>
      <c r="Q46" s="170">
        <f>IF(A46=$X$29,K46/(D46*Vendas!$U$25),IF(A46=$X$30,K46/(D46*Vendas!$U$26),IF(A46=$X$31,K46/(D46*Vendas!$U$27),IF(A46=$X$32,K46/(D46*Vendas!$U$28),IF(A46=$X$33,K46/(D46*Vendas!$U$29),IF(A46=$X$34,K46/(D46*Vendas!$U$30),IF(A46=$X$35,K46/(D46*Vendas!$U$31),IF(A46=$X$36,K46/(D46*Vendas!$U$32),0))))))))</f>
        <v>1.0180428754132367</v>
      </c>
    </row>
    <row r="47" spans="1:24">
      <c r="A47" s="263" t="s">
        <v>34</v>
      </c>
      <c r="B47" s="337" t="s">
        <v>506</v>
      </c>
      <c r="C47" s="73">
        <v>18</v>
      </c>
      <c r="D47" s="315">
        <v>258.7</v>
      </c>
      <c r="E47" s="166">
        <v>2278</v>
      </c>
      <c r="F47" s="74" t="s">
        <v>339</v>
      </c>
      <c r="G47" s="34" t="str">
        <f t="shared" si="1"/>
        <v>XXII18MARCO AURELIO BENEDITO DA SILVA</v>
      </c>
      <c r="H47" s="40">
        <v>41433</v>
      </c>
      <c r="I47" s="35">
        <v>94839.42</v>
      </c>
      <c r="J47" s="35" t="s">
        <v>1250</v>
      </c>
      <c r="K47" s="35">
        <v>166512.95999999999</v>
      </c>
      <c r="L47" s="170">
        <f t="shared" si="2"/>
        <v>1.7557357478567457</v>
      </c>
      <c r="M47" s="154">
        <v>199623.23</v>
      </c>
      <c r="N47" s="170">
        <f t="shared" si="0"/>
        <v>0.83413618745674034</v>
      </c>
      <c r="O47" s="170">
        <f t="shared" si="3"/>
        <v>1.0749654642976845</v>
      </c>
      <c r="P47" s="170">
        <f>IF(A47=$X$29,K47/(D47*Vendas!$U$25),IF(A47=$X$30,K47/(D47*Vendas!$U$26),IF(A47=$X$31,K47/(D47*Vendas!$U$27),IF(A47=$X$32,K47/(D47*Vendas!$U$28),IF(A47=$X$33,K47/(D47*Vendas!$U$29),IF(A47=$X$34,K47/(D47*Vendas!$U$30),IF(A47=$X$35,K47/(D47*Vendas!$U$31),IF(A47=$X$36,K47/(D47*Vendas!$U$32),0))))))))</f>
        <v>1.018042080607412</v>
      </c>
      <c r="Q47" s="170">
        <f>IF(A47=$X$29,K47/(D47*Vendas!$U$25),IF(A47=$X$30,K47/(D47*Vendas!$U$26),IF(A47=$X$31,K47/(D47*Vendas!$U$27),IF(A47=$X$32,K47/(D47*Vendas!$U$28),IF(A47=$X$33,K47/(D47*Vendas!$U$29),IF(A47=$X$34,K47/(D47*Vendas!$U$30),IF(A47=$X$35,K47/(D47*Vendas!$U$31),IF(A47=$X$36,K47/(D47*Vendas!$U$32),0))))))))</f>
        <v>1.018042080607412</v>
      </c>
    </row>
    <row r="48" spans="1:24">
      <c r="A48" s="263" t="s">
        <v>34</v>
      </c>
      <c r="B48" s="337" t="s">
        <v>506</v>
      </c>
      <c r="C48" s="166">
        <v>21</v>
      </c>
      <c r="D48" s="197">
        <v>266.81</v>
      </c>
      <c r="E48" s="166">
        <v>2483</v>
      </c>
      <c r="F48" s="338" t="s">
        <v>116</v>
      </c>
      <c r="G48" s="34" t="str">
        <f t="shared" si="1"/>
        <v>XXII21CLAUDIO GUIRARDELLI</v>
      </c>
      <c r="H48" s="40">
        <v>41445</v>
      </c>
      <c r="I48" s="35">
        <v>97812.55</v>
      </c>
      <c r="J48" s="35" t="s">
        <v>834</v>
      </c>
      <c r="K48" s="35">
        <v>42937.39</v>
      </c>
      <c r="L48" s="170">
        <f t="shared" si="2"/>
        <v>0.43897628678528466</v>
      </c>
      <c r="M48" s="154">
        <v>149371.78</v>
      </c>
      <c r="N48" s="170">
        <f t="shared" si="0"/>
        <v>0.28745315882290484</v>
      </c>
      <c r="O48" s="170">
        <f t="shared" si="3"/>
        <v>0.26876730613553412</v>
      </c>
      <c r="P48" s="170">
        <f>IF(A48=$X$29,K48/(D48*Vendas!$U$25),IF(A48=$X$30,K48/(D48*Vendas!$U$26),IF(A48=$X$31,K48/(D48*Vendas!$U$27),IF(A48=$X$32,K48/(D48*Vendas!$U$28),IF(A48=$X$33,K48/(D48*Vendas!$U$29),IF(A48=$X$34,K48/(D48*Vendas!$U$30),IF(A48=$X$35,K48/(D48*Vendas!$U$31),IF(A48=$X$36,K48/(D48*Vendas!$U$32),0))))))))</f>
        <v>0.25453508659111423</v>
      </c>
      <c r="Q48" s="170">
        <f>IF(A48=$X$29,K48/(D48*Vendas!$U$25),IF(A48=$X$30,K48/(D48*Vendas!$U$26),IF(A48=$X$31,K48/(D48*Vendas!$U$27),IF(A48=$X$32,K48/(D48*Vendas!$U$28),IF(A48=$X$33,K48/(D48*Vendas!$U$29),IF(A48=$X$34,K48/(D48*Vendas!$U$30),IF(A48=$X$35,K48/(D48*Vendas!$U$31),IF(A48=$X$36,K48/(D48*Vendas!$U$32),0))))))))</f>
        <v>0.25453508659111423</v>
      </c>
    </row>
    <row r="49" spans="1:18">
      <c r="A49" s="263" t="s">
        <v>34</v>
      </c>
      <c r="B49" s="337" t="s">
        <v>506</v>
      </c>
      <c r="C49" s="73">
        <v>26</v>
      </c>
      <c r="D49" s="315">
        <v>266.81</v>
      </c>
      <c r="E49" s="166">
        <v>2618</v>
      </c>
      <c r="F49" s="74" t="s">
        <v>49</v>
      </c>
      <c r="G49" s="34" t="str">
        <f t="shared" si="1"/>
        <v>XXII26AGUINALDO AUGUSTINHO</v>
      </c>
      <c r="H49" s="40">
        <v>41445</v>
      </c>
      <c r="I49" s="35">
        <v>97812.55</v>
      </c>
      <c r="J49" s="35" t="s">
        <v>1250</v>
      </c>
      <c r="K49" s="35">
        <v>18586.62</v>
      </c>
      <c r="L49" s="170">
        <f t="shared" si="2"/>
        <v>0.19002285494039362</v>
      </c>
      <c r="M49" s="154">
        <v>133140.54</v>
      </c>
      <c r="N49" s="170">
        <f t="shared" si="0"/>
        <v>0.13960150679875563</v>
      </c>
      <c r="O49" s="170">
        <f t="shared" si="3"/>
        <v>0.11634325671785921</v>
      </c>
      <c r="P49" s="170">
        <f>IF(A49=$X$29,K49/(D49*Vendas!$U$25),IF(A49=$X$30,K49/(D49*Vendas!$U$26),IF(A49=$X$31,K49/(D49*Vendas!$U$27),IF(A49=$X$32,K49/(D49*Vendas!$U$28),IF(A49=$X$33,K49/(D49*Vendas!$U$29),IF(A49=$X$34,K49/(D49*Vendas!$U$30),IF(A49=$X$35,K49/(D49*Vendas!$U$31),IF(A49=$X$36,K49/(D49*Vendas!$U$32),0))))))))</f>
        <v>0.1101824524298318</v>
      </c>
      <c r="Q49" s="170">
        <f>IF(A49=$X$29,K49/(D49*Vendas!$U$25),IF(A49=$X$30,K49/(D49*Vendas!$U$26),IF(A49=$X$31,K49/(D49*Vendas!$U$27),IF(A49=$X$32,K49/(D49*Vendas!$U$28),IF(A49=$X$33,K49/(D49*Vendas!$U$29),IF(A49=$X$34,K49/(D49*Vendas!$U$30),IF(A49=$X$35,K49/(D49*Vendas!$U$31),IF(A49=$X$36,K49/(D49*Vendas!$U$32),0))))))))</f>
        <v>0.1101824524298318</v>
      </c>
    </row>
    <row r="50" spans="1:18">
      <c r="A50" s="263" t="s">
        <v>34</v>
      </c>
      <c r="B50" s="337" t="s">
        <v>506</v>
      </c>
      <c r="C50" s="166">
        <v>27</v>
      </c>
      <c r="D50" s="197">
        <v>266.81</v>
      </c>
      <c r="E50" s="166">
        <v>2617</v>
      </c>
      <c r="F50" s="338" t="s">
        <v>49</v>
      </c>
      <c r="G50" s="34" t="str">
        <f t="shared" si="1"/>
        <v>XXII27AGUINALDO AUGUSTINHO</v>
      </c>
      <c r="H50" s="40">
        <v>41445</v>
      </c>
      <c r="I50" s="35">
        <v>97812.55</v>
      </c>
      <c r="J50" s="35" t="s">
        <v>1250</v>
      </c>
      <c r="K50" s="35">
        <v>19822.22</v>
      </c>
      <c r="L50" s="170">
        <f t="shared" si="2"/>
        <v>0.20265518075134531</v>
      </c>
      <c r="M50" s="154">
        <v>134504.75</v>
      </c>
      <c r="N50" s="170">
        <f t="shared" si="0"/>
        <v>0.14737189578806698</v>
      </c>
      <c r="O50" s="170">
        <f t="shared" si="3"/>
        <v>0.12407751544809564</v>
      </c>
      <c r="P50" s="170">
        <f>IF(A50=$X$29,K50/(D50*Vendas!$U$25),IF(A50=$X$30,K50/(D50*Vendas!$U$26),IF(A50=$X$31,K50/(D50*Vendas!$U$27),IF(A50=$X$32,K50/(D50*Vendas!$U$28),IF(A50=$X$33,K50/(D50*Vendas!$U$29),IF(A50=$X$34,K50/(D50*Vendas!$U$30),IF(A50=$X$35,K50/(D50*Vendas!$U$31),IF(A50=$X$36,K50/(D50*Vendas!$U$32),0))))))))</f>
        <v>0.11750715365158704</v>
      </c>
      <c r="Q50" s="170">
        <f>IF(A50=$X$29,K50/(D50*Vendas!$U$25),IF(A50=$X$30,K50/(D50*Vendas!$U$26),IF(A50=$X$31,K50/(D50*Vendas!$U$27),IF(A50=$X$32,K50/(D50*Vendas!$U$28),IF(A50=$X$33,K50/(D50*Vendas!$U$29),IF(A50=$X$34,K50/(D50*Vendas!$U$30),IF(A50=$X$35,K50/(D50*Vendas!$U$31),IF(A50=$X$36,K50/(D50*Vendas!$U$32),0))))))))</f>
        <v>0.11750715365158704</v>
      </c>
      <c r="R50" s="257"/>
    </row>
    <row r="51" spans="1:18">
      <c r="A51" s="263" t="s">
        <v>34</v>
      </c>
      <c r="B51" s="337" t="s">
        <v>506</v>
      </c>
      <c r="C51" s="73">
        <v>28</v>
      </c>
      <c r="D51" s="315">
        <v>266.81</v>
      </c>
      <c r="E51" s="166">
        <v>2463</v>
      </c>
      <c r="F51" s="74" t="s">
        <v>263</v>
      </c>
      <c r="G51" s="34" t="str">
        <f t="shared" si="1"/>
        <v>XXII28JOAQUIM MANOEL DA SILVA</v>
      </c>
      <c r="H51" s="40">
        <v>41444</v>
      </c>
      <c r="I51" s="35">
        <v>97812.6</v>
      </c>
      <c r="J51" s="35" t="s">
        <v>834</v>
      </c>
      <c r="K51" s="35">
        <v>99049.430000000008</v>
      </c>
      <c r="L51" s="170">
        <f t="shared" si="2"/>
        <v>1.0126448944205553</v>
      </c>
      <c r="M51" s="154">
        <v>188684.84</v>
      </c>
      <c r="N51" s="170">
        <f t="shared" si="0"/>
        <v>0.5249464132889532</v>
      </c>
      <c r="O51" s="170">
        <f t="shared" si="3"/>
        <v>0.62000155285079406</v>
      </c>
      <c r="P51" s="170">
        <f>IF(A51=$X$29,K51/(D51*Vendas!$U$25),IF(A51=$X$30,K51/(D51*Vendas!$U$26),IF(A51=$X$31,K51/(D51*Vendas!$U$27),IF(A51=$X$32,K51/(D51*Vendas!$U$28),IF(A51=$X$33,K51/(D51*Vendas!$U$29),IF(A51=$X$34,K51/(D51*Vendas!$U$30),IF(A51=$X$35,K51/(D51*Vendas!$U$31),IF(A51=$X$36,K51/(D51*Vendas!$U$32),0))))))))</f>
        <v>0.58717018528258258</v>
      </c>
      <c r="Q51" s="170">
        <f>IF(A51=$X$29,K51/(D51*Vendas!$U$25),IF(A51=$X$30,K51/(D51*Vendas!$U$26),IF(A51=$X$31,K51/(D51*Vendas!$U$27),IF(A51=$X$32,K51/(D51*Vendas!$U$28),IF(A51=$X$33,K51/(D51*Vendas!$U$29),IF(A51=$X$34,K51/(D51*Vendas!$U$30),IF(A51=$X$35,K51/(D51*Vendas!$U$31),IF(A51=$X$36,K51/(D51*Vendas!$U$32),0))))))))</f>
        <v>0.58717018528258258</v>
      </c>
    </row>
    <row r="52" spans="1:18">
      <c r="A52" s="263" t="s">
        <v>34</v>
      </c>
      <c r="B52" s="337" t="s">
        <v>506</v>
      </c>
      <c r="C52" s="166">
        <v>31</v>
      </c>
      <c r="D52" s="197">
        <v>266.81</v>
      </c>
      <c r="E52" s="166">
        <v>4731</v>
      </c>
      <c r="F52" s="338" t="s">
        <v>1255</v>
      </c>
      <c r="G52" s="34" t="str">
        <f t="shared" si="1"/>
        <v>XXII31ELCIO LUIZ DOS SANTOS</v>
      </c>
      <c r="H52" s="40">
        <v>44046</v>
      </c>
      <c r="I52" s="35">
        <v>155100</v>
      </c>
      <c r="J52" s="35" t="s">
        <v>834</v>
      </c>
      <c r="K52" s="35">
        <v>141500</v>
      </c>
      <c r="L52" s="170">
        <f t="shared" si="2"/>
        <v>0.91231463571889104</v>
      </c>
      <c r="M52" s="154">
        <v>155100</v>
      </c>
      <c r="N52" s="170">
        <f t="shared" si="0"/>
        <v>0.91231463571889104</v>
      </c>
      <c r="O52" s="170">
        <f t="shared" si="3"/>
        <v>0.88572160110752129</v>
      </c>
      <c r="P52" s="170">
        <f>IF(A52=$X$29,K52/(D52*Vendas!$U$25),IF(A52=$X$30,K52/(D52*Vendas!$U$26),IF(A52=$X$31,K52/(D52*Vendas!$U$27),IF(A52=$X$32,K52/(D52*Vendas!$U$28),IF(A52=$X$33,K52/(D52*Vendas!$U$29),IF(A52=$X$34,K52/(D52*Vendas!$U$30),IF(A52=$X$35,K52/(D52*Vendas!$U$31),IF(A52=$X$36,K52/(D52*Vendas!$U$32),0))))))))</f>
        <v>0.83881937753185887</v>
      </c>
      <c r="Q52" s="170">
        <f>IF(A52=$X$29,K52/(D52*Vendas!$U$25),IF(A52=$X$30,K52/(D52*Vendas!$U$26),IF(A52=$X$31,K52/(D52*Vendas!$U$27),IF(A52=$X$32,K52/(D52*Vendas!$U$28),IF(A52=$X$33,K52/(D52*Vendas!$U$29),IF(A52=$X$34,K52/(D52*Vendas!$U$30),IF(A52=$X$35,K52/(D52*Vendas!$U$31),IF(A52=$X$36,K52/(D52*Vendas!$U$32),0))))))))</f>
        <v>0.83881937753185887</v>
      </c>
    </row>
    <row r="53" spans="1:18">
      <c r="A53" s="263" t="s">
        <v>34</v>
      </c>
      <c r="B53" s="337" t="s">
        <v>506</v>
      </c>
      <c r="C53" s="73">
        <v>36</v>
      </c>
      <c r="D53" s="315">
        <v>266.81</v>
      </c>
      <c r="E53" s="166">
        <v>2696</v>
      </c>
      <c r="F53" s="74" t="s">
        <v>866</v>
      </c>
      <c r="G53" s="34" t="str">
        <f t="shared" si="1"/>
        <v>XXII36WESLEY DOS SANTOS ANTUNES</v>
      </c>
      <c r="H53" s="40">
        <v>41475</v>
      </c>
      <c r="I53" s="35">
        <v>97812.6</v>
      </c>
      <c r="J53" s="35" t="s">
        <v>834</v>
      </c>
      <c r="K53" s="35">
        <v>18974.57</v>
      </c>
      <c r="L53" s="170">
        <f t="shared" si="2"/>
        <v>0.19398901573007976</v>
      </c>
      <c r="M53" s="154">
        <v>149222.89000000001</v>
      </c>
      <c r="N53" s="170">
        <f t="shared" si="0"/>
        <v>0.1271558941124917</v>
      </c>
      <c r="O53" s="170">
        <f t="shared" si="3"/>
        <v>0.11877163618888156</v>
      </c>
      <c r="P53" s="170">
        <f>IF(A53=$X$29,K53/(D53*Vendas!$U$25),IF(A53=$X$30,K53/(D53*Vendas!$U$26),IF(A53=$X$31,K53/(D53*Vendas!$U$27),IF(A53=$X$32,K53/(D53*Vendas!$U$28),IF(A53=$X$33,K53/(D53*Vendas!$U$29),IF(A53=$X$34,K53/(D53*Vendas!$U$30),IF(A53=$X$35,K53/(D53*Vendas!$U$31),IF(A53=$X$36,K53/(D53*Vendas!$U$32),0))))))))</f>
        <v>0.11248224025678222</v>
      </c>
      <c r="Q53" s="170">
        <f>IF(A53=$X$29,K53/(D53*Vendas!$U$25),IF(A53=$X$30,K53/(D53*Vendas!$U$26),IF(A53=$X$31,K53/(D53*Vendas!$U$27),IF(A53=$X$32,K53/(D53*Vendas!$U$28),IF(A53=$X$33,K53/(D53*Vendas!$U$29),IF(A53=$X$34,K53/(D53*Vendas!$U$30),IF(A53=$X$35,K53/(D53*Vendas!$U$31),IF(A53=$X$36,K53/(D53*Vendas!$U$32),0))))))))</f>
        <v>0.11248224025678222</v>
      </c>
    </row>
    <row r="54" spans="1:18">
      <c r="A54" s="263" t="s">
        <v>34</v>
      </c>
      <c r="B54" s="337" t="s">
        <v>507</v>
      </c>
      <c r="C54" s="166">
        <v>6</v>
      </c>
      <c r="D54" s="197">
        <v>263.74</v>
      </c>
      <c r="E54" s="166">
        <v>2435</v>
      </c>
      <c r="F54" s="338" t="s">
        <v>141</v>
      </c>
      <c r="G54" s="34" t="str">
        <f t="shared" si="1"/>
        <v>XXIII6DENISON HENRIQUE LEANDRO</v>
      </c>
      <c r="H54" s="40">
        <v>41442</v>
      </c>
      <c r="I54" s="35">
        <v>96687.08</v>
      </c>
      <c r="J54" s="35" t="s">
        <v>1250</v>
      </c>
      <c r="K54" s="35">
        <v>103654.21</v>
      </c>
      <c r="L54" s="170">
        <f t="shared" si="2"/>
        <v>1.0720585418444739</v>
      </c>
      <c r="M54" s="154">
        <v>188298.54</v>
      </c>
      <c r="N54" s="170">
        <f t="shared" si="0"/>
        <v>0.55047803344624979</v>
      </c>
      <c r="O54" s="170">
        <f t="shared" si="3"/>
        <v>0.65637773902958274</v>
      </c>
      <c r="P54" s="170">
        <f>IF(A54=$X$29,K54/(D54*Vendas!$U$25),IF(A54=$X$30,K54/(D54*Vendas!$U$26),IF(A54=$X$31,K54/(D54*Vendas!$U$27),IF(A54=$X$32,K54/(D54*Vendas!$U$28),IF(A54=$X$33,K54/(D54*Vendas!$U$29),IF(A54=$X$34,K54/(D54*Vendas!$U$30),IF(A54=$X$35,K54/(D54*Vendas!$U$31),IF(A54=$X$36,K54/(D54*Vendas!$U$32),0))))))))</f>
        <v>0.62162011831946506</v>
      </c>
      <c r="Q54" s="170">
        <f>IF(A54=$X$29,K54/(D54*Vendas!$U$25),IF(A54=$X$30,K54/(D54*Vendas!$U$26),IF(A54=$X$31,K54/(D54*Vendas!$U$27),IF(A54=$X$32,K54/(D54*Vendas!$U$28),IF(A54=$X$33,K54/(D54*Vendas!$U$29),IF(A54=$X$34,K54/(D54*Vendas!$U$30),IF(A54=$X$35,K54/(D54*Vendas!$U$31),IF(A54=$X$36,K54/(D54*Vendas!$U$32),0))))))))</f>
        <v>0.62162011831946506</v>
      </c>
    </row>
    <row r="55" spans="1:18">
      <c r="A55" s="263" t="s">
        <v>34</v>
      </c>
      <c r="B55" s="337" t="s">
        <v>507</v>
      </c>
      <c r="C55" s="73">
        <v>9</v>
      </c>
      <c r="D55" s="315">
        <v>263.74</v>
      </c>
      <c r="E55" s="166">
        <v>2507</v>
      </c>
      <c r="F55" s="74" t="s">
        <v>424</v>
      </c>
      <c r="G55" s="34" t="str">
        <f t="shared" si="1"/>
        <v>XXIII9ROGERIO SANCHES FRANCO</v>
      </c>
      <c r="H55" s="40">
        <v>41446</v>
      </c>
      <c r="I55" s="35">
        <v>96687.08</v>
      </c>
      <c r="J55" s="35" t="s">
        <v>834</v>
      </c>
      <c r="K55" s="35">
        <v>97883.32</v>
      </c>
      <c r="L55" s="170">
        <f t="shared" si="2"/>
        <v>1.012372283866676</v>
      </c>
      <c r="M55" s="154">
        <v>189194.48</v>
      </c>
      <c r="N55" s="170">
        <f t="shared" si="0"/>
        <v>0.51736879426926197</v>
      </c>
      <c r="O55" s="170">
        <f t="shared" si="3"/>
        <v>0.61983427658470536</v>
      </c>
      <c r="P55" s="170">
        <f>IF(A55=$X$29,K55/(D55*Vendas!$U$25),IF(A55=$X$30,K55/(D55*Vendas!$U$26),IF(A55=$X$31,K55/(D55*Vendas!$U$27),IF(A55=$X$32,K55/(D55*Vendas!$U$28),IF(A55=$X$33,K55/(D55*Vendas!$U$29),IF(A55=$X$34,K55/(D55*Vendas!$U$30),IF(A55=$X$35,K55/(D55*Vendas!$U$31),IF(A55=$X$36,K55/(D55*Vendas!$U$32),0))))))))</f>
        <v>0.58701176691136869</v>
      </c>
      <c r="Q55" s="170">
        <f>IF(A55=$X$29,K55/(D55*Vendas!$U$25),IF(A55=$X$30,K55/(D55*Vendas!$U$26),IF(A55=$X$31,K55/(D55*Vendas!$U$27),IF(A55=$X$32,K55/(D55*Vendas!$U$28),IF(A55=$X$33,K55/(D55*Vendas!$U$29),IF(A55=$X$34,K55/(D55*Vendas!$U$30),IF(A55=$X$35,K55/(D55*Vendas!$U$31),IF(A55=$X$36,K55/(D55*Vendas!$U$32),0))))))))</f>
        <v>0.58701176691136869</v>
      </c>
    </row>
    <row r="56" spans="1:18">
      <c r="A56" s="263" t="s">
        <v>34</v>
      </c>
      <c r="B56" s="337" t="s">
        <v>507</v>
      </c>
      <c r="C56" s="166">
        <v>10</v>
      </c>
      <c r="D56" s="197">
        <v>263.74</v>
      </c>
      <c r="E56" s="166">
        <v>2508</v>
      </c>
      <c r="F56" s="338" t="s">
        <v>424</v>
      </c>
      <c r="G56" s="34" t="str">
        <f t="shared" si="1"/>
        <v>XXIII10ROGERIO SANCHES FRANCO</v>
      </c>
      <c r="H56" s="40">
        <v>41446</v>
      </c>
      <c r="I56" s="35">
        <v>96687.08</v>
      </c>
      <c r="J56" s="35" t="s">
        <v>834</v>
      </c>
      <c r="K56" s="35">
        <v>97883.32</v>
      </c>
      <c r="L56" s="170">
        <f t="shared" si="2"/>
        <v>1.012372283866676</v>
      </c>
      <c r="M56" s="154">
        <v>189227.15</v>
      </c>
      <c r="N56" s="170">
        <f t="shared" si="0"/>
        <v>0.51727947073134062</v>
      </c>
      <c r="O56" s="170">
        <f t="shared" si="3"/>
        <v>0.61983427658470536</v>
      </c>
      <c r="P56" s="170">
        <f>IF(A56=$X$29,K56/(D56*Vendas!$U$25),IF(A56=$X$30,K56/(D56*Vendas!$U$26),IF(A56=$X$31,K56/(D56*Vendas!$U$27),IF(A56=$X$32,K56/(D56*Vendas!$U$28),IF(A56=$X$33,K56/(D56*Vendas!$U$29),IF(A56=$X$34,K56/(D56*Vendas!$U$30),IF(A56=$X$35,K56/(D56*Vendas!$U$31),IF(A56=$X$36,K56/(D56*Vendas!$U$32),0))))))))</f>
        <v>0.58701176691136869</v>
      </c>
      <c r="Q56" s="170">
        <f>IF(A56=$X$29,K56/(D56*Vendas!$U$25),IF(A56=$X$30,K56/(D56*Vendas!$U$26),IF(A56=$X$31,K56/(D56*Vendas!$U$27),IF(A56=$X$32,K56/(D56*Vendas!$U$28),IF(A56=$X$33,K56/(D56*Vendas!$U$29),IF(A56=$X$34,K56/(D56*Vendas!$U$30),IF(A56=$X$35,K56/(D56*Vendas!$U$31),IF(A56=$X$36,K56/(D56*Vendas!$U$32),0))))))))</f>
        <v>0.58701176691136869</v>
      </c>
    </row>
    <row r="57" spans="1:18">
      <c r="A57" s="263" t="s">
        <v>34</v>
      </c>
      <c r="B57" s="337" t="s">
        <v>507</v>
      </c>
      <c r="C57" s="73">
        <v>11</v>
      </c>
      <c r="D57" s="315">
        <v>263.74</v>
      </c>
      <c r="E57" s="166">
        <v>2537</v>
      </c>
      <c r="F57" s="74" t="s">
        <v>324</v>
      </c>
      <c r="G57" s="34" t="str">
        <f t="shared" si="1"/>
        <v>XXIII11MARA SILVIA SPURIO</v>
      </c>
      <c r="H57" s="40">
        <v>41446</v>
      </c>
      <c r="I57" s="35">
        <v>96687.16</v>
      </c>
      <c r="J57" s="35" t="s">
        <v>1250</v>
      </c>
      <c r="K57" s="35">
        <v>67519.87</v>
      </c>
      <c r="L57" s="170">
        <f t="shared" si="2"/>
        <v>0.69833336711927407</v>
      </c>
      <c r="M57" s="154">
        <v>156032.26</v>
      </c>
      <c r="N57" s="170">
        <f t="shared" si="0"/>
        <v>0.43273019310237504</v>
      </c>
      <c r="O57" s="170">
        <f t="shared" si="3"/>
        <v>0.42756140450225172</v>
      </c>
      <c r="P57" s="170">
        <f>IF(A57=$X$29,K57/(D57*Vendas!$U$25),IF(A57=$X$30,K57/(D57*Vendas!$U$26),IF(A57=$X$31,K57/(D57*Vendas!$U$27),IF(A57=$X$32,K57/(D57*Vendas!$U$28),IF(A57=$X$33,K57/(D57*Vendas!$U$29),IF(A57=$X$34,K57/(D57*Vendas!$U$30),IF(A57=$X$35,K57/(D57*Vendas!$U$31),IF(A57=$X$36,K57/(D57*Vendas!$U$32),0))))))))</f>
        <v>0.40492045212939148</v>
      </c>
      <c r="Q57" s="170">
        <f>IF(A57=$X$29,K57/(D57*Vendas!$U$25),IF(A57=$X$30,K57/(D57*Vendas!$U$26),IF(A57=$X$31,K57/(D57*Vendas!$U$27),IF(A57=$X$32,K57/(D57*Vendas!$U$28),IF(A57=$X$33,K57/(D57*Vendas!$U$29),IF(A57=$X$34,K57/(D57*Vendas!$U$30),IF(A57=$X$35,K57/(D57*Vendas!$U$31),IF(A57=$X$36,K57/(D57*Vendas!$U$32),0))))))))</f>
        <v>0.40492045212939148</v>
      </c>
    </row>
    <row r="58" spans="1:18">
      <c r="A58" s="263" t="s">
        <v>34</v>
      </c>
      <c r="B58" s="337" t="s">
        <v>507</v>
      </c>
      <c r="C58" s="166">
        <v>12</v>
      </c>
      <c r="D58" s="197">
        <v>263.74</v>
      </c>
      <c r="E58" s="166">
        <v>2538</v>
      </c>
      <c r="F58" s="338" t="s">
        <v>373</v>
      </c>
      <c r="G58" s="34" t="str">
        <f t="shared" si="1"/>
        <v>XXIII12MIRIAN APARECIDA GONCALVES DIAS</v>
      </c>
      <c r="H58" s="40">
        <v>41453</v>
      </c>
      <c r="I58" s="35">
        <v>96687.08</v>
      </c>
      <c r="J58" s="35" t="s">
        <v>1250</v>
      </c>
      <c r="K58" s="35">
        <v>64454.71</v>
      </c>
      <c r="L58" s="170">
        <f t="shared" si="2"/>
        <v>0.66663208776188088</v>
      </c>
      <c r="M58" s="154">
        <v>158642.31</v>
      </c>
      <c r="N58" s="170">
        <f t="shared" si="0"/>
        <v>0.40628953272301693</v>
      </c>
      <c r="O58" s="170">
        <f t="shared" si="3"/>
        <v>0.40815164979413215</v>
      </c>
      <c r="P58" s="170">
        <f>IF(A58=$X$29,K58/(D58*Vendas!$U$25),IF(A58=$X$30,K58/(D58*Vendas!$U$26),IF(A58=$X$31,K58/(D58*Vendas!$U$27),IF(A58=$X$32,K58/(D58*Vendas!$U$28),IF(A58=$X$33,K58/(D58*Vendas!$U$29),IF(A58=$X$34,K58/(D58*Vendas!$U$30),IF(A58=$X$35,K58/(D58*Vendas!$U$31),IF(A58=$X$36,K58/(D58*Vendas!$U$32),0))))))))</f>
        <v>0.38653851547801876</v>
      </c>
      <c r="Q58" s="170">
        <f>IF(A58=$X$29,K58/(D58*Vendas!$U$25),IF(A58=$X$30,K58/(D58*Vendas!$U$26),IF(A58=$X$31,K58/(D58*Vendas!$U$27),IF(A58=$X$32,K58/(D58*Vendas!$U$28),IF(A58=$X$33,K58/(D58*Vendas!$U$29),IF(A58=$X$34,K58/(D58*Vendas!$U$30),IF(A58=$X$35,K58/(D58*Vendas!$U$31),IF(A58=$X$36,K58/(D58*Vendas!$U$32),0))))))))</f>
        <v>0.38653851547801876</v>
      </c>
    </row>
    <row r="59" spans="1:18">
      <c r="A59" s="263" t="s">
        <v>34</v>
      </c>
      <c r="B59" s="337" t="s">
        <v>507</v>
      </c>
      <c r="C59" s="73">
        <v>18</v>
      </c>
      <c r="D59" s="315">
        <v>327.11</v>
      </c>
      <c r="E59" s="166">
        <v>2464</v>
      </c>
      <c r="F59" s="74" t="s">
        <v>130</v>
      </c>
      <c r="G59" s="34" t="str">
        <f t="shared" si="1"/>
        <v>XXIII18DARCI FIN</v>
      </c>
      <c r="H59" s="40">
        <v>41446</v>
      </c>
      <c r="I59" s="35">
        <v>116843.69</v>
      </c>
      <c r="J59" s="35" t="s">
        <v>834</v>
      </c>
      <c r="K59" s="35">
        <v>118780.02</v>
      </c>
      <c r="L59" s="170">
        <f t="shared" si="2"/>
        <v>1.0165719689270341</v>
      </c>
      <c r="M59" s="154">
        <v>228521.35</v>
      </c>
      <c r="N59" s="170">
        <f t="shared" si="0"/>
        <v>0.51977646727537707</v>
      </c>
      <c r="O59" s="170">
        <f t="shared" si="3"/>
        <v>0.60644646999674123</v>
      </c>
      <c r="P59" s="170">
        <f>IF(A59=$X$29,K59/(D59*Vendas!$U$25),IF(A59=$X$30,K59/(D59*Vendas!$U$26),IF(A59=$X$31,K59/(D59*Vendas!$U$27),IF(A59=$X$32,K59/(D59*Vendas!$U$28),IF(A59=$X$33,K59/(D59*Vendas!$U$29),IF(A59=$X$34,K59/(D59*Vendas!$U$30),IF(A59=$X$35,K59/(D59*Vendas!$U$31),IF(A59=$X$36,K59/(D59*Vendas!$U$32),0))))))))</f>
        <v>0.57433289403010346</v>
      </c>
      <c r="Q59" s="170">
        <f>IF(A59=$X$29,K59/(D59*Vendas!$U$25),IF(A59=$X$30,K59/(D59*Vendas!$U$26),IF(A59=$X$31,K59/(D59*Vendas!$U$27),IF(A59=$X$32,K59/(D59*Vendas!$U$28),IF(A59=$X$33,K59/(D59*Vendas!$U$29),IF(A59=$X$34,K59/(D59*Vendas!$U$30),IF(A59=$X$35,K59/(D59*Vendas!$U$31),IF(A59=$X$36,K59/(D59*Vendas!$U$32),0))))))))</f>
        <v>0.57433289403010346</v>
      </c>
    </row>
    <row r="60" spans="1:18">
      <c r="A60" s="263" t="s">
        <v>34</v>
      </c>
      <c r="B60" s="337" t="s">
        <v>507</v>
      </c>
      <c r="C60" s="166">
        <v>19</v>
      </c>
      <c r="D60" s="197">
        <v>268.58</v>
      </c>
      <c r="E60" s="166">
        <v>4672</v>
      </c>
      <c r="F60" s="338" t="s">
        <v>1256</v>
      </c>
      <c r="G60" s="34" t="str">
        <f t="shared" si="1"/>
        <v>XXIII19EVERTON JULIANO D'ADA</v>
      </c>
      <c r="H60" s="40">
        <v>44054</v>
      </c>
      <c r="I60" s="35">
        <v>155100.6</v>
      </c>
      <c r="J60" s="35" t="s">
        <v>834</v>
      </c>
      <c r="K60" s="35">
        <v>149347.09</v>
      </c>
      <c r="L60" s="170">
        <f t="shared" si="2"/>
        <v>0.96290465671957426</v>
      </c>
      <c r="M60" s="154">
        <v>172655.69</v>
      </c>
      <c r="N60" s="170">
        <f t="shared" si="0"/>
        <v>0.86499952593511398</v>
      </c>
      <c r="O60" s="170">
        <f t="shared" si="3"/>
        <v>0.92867979066645379</v>
      </c>
      <c r="P60" s="170">
        <f>IF(A60=$X$29,K60/(D60*Vendas!$U$25),IF(A60=$X$30,K60/(D60*Vendas!$U$26),IF(A60=$X$31,K60/(D60*Vendas!$U$27),IF(A60=$X$32,K60/(D60*Vendas!$U$28),IF(A60=$X$33,K60/(D60*Vendas!$U$29),IF(A60=$X$34,K60/(D60*Vendas!$U$30),IF(A60=$X$35,K60/(D60*Vendas!$U$31),IF(A60=$X$36,K60/(D60*Vendas!$U$32),0))))))))</f>
        <v>0.87950277260844001</v>
      </c>
      <c r="Q60" s="170">
        <f>IF(A60=$X$29,K60/(D60*Vendas!$U$25),IF(A60=$X$30,K60/(D60*Vendas!$U$26),IF(A60=$X$31,K60/(D60*Vendas!$U$27),IF(A60=$X$32,K60/(D60*Vendas!$U$28),IF(A60=$X$33,K60/(D60*Vendas!$U$29),IF(A60=$X$34,K60/(D60*Vendas!$U$30),IF(A60=$X$35,K60/(D60*Vendas!$U$31),IF(A60=$X$36,K60/(D60*Vendas!$U$32),0))))))))</f>
        <v>0.87950277260844001</v>
      </c>
    </row>
    <row r="61" spans="1:18">
      <c r="A61" s="263" t="s">
        <v>34</v>
      </c>
      <c r="B61" s="337" t="s">
        <v>507</v>
      </c>
      <c r="C61" s="73">
        <v>20</v>
      </c>
      <c r="D61" s="315">
        <v>268.58</v>
      </c>
      <c r="E61" s="166">
        <v>4668</v>
      </c>
      <c r="F61" s="74" t="s">
        <v>1257</v>
      </c>
      <c r="G61" s="34" t="str">
        <f t="shared" si="1"/>
        <v>XXIII20MARISTELA ROMAGNOLE DE ARAUJO JURKEVICZ</v>
      </c>
      <c r="H61" s="40">
        <v>44050</v>
      </c>
      <c r="I61" s="35">
        <v>164860.60999999999</v>
      </c>
      <c r="J61" s="35" t="s">
        <v>834</v>
      </c>
      <c r="K61" s="35">
        <v>167499.15</v>
      </c>
      <c r="L61" s="170">
        <f t="shared" si="2"/>
        <v>1.0160046720681186</v>
      </c>
      <c r="M61" s="154">
        <v>184665.38</v>
      </c>
      <c r="N61" s="170">
        <f t="shared" si="0"/>
        <v>0.90704142812258581</v>
      </c>
      <c r="O61" s="170">
        <f t="shared" si="3"/>
        <v>1.0415541110229127</v>
      </c>
      <c r="P61" s="170">
        <f>IF(A61=$X$29,K61/(D61*Vendas!$U$25),IF(A61=$X$30,K61/(D61*Vendas!$U$26),IF(A61=$X$31,K61/(D61*Vendas!$U$27),IF(A61=$X$32,K61/(D61*Vendas!$U$28),IF(A61=$X$33,K61/(D61*Vendas!$U$29),IF(A61=$X$34,K61/(D61*Vendas!$U$30),IF(A61=$X$35,K61/(D61*Vendas!$U$31),IF(A61=$X$36,K61/(D61*Vendas!$U$32),0))))))))</f>
        <v>0.98639998164381359</v>
      </c>
      <c r="Q61" s="170">
        <f>IF(A61=$X$29,K61/(D61*Vendas!$U$25),IF(A61=$X$30,K61/(D61*Vendas!$U$26),IF(A61=$X$31,K61/(D61*Vendas!$U$27),IF(A61=$X$32,K61/(D61*Vendas!$U$28),IF(A61=$X$33,K61/(D61*Vendas!$U$29),IF(A61=$X$34,K61/(D61*Vendas!$U$30),IF(A61=$X$35,K61/(D61*Vendas!$U$31),IF(A61=$X$36,K61/(D61*Vendas!$U$32),0))))))))</f>
        <v>0.98639998164381359</v>
      </c>
    </row>
    <row r="62" spans="1:18">
      <c r="A62" s="263" t="s">
        <v>34</v>
      </c>
      <c r="B62" s="337" t="s">
        <v>507</v>
      </c>
      <c r="C62" s="166">
        <v>21</v>
      </c>
      <c r="D62" s="197">
        <v>268.58</v>
      </c>
      <c r="E62" s="166">
        <v>3780</v>
      </c>
      <c r="F62" s="338" t="s">
        <v>99</v>
      </c>
      <c r="G62" s="34" t="str">
        <f t="shared" si="1"/>
        <v>XXIII21CARLOS KUNIO NAKANO</v>
      </c>
      <c r="H62" s="40">
        <v>41795</v>
      </c>
      <c r="I62" s="35">
        <v>108570.31</v>
      </c>
      <c r="J62" s="35" t="s">
        <v>834</v>
      </c>
      <c r="K62" s="35">
        <v>112200.08</v>
      </c>
      <c r="L62" s="170">
        <f t="shared" si="2"/>
        <v>1.0334324365473397</v>
      </c>
      <c r="M62" s="154">
        <v>192688.42</v>
      </c>
      <c r="N62" s="170">
        <f t="shared" si="0"/>
        <v>0.58228761230176673</v>
      </c>
      <c r="O62" s="170">
        <f t="shared" si="3"/>
        <v>0.69768983652215366</v>
      </c>
      <c r="P62" s="170">
        <f>IF(A62=$X$29,K62/(D62*Vendas!$U$25),IF(A62=$X$30,K62/(D62*Vendas!$U$26),IF(A62=$X$31,K62/(D62*Vendas!$U$27),IF(A62=$X$32,K62/(D62*Vendas!$U$28),IF(A62=$X$33,K62/(D62*Vendas!$U$29),IF(A62=$X$34,K62/(D62*Vendas!$U$30),IF(A62=$X$35,K62/(D62*Vendas!$U$31),IF(A62=$X$36,K62/(D62*Vendas!$U$32),0))))))))</f>
        <v>0.66074458797214441</v>
      </c>
      <c r="Q62" s="170">
        <f>IF(A62=$X$29,K62/(D62*Vendas!$U$25),IF(A62=$X$30,K62/(D62*Vendas!$U$26),IF(A62=$X$31,K62/(D62*Vendas!$U$27),IF(A62=$X$32,K62/(D62*Vendas!$U$28),IF(A62=$X$33,K62/(D62*Vendas!$U$29),IF(A62=$X$34,K62/(D62*Vendas!$U$30),IF(A62=$X$35,K62/(D62*Vendas!$U$31),IF(A62=$X$36,K62/(D62*Vendas!$U$32),0))))))))</f>
        <v>0.66074458797214441</v>
      </c>
    </row>
    <row r="63" spans="1:18">
      <c r="A63" s="263" t="s">
        <v>34</v>
      </c>
      <c r="B63" s="337" t="s">
        <v>507</v>
      </c>
      <c r="C63" s="73">
        <v>23</v>
      </c>
      <c r="D63" s="315">
        <v>268.58</v>
      </c>
      <c r="E63" s="166">
        <v>2611</v>
      </c>
      <c r="F63" s="74" t="s">
        <v>344</v>
      </c>
      <c r="G63" s="34" t="str">
        <f t="shared" si="1"/>
        <v>XXIII23MARCOS GUIRALDELLI JUNIOR</v>
      </c>
      <c r="H63" s="40">
        <v>41438</v>
      </c>
      <c r="I63" s="35">
        <v>98461.43</v>
      </c>
      <c r="J63" s="35" t="s">
        <v>1250</v>
      </c>
      <c r="K63" s="35">
        <v>104107.92</v>
      </c>
      <c r="L63" s="170">
        <f t="shared" si="2"/>
        <v>1.0573472272340552</v>
      </c>
      <c r="M63" s="154">
        <v>239443.08000000002</v>
      </c>
      <c r="N63" s="170">
        <f t="shared" si="0"/>
        <v>0.43479193468443522</v>
      </c>
      <c r="O63" s="170">
        <f t="shared" si="3"/>
        <v>0.64737064078262196</v>
      </c>
      <c r="P63" s="170">
        <f>IF(A63=$X$29,K63/(D63*Vendas!$U$25),IF(A63=$X$30,K63/(D63*Vendas!$U$26),IF(A63=$X$31,K63/(D63*Vendas!$U$27),IF(A63=$X$32,K63/(D63*Vendas!$U$28),IF(A63=$X$33,K63/(D63*Vendas!$U$29),IF(A63=$X$34,K63/(D63*Vendas!$U$30),IF(A63=$X$35,K63/(D63*Vendas!$U$31),IF(A63=$X$36,K63/(D63*Vendas!$U$32),0))))))))</f>
        <v>0.61308997912512164</v>
      </c>
      <c r="Q63" s="170">
        <f>IF(A63=$X$29,K63/(D63*Vendas!$U$25),IF(A63=$X$30,K63/(D63*Vendas!$U$26),IF(A63=$X$31,K63/(D63*Vendas!$U$27),IF(A63=$X$32,K63/(D63*Vendas!$U$28),IF(A63=$X$33,K63/(D63*Vendas!$U$29),IF(A63=$X$34,K63/(D63*Vendas!$U$30),IF(A63=$X$35,K63/(D63*Vendas!$U$31),IF(A63=$X$36,K63/(D63*Vendas!$U$32),0))))))))</f>
        <v>0.61308997912512164</v>
      </c>
    </row>
    <row r="64" spans="1:18">
      <c r="A64" s="263" t="s">
        <v>34</v>
      </c>
      <c r="B64" s="337" t="s">
        <v>507</v>
      </c>
      <c r="C64" s="166">
        <v>26</v>
      </c>
      <c r="D64" s="197">
        <v>268.58</v>
      </c>
      <c r="E64" s="166">
        <v>2763</v>
      </c>
      <c r="F64" s="338" t="s">
        <v>416</v>
      </c>
      <c r="G64" s="34" t="str">
        <f t="shared" si="1"/>
        <v>XXIII26ROBERTO MARTINS</v>
      </c>
      <c r="H64" s="40">
        <v>41501</v>
      </c>
      <c r="I64" s="35">
        <v>103258.27</v>
      </c>
      <c r="J64" s="35" t="s">
        <v>834</v>
      </c>
      <c r="K64" s="35">
        <v>89192.74</v>
      </c>
      <c r="L64" s="170">
        <f t="shared" si="2"/>
        <v>0.86378301708909133</v>
      </c>
      <c r="M64" s="154">
        <v>185791.65</v>
      </c>
      <c r="N64" s="170">
        <f t="shared" si="0"/>
        <v>0.48006861449370847</v>
      </c>
      <c r="O64" s="170">
        <f t="shared" si="3"/>
        <v>0.55462409821421654</v>
      </c>
      <c r="P64" s="170">
        <f>IF(A64=$X$29,K64/(D64*Vendas!$U$25),IF(A64=$X$30,K64/(D64*Vendas!$U$26),IF(A64=$X$31,K64/(D64*Vendas!$U$27),IF(A64=$X$32,K64/(D64*Vendas!$U$28),IF(A64=$X$33,K64/(D64*Vendas!$U$29),IF(A64=$X$34,K64/(D64*Vendas!$U$30),IF(A64=$X$35,K64/(D64*Vendas!$U$31),IF(A64=$X$36,K64/(D64*Vendas!$U$32),0))))))))</f>
        <v>0.52525470785231709</v>
      </c>
      <c r="Q64" s="170">
        <f>IF(A64=$X$29,K64/(D64*Vendas!$U$25),IF(A64=$X$30,K64/(D64*Vendas!$U$26),IF(A64=$X$31,K64/(D64*Vendas!$U$27),IF(A64=$X$32,K64/(D64*Vendas!$U$28),IF(A64=$X$33,K64/(D64*Vendas!$U$29),IF(A64=$X$34,K64/(D64*Vendas!$U$30),IF(A64=$X$35,K64/(D64*Vendas!$U$31),IF(A64=$X$36,K64/(D64*Vendas!$U$32),0))))))))</f>
        <v>0.52525470785231709</v>
      </c>
    </row>
    <row r="65" spans="1:17">
      <c r="A65" s="263" t="s">
        <v>34</v>
      </c>
      <c r="B65" s="337" t="s">
        <v>507</v>
      </c>
      <c r="C65" s="73">
        <v>27</v>
      </c>
      <c r="D65" s="315">
        <v>268.58</v>
      </c>
      <c r="E65" s="166">
        <v>2362</v>
      </c>
      <c r="F65" s="74" t="s">
        <v>357</v>
      </c>
      <c r="G65" s="34" t="str">
        <f t="shared" si="1"/>
        <v>XXIII27MARINA APARECIDA BERNINI</v>
      </c>
      <c r="H65" s="40">
        <v>41445</v>
      </c>
      <c r="I65" s="35">
        <v>98461.43</v>
      </c>
      <c r="J65" s="35" t="s">
        <v>834</v>
      </c>
      <c r="K65" s="35">
        <v>87825.61</v>
      </c>
      <c r="L65" s="170">
        <f t="shared" si="2"/>
        <v>0.89197983413403614</v>
      </c>
      <c r="M65" s="154">
        <v>178642.89</v>
      </c>
      <c r="N65" s="170">
        <f t="shared" si="0"/>
        <v>0.49162667487074352</v>
      </c>
      <c r="O65" s="170">
        <f t="shared" si="3"/>
        <v>0.54612292151091535</v>
      </c>
      <c r="P65" s="170">
        <f>IF(A65=$X$29,K65/(D65*Vendas!$U$25),IF(A65=$X$30,K65/(D65*Vendas!$U$26),IF(A65=$X$31,K65/(D65*Vendas!$U$27),IF(A65=$X$32,K65/(D65*Vendas!$U$28),IF(A65=$X$33,K65/(D65*Vendas!$U$29),IF(A65=$X$34,K65/(D65*Vendas!$U$30),IF(A65=$X$35,K65/(D65*Vendas!$U$31),IF(A65=$X$36,K65/(D65*Vendas!$U$32),0))))))))</f>
        <v>0.51720369979105407</v>
      </c>
      <c r="Q65" s="170">
        <f>IF(A65=$X$29,K65/(D65*Vendas!$U$25),IF(A65=$X$30,K65/(D65*Vendas!$U$26),IF(A65=$X$31,K65/(D65*Vendas!$U$27),IF(A65=$X$32,K65/(D65*Vendas!$U$28),IF(A65=$X$33,K65/(D65*Vendas!$U$29),IF(A65=$X$34,K65/(D65*Vendas!$U$30),IF(A65=$X$35,K65/(D65*Vendas!$U$31),IF(A65=$X$36,K65/(D65*Vendas!$U$32),0))))))))</f>
        <v>0.51720369979105407</v>
      </c>
    </row>
    <row r="66" spans="1:17">
      <c r="A66" s="263" t="s">
        <v>34</v>
      </c>
      <c r="B66" s="337" t="s">
        <v>507</v>
      </c>
      <c r="C66" s="166">
        <v>29</v>
      </c>
      <c r="D66" s="197">
        <v>268.58</v>
      </c>
      <c r="E66" s="166">
        <v>2356</v>
      </c>
      <c r="F66" s="338" t="s">
        <v>788</v>
      </c>
      <c r="G66" s="34" t="str">
        <f t="shared" si="1"/>
        <v>XXIII29VINICIUS MENDONCA DE OLIVEIRA</v>
      </c>
      <c r="H66" s="40">
        <v>41444</v>
      </c>
      <c r="I66" s="35">
        <v>98461.62</v>
      </c>
      <c r="J66" s="35" t="s">
        <v>834</v>
      </c>
      <c r="K66" s="35">
        <v>85935.56</v>
      </c>
      <c r="L66" s="170">
        <f t="shared" si="2"/>
        <v>0.87278230847715077</v>
      </c>
      <c r="M66" s="154">
        <v>196537.32</v>
      </c>
      <c r="N66" s="170">
        <f t="shared" si="0"/>
        <v>0.43724805039572123</v>
      </c>
      <c r="O66" s="170">
        <f t="shared" si="3"/>
        <v>0.53437008964556643</v>
      </c>
      <c r="P66" s="170">
        <f>IF(A66=$X$29,K66/(D66*Vendas!$U$25),IF(A66=$X$30,K66/(D66*Vendas!$U$26),IF(A66=$X$31,K66/(D66*Vendas!$U$27),IF(A66=$X$32,K66/(D66*Vendas!$U$28),IF(A66=$X$33,K66/(D66*Vendas!$U$29),IF(A66=$X$34,K66/(D66*Vendas!$U$30),IF(A66=$X$35,K66/(D66*Vendas!$U$31),IF(A66=$X$36,K66/(D66*Vendas!$U$32),0))))))))</f>
        <v>0.50607322369427454</v>
      </c>
      <c r="Q66" s="170">
        <f>IF(A66=$X$29,K66/(D66*Vendas!$U$25),IF(A66=$X$30,K66/(D66*Vendas!$U$26),IF(A66=$X$31,K66/(D66*Vendas!$U$27),IF(A66=$X$32,K66/(D66*Vendas!$U$28),IF(A66=$X$33,K66/(D66*Vendas!$U$29),IF(A66=$X$34,K66/(D66*Vendas!$U$30),IF(A66=$X$35,K66/(D66*Vendas!$U$31),IF(A66=$X$36,K66/(D66*Vendas!$U$32),0))))))))</f>
        <v>0.50607322369427454</v>
      </c>
    </row>
    <row r="67" spans="1:17">
      <c r="A67" s="263" t="s">
        <v>34</v>
      </c>
      <c r="B67" s="337" t="s">
        <v>507</v>
      </c>
      <c r="C67" s="73">
        <v>30</v>
      </c>
      <c r="D67" s="315">
        <v>268.58</v>
      </c>
      <c r="E67" s="166">
        <v>6481</v>
      </c>
      <c r="F67" s="74" t="s">
        <v>639</v>
      </c>
      <c r="G67" s="34" t="str">
        <f t="shared" si="1"/>
        <v>XXIII30EDUARDO FAGANELLO HELBEL</v>
      </c>
      <c r="H67" s="40">
        <v>43272</v>
      </c>
      <c r="I67" s="35">
        <v>162897.51</v>
      </c>
      <c r="J67" s="35" t="s">
        <v>834</v>
      </c>
      <c r="K67" s="35">
        <v>155185.29</v>
      </c>
      <c r="L67" s="170">
        <f t="shared" si="2"/>
        <v>0.95265599824085712</v>
      </c>
      <c r="M67" s="154">
        <v>231523.01</v>
      </c>
      <c r="N67" s="170">
        <f t="shared" si="0"/>
        <v>0.6702802023867952</v>
      </c>
      <c r="O67" s="170">
        <f t="shared" si="3"/>
        <v>0.96498326570482851</v>
      </c>
      <c r="P67" s="170">
        <f>IF(A67=$X$29,K67/(D67*Vendas!$U$25),IF(A67=$X$30,K67/(D67*Vendas!$U$26),IF(A67=$X$31,K67/(D67*Vendas!$U$27),IF(A67=$X$32,K67/(D67*Vendas!$U$28),IF(A67=$X$33,K67/(D67*Vendas!$U$29),IF(A67=$X$34,K67/(D67*Vendas!$U$30),IF(A67=$X$35,K67/(D67*Vendas!$U$31),IF(A67=$X$36,K67/(D67*Vendas!$U$32),0))))))))</f>
        <v>0.91388384482780893</v>
      </c>
      <c r="Q67" s="170">
        <f>IF(A67=$X$29,K67/(D67*Vendas!$U$25),IF(A67=$X$30,K67/(D67*Vendas!$U$26),IF(A67=$X$31,K67/(D67*Vendas!$U$27),IF(A67=$X$32,K67/(D67*Vendas!$U$28),IF(A67=$X$33,K67/(D67*Vendas!$U$29),IF(A67=$X$34,K67/(D67*Vendas!$U$30),IF(A67=$X$35,K67/(D67*Vendas!$U$31),IF(A67=$X$36,K67/(D67*Vendas!$U$32),0))))))))</f>
        <v>0.91388384482780893</v>
      </c>
    </row>
    <row r="68" spans="1:17">
      <c r="A68" s="263" t="s">
        <v>34</v>
      </c>
      <c r="B68" s="337" t="s">
        <v>507</v>
      </c>
      <c r="C68" s="166">
        <v>31</v>
      </c>
      <c r="D68" s="197">
        <v>268.58</v>
      </c>
      <c r="E68" s="166">
        <v>2674</v>
      </c>
      <c r="F68" s="338" t="s">
        <v>857</v>
      </c>
      <c r="G68" s="34" t="str">
        <f t="shared" si="1"/>
        <v>XXIII31VALDIR DAMA</v>
      </c>
      <c r="H68" s="40">
        <v>43419</v>
      </c>
      <c r="I68" s="35">
        <v>162896.34</v>
      </c>
      <c r="J68" s="35" t="s">
        <v>834</v>
      </c>
      <c r="K68" s="35">
        <v>155587.25</v>
      </c>
      <c r="L68" s="170">
        <f t="shared" si="2"/>
        <v>0.95513042220592559</v>
      </c>
      <c r="M68" s="154">
        <v>220290.69</v>
      </c>
      <c r="N68" s="170">
        <f t="shared" si="0"/>
        <v>0.70628155007367766</v>
      </c>
      <c r="O68" s="170">
        <f t="shared" si="3"/>
        <v>0.96748275952594198</v>
      </c>
      <c r="P68" s="170">
        <f>IF(A68=$X$29,K68/(D68*Vendas!$U$25),IF(A68=$X$30,K68/(D68*Vendas!$U$26),IF(A68=$X$31,K68/(D68*Vendas!$U$27),IF(A68=$X$32,K68/(D68*Vendas!$U$28),IF(A68=$X$33,K68/(D68*Vendas!$U$29),IF(A68=$X$34,K68/(D68*Vendas!$U$30),IF(A68=$X$35,K68/(D68*Vendas!$U$31),IF(A68=$X$36,K68/(D68*Vendas!$U$32),0))))))))</f>
        <v>0.91625098123788351</v>
      </c>
      <c r="Q68" s="170">
        <f>IF(A68=$X$29,K68/(D68*Vendas!$U$25),IF(A68=$X$30,K68/(D68*Vendas!$U$26),IF(A68=$X$31,K68/(D68*Vendas!$U$27),IF(A68=$X$32,K68/(D68*Vendas!$U$28),IF(A68=$X$33,K68/(D68*Vendas!$U$29),IF(A68=$X$34,K68/(D68*Vendas!$U$30),IF(A68=$X$35,K68/(D68*Vendas!$U$31),IF(A68=$X$36,K68/(D68*Vendas!$U$32),0))))))))</f>
        <v>0.91625098123788351</v>
      </c>
    </row>
    <row r="69" spans="1:17">
      <c r="A69" s="263" t="s">
        <v>34</v>
      </c>
      <c r="B69" s="337" t="s">
        <v>507</v>
      </c>
      <c r="C69" s="73">
        <v>32</v>
      </c>
      <c r="D69" s="315">
        <v>268.58</v>
      </c>
      <c r="E69" s="166">
        <v>6565</v>
      </c>
      <c r="F69" s="74" t="s">
        <v>761</v>
      </c>
      <c r="G69" s="34" t="str">
        <f t="shared" ref="G69:G132" si="8">CONCATENATE(B69,C69,F69)</f>
        <v>XXIII32SERGIO PEREIRA JUNIOR</v>
      </c>
      <c r="H69" s="40">
        <v>43299</v>
      </c>
      <c r="I69" s="35">
        <v>162897.51</v>
      </c>
      <c r="J69" s="35" t="s">
        <v>1250</v>
      </c>
      <c r="K69" s="35">
        <v>186653.39</v>
      </c>
      <c r="L69" s="170">
        <f t="shared" ref="L69:L132" si="9">K69/I69</f>
        <v>1.1458332911288822</v>
      </c>
      <c r="M69" s="154">
        <v>233144.49</v>
      </c>
      <c r="N69" s="170">
        <f t="shared" ref="N69:N132" si="10">K69/M69</f>
        <v>0.80059104120367597</v>
      </c>
      <c r="O69" s="170">
        <f t="shared" ref="O69:O132" si="11">K69/(D69*$U$10)</f>
        <v>1.1606602522512086</v>
      </c>
      <c r="P69" s="170">
        <f>IF(A69=$X$29,K69/(D69*Vendas!$U$25),IF(A69=$X$30,K69/(D69*Vendas!$U$26),IF(A69=$X$31,K69/(D69*Vendas!$U$27),IF(A69=$X$32,K69/(D69*Vendas!$U$28),IF(A69=$X$33,K69/(D69*Vendas!$U$29),IF(A69=$X$34,K69/(D69*Vendas!$U$30),IF(A69=$X$35,K69/(D69*Vendas!$U$31),IF(A69=$X$36,K69/(D69*Vendas!$U$32),0))))))))</f>
        <v>1.0991990136651775</v>
      </c>
      <c r="Q69" s="170">
        <f>IF(A69=$X$29,K69/(D69*Vendas!$U$25),IF(A69=$X$30,K69/(D69*Vendas!$U$26),IF(A69=$X$31,K69/(D69*Vendas!$U$27),IF(A69=$X$32,K69/(D69*Vendas!$U$28),IF(A69=$X$33,K69/(D69*Vendas!$U$29),IF(A69=$X$34,K69/(D69*Vendas!$U$30),IF(A69=$X$35,K69/(D69*Vendas!$U$31),IF(A69=$X$36,K69/(D69*Vendas!$U$32),0))))))))</f>
        <v>1.0991990136651775</v>
      </c>
    </row>
    <row r="70" spans="1:17">
      <c r="A70" s="263" t="s">
        <v>34</v>
      </c>
      <c r="B70" s="337" t="s">
        <v>507</v>
      </c>
      <c r="C70" s="166">
        <v>33</v>
      </c>
      <c r="D70" s="197">
        <v>266.81</v>
      </c>
      <c r="E70" s="166">
        <v>4834</v>
      </c>
      <c r="F70" s="338" t="s">
        <v>191</v>
      </c>
      <c r="G70" s="34" t="str">
        <f t="shared" si="8"/>
        <v>XXIII33ERMESON TIAGO MENDES LIMA</v>
      </c>
      <c r="H70" s="40">
        <v>44105</v>
      </c>
      <c r="I70" s="35">
        <v>213072.4</v>
      </c>
      <c r="J70" s="35" t="s">
        <v>834</v>
      </c>
      <c r="K70" s="35">
        <v>137624.99</v>
      </c>
      <c r="L70" s="170">
        <f t="shared" si="9"/>
        <v>0.64590716582720242</v>
      </c>
      <c r="M70" s="154">
        <v>226019.9</v>
      </c>
      <c r="N70" s="170">
        <f t="shared" si="10"/>
        <v>0.6089065166385792</v>
      </c>
      <c r="O70" s="170">
        <f t="shared" si="11"/>
        <v>0.86146591162690178</v>
      </c>
      <c r="P70" s="170">
        <f>IF(A70=$X$29,K70/(D70*Vendas!$U$25),IF(A70=$X$30,K70/(D70*Vendas!$U$26),IF(A70=$X$31,K70/(D70*Vendas!$U$27),IF(A70=$X$32,K70/(D70*Vendas!$U$28),IF(A70=$X$33,K70/(D70*Vendas!$U$29),IF(A70=$X$34,K70/(D70*Vendas!$U$30),IF(A70=$X$35,K70/(D70*Vendas!$U$31),IF(A70=$X$36,K70/(D70*Vendas!$U$32),0))))))))</f>
        <v>0.81584811621645437</v>
      </c>
      <c r="Q70" s="170">
        <f>IF(A70=$X$29,K70/(D70*Vendas!$U$25),IF(A70=$X$30,K70/(D70*Vendas!$U$26),IF(A70=$X$31,K70/(D70*Vendas!$U$27),IF(A70=$X$32,K70/(D70*Vendas!$U$28),IF(A70=$X$33,K70/(D70*Vendas!$U$29),IF(A70=$X$34,K70/(D70*Vendas!$U$30),IF(A70=$X$35,K70/(D70*Vendas!$U$31),IF(A70=$X$36,K70/(D70*Vendas!$U$32),0))))))))</f>
        <v>0.81584811621645437</v>
      </c>
    </row>
    <row r="71" spans="1:17">
      <c r="A71" s="263" t="s">
        <v>34</v>
      </c>
      <c r="B71" s="337" t="s">
        <v>508</v>
      </c>
      <c r="C71" s="73">
        <v>1</v>
      </c>
      <c r="D71" s="315">
        <v>330.15</v>
      </c>
      <c r="E71" s="166">
        <v>2713</v>
      </c>
      <c r="F71" s="74" t="s">
        <v>283</v>
      </c>
      <c r="G71" s="34" t="str">
        <f t="shared" si="8"/>
        <v>XXIV1JOSEMARIS APARECIDA MARTINELLI</v>
      </c>
      <c r="H71" s="40">
        <v>41479</v>
      </c>
      <c r="I71" s="35">
        <v>117929.58</v>
      </c>
      <c r="J71" s="35" t="s">
        <v>834</v>
      </c>
      <c r="K71" s="35">
        <v>119305.13</v>
      </c>
      <c r="L71" s="170">
        <f t="shared" si="9"/>
        <v>1.011664164325863</v>
      </c>
      <c r="M71" s="154">
        <v>225778.66</v>
      </c>
      <c r="N71" s="170">
        <f t="shared" si="10"/>
        <v>0.52841632597163968</v>
      </c>
      <c r="O71" s="170">
        <f t="shared" si="11"/>
        <v>0.60351867898416656</v>
      </c>
      <c r="P71" s="170">
        <f>IF(A71=$X$29,K71/(D71*Vendas!$U$25),IF(A71=$X$30,K71/(D71*Vendas!$U$26),IF(A71=$X$31,K71/(D71*Vendas!$U$27),IF(A71=$X$32,K71/(D71*Vendas!$U$28),IF(A71=$X$33,K71/(D71*Vendas!$U$29),IF(A71=$X$34,K71/(D71*Vendas!$U$30),IF(A71=$X$35,K71/(D71*Vendas!$U$31),IF(A71=$X$36,K71/(D71*Vendas!$U$32),0))))))))</f>
        <v>0.57156014034357217</v>
      </c>
      <c r="Q71" s="170">
        <f>IF(A71=$X$29,K71/(D71*Vendas!$U$25),IF(A71=$X$30,K71/(D71*Vendas!$U$26),IF(A71=$X$31,K71/(D71*Vendas!$U$27),IF(A71=$X$32,K71/(D71*Vendas!$U$28),IF(A71=$X$33,K71/(D71*Vendas!$U$29),IF(A71=$X$34,K71/(D71*Vendas!$U$30),IF(A71=$X$35,K71/(D71*Vendas!$U$31),IF(A71=$X$36,K71/(D71*Vendas!$U$32),0))))))))</f>
        <v>0.57156014034357217</v>
      </c>
    </row>
    <row r="72" spans="1:17">
      <c r="A72" s="263" t="s">
        <v>34</v>
      </c>
      <c r="B72" s="337" t="s">
        <v>508</v>
      </c>
      <c r="C72" s="166">
        <v>3</v>
      </c>
      <c r="D72" s="197">
        <v>256.14</v>
      </c>
      <c r="E72" s="166">
        <v>2663</v>
      </c>
      <c r="F72" s="338" t="s">
        <v>1363</v>
      </c>
      <c r="G72" s="34" t="str">
        <f t="shared" si="8"/>
        <v>XXIV3LARISSA BASSI PICONI</v>
      </c>
      <c r="H72" s="40">
        <v>41462</v>
      </c>
      <c r="I72" s="35">
        <v>98716.36</v>
      </c>
      <c r="J72" s="35" t="s">
        <v>1249</v>
      </c>
      <c r="K72" s="35">
        <v>108236.21</v>
      </c>
      <c r="L72" s="170">
        <f t="shared" si="9"/>
        <v>1.0964363961556121</v>
      </c>
      <c r="M72" s="154">
        <v>203002.96</v>
      </c>
      <c r="N72" s="170">
        <f t="shared" si="10"/>
        <v>0.5331755261105553</v>
      </c>
      <c r="O72" s="170">
        <f t="shared" si="11"/>
        <v>0.70572917370232435</v>
      </c>
      <c r="P72" s="170">
        <f>IF(A72=$X$29,K72/(D72*Vendas!$U$25),IF(A72=$X$30,K72/(D72*Vendas!$U$26),IF(A72=$X$31,K72/(D72*Vendas!$U$27),IF(A72=$X$32,K72/(D72*Vendas!$U$28),IF(A72=$X$33,K72/(D72*Vendas!$U$29),IF(A72=$X$34,K72/(D72*Vendas!$U$30),IF(A72=$X$35,K72/(D72*Vendas!$U$31),IF(A72=$X$36,K72/(D72*Vendas!$U$32),0))))))))</f>
        <v>0.66835821261538142</v>
      </c>
      <c r="Q72" s="170">
        <f>IF(A72=$X$29,K72/(D72*Vendas!$U$25),IF(A72=$X$30,K72/(D72*Vendas!$U$26),IF(A72=$X$31,K72/(D72*Vendas!$U$27),IF(A72=$X$32,K72/(D72*Vendas!$U$28),IF(A72=$X$33,K72/(D72*Vendas!$U$29),IF(A72=$X$34,K72/(D72*Vendas!$U$30),IF(A72=$X$35,K72/(D72*Vendas!$U$31),IF(A72=$X$36,K72/(D72*Vendas!$U$32),0))))))))</f>
        <v>0.66835821261538142</v>
      </c>
    </row>
    <row r="73" spans="1:17">
      <c r="A73" s="263" t="s">
        <v>34</v>
      </c>
      <c r="B73" s="337" t="s">
        <v>508</v>
      </c>
      <c r="C73" s="73">
        <v>5</v>
      </c>
      <c r="D73" s="315">
        <v>256.14</v>
      </c>
      <c r="E73" s="166">
        <v>2449</v>
      </c>
      <c r="F73" s="74" t="s">
        <v>190</v>
      </c>
      <c r="G73" s="34" t="str">
        <f t="shared" si="8"/>
        <v>XXIV5ERICA DE CAMARGO CORREA FERRAZ MARANGONI</v>
      </c>
      <c r="H73" s="40">
        <v>41445</v>
      </c>
      <c r="I73" s="35">
        <v>98716.36</v>
      </c>
      <c r="J73" s="35" t="s">
        <v>834</v>
      </c>
      <c r="K73" s="35">
        <v>7792.45</v>
      </c>
      <c r="L73" s="170">
        <f t="shared" si="9"/>
        <v>7.8937776879131283E-2</v>
      </c>
      <c r="M73" s="154">
        <v>189214.86000000002</v>
      </c>
      <c r="N73" s="170">
        <f t="shared" si="10"/>
        <v>4.1183076212935911E-2</v>
      </c>
      <c r="O73" s="170">
        <f t="shared" si="11"/>
        <v>5.0808867934461835E-2</v>
      </c>
      <c r="P73" s="170">
        <f>IF(A73=$X$29,K73/(D73*Vendas!$U$25),IF(A73=$X$30,K73/(D73*Vendas!$U$26),IF(A73=$X$31,K73/(D73*Vendas!$U$27),IF(A73=$X$32,K73/(D73*Vendas!$U$28),IF(A73=$X$33,K73/(D73*Vendas!$U$29),IF(A73=$X$34,K73/(D73*Vendas!$U$30),IF(A73=$X$35,K73/(D73*Vendas!$U$31),IF(A73=$X$36,K73/(D73*Vendas!$U$32),0))))))))</f>
        <v>4.8118351094284695E-2</v>
      </c>
      <c r="Q73" s="170">
        <f>IF(A73=$X$29,K73/(D73*Vendas!$U$25),IF(A73=$X$30,K73/(D73*Vendas!$U$26),IF(A73=$X$31,K73/(D73*Vendas!$U$27),IF(A73=$X$32,K73/(D73*Vendas!$U$28),IF(A73=$X$33,K73/(D73*Vendas!$U$29),IF(A73=$X$34,K73/(D73*Vendas!$U$30),IF(A73=$X$35,K73/(D73*Vendas!$U$31),IF(A73=$X$36,K73/(D73*Vendas!$U$32),0))))))))</f>
        <v>4.8118351094284695E-2</v>
      </c>
    </row>
    <row r="74" spans="1:17">
      <c r="A74" s="263" t="s">
        <v>34</v>
      </c>
      <c r="B74" s="337" t="s">
        <v>508</v>
      </c>
      <c r="C74" s="166">
        <v>6</v>
      </c>
      <c r="D74" s="197">
        <v>256.14</v>
      </c>
      <c r="E74" s="166">
        <v>3773</v>
      </c>
      <c r="F74" s="338" t="s">
        <v>1137</v>
      </c>
      <c r="G74" s="34" t="str">
        <f t="shared" si="8"/>
        <v>XXIV6RODRIGO ALBUQUERQUE LINDOLFO</v>
      </c>
      <c r="H74" s="40">
        <v>43866</v>
      </c>
      <c r="I74" s="35">
        <v>156980</v>
      </c>
      <c r="J74" s="35" t="s">
        <v>834</v>
      </c>
      <c r="K74" s="35">
        <v>155083.96</v>
      </c>
      <c r="L74" s="170">
        <f t="shared" si="9"/>
        <v>0.98792177347432786</v>
      </c>
      <c r="M74" s="154">
        <v>185733.41</v>
      </c>
      <c r="N74" s="170">
        <f t="shared" si="10"/>
        <v>0.83498149309809144</v>
      </c>
      <c r="O74" s="170">
        <f t="shared" si="11"/>
        <v>1.0111890923128619</v>
      </c>
      <c r="P74" s="170">
        <f>IF(A74=$X$29,K74/(D74*Vendas!$U$25),IF(A74=$X$30,K74/(D74*Vendas!$U$26),IF(A74=$X$31,K74/(D74*Vendas!$U$27),IF(A74=$X$32,K74/(D74*Vendas!$U$28),IF(A74=$X$33,K74/(D74*Vendas!$U$29),IF(A74=$X$34,K74/(D74*Vendas!$U$30),IF(A74=$X$35,K74/(D74*Vendas!$U$31),IF(A74=$X$36,K74/(D74*Vendas!$U$32),0))))))))</f>
        <v>0.95764290260085128</v>
      </c>
      <c r="Q74" s="170">
        <f>IF(A74=$X$29,K74/(D74*Vendas!$U$25),IF(A74=$X$30,K74/(D74*Vendas!$U$26),IF(A74=$X$31,K74/(D74*Vendas!$U$27),IF(A74=$X$32,K74/(D74*Vendas!$U$28),IF(A74=$X$33,K74/(D74*Vendas!$U$29),IF(A74=$X$34,K74/(D74*Vendas!$U$30),IF(A74=$X$35,K74/(D74*Vendas!$U$31),IF(A74=$X$36,K74/(D74*Vendas!$U$32),0))))))))</f>
        <v>0.95764290260085128</v>
      </c>
    </row>
    <row r="75" spans="1:17">
      <c r="A75" s="263" t="s">
        <v>34</v>
      </c>
      <c r="B75" s="337" t="s">
        <v>508</v>
      </c>
      <c r="C75" s="73">
        <v>9</v>
      </c>
      <c r="D75" s="315">
        <v>256.14</v>
      </c>
      <c r="E75" s="166">
        <v>5049</v>
      </c>
      <c r="F75" s="74" t="s">
        <v>1478</v>
      </c>
      <c r="G75" s="34" t="str">
        <f t="shared" si="8"/>
        <v>XXIV9MARIANA LIE NAKAYAMA</v>
      </c>
      <c r="H75" s="40">
        <v>44242</v>
      </c>
      <c r="I75" s="35">
        <v>164500.1</v>
      </c>
      <c r="J75" s="35" t="s">
        <v>834</v>
      </c>
      <c r="K75" s="35">
        <v>92285.83</v>
      </c>
      <c r="L75" s="170">
        <f t="shared" si="9"/>
        <v>0.56100774406824072</v>
      </c>
      <c r="M75" s="154">
        <v>164975.36000000002</v>
      </c>
      <c r="N75" s="170">
        <f t="shared" si="10"/>
        <v>0.55939159641779224</v>
      </c>
      <c r="O75" s="170">
        <f t="shared" si="11"/>
        <v>0.60172841002408695</v>
      </c>
      <c r="P75" s="170">
        <f>IF(A75=$X$29,K75/(D75*Vendas!$U$25),IF(A75=$X$30,K75/(D75*Vendas!$U$26),IF(A75=$X$31,K75/(D75*Vendas!$U$27),IF(A75=$X$32,K75/(D75*Vendas!$U$28),IF(A75=$X$33,K75/(D75*Vendas!$U$29),IF(A75=$X$34,K75/(D75*Vendas!$U$30),IF(A75=$X$35,K75/(D75*Vendas!$U$31),IF(A75=$X$36,K75/(D75*Vendas!$U$32),0))))))))</f>
        <v>0.56986467272391506</v>
      </c>
      <c r="Q75" s="170">
        <f>IF(A75=$X$29,K75/(D75*Vendas!$U$25),IF(A75=$X$30,K75/(D75*Vendas!$U$26),IF(A75=$X$31,K75/(D75*Vendas!$U$27),IF(A75=$X$32,K75/(D75*Vendas!$U$28),IF(A75=$X$33,K75/(D75*Vendas!$U$29),IF(A75=$X$34,K75/(D75*Vendas!$U$30),IF(A75=$X$35,K75/(D75*Vendas!$U$31),IF(A75=$X$36,K75/(D75*Vendas!$U$32),0))))))))</f>
        <v>0.56986467272391506</v>
      </c>
    </row>
    <row r="76" spans="1:17">
      <c r="A76" s="263" t="s">
        <v>34</v>
      </c>
      <c r="B76" s="337" t="s">
        <v>508</v>
      </c>
      <c r="C76" s="166">
        <v>10</v>
      </c>
      <c r="D76" s="197">
        <v>256.14</v>
      </c>
      <c r="E76" s="166">
        <v>2557</v>
      </c>
      <c r="F76" s="338" t="s">
        <v>1126</v>
      </c>
      <c r="G76" s="34" t="str">
        <f t="shared" si="8"/>
        <v>XXIV10GUSTAVO APARECIDO BRANDAO MEIRELES</v>
      </c>
      <c r="H76" s="40">
        <v>41456</v>
      </c>
      <c r="I76" s="35">
        <v>93900.92</v>
      </c>
      <c r="J76" s="35" t="s">
        <v>1250</v>
      </c>
      <c r="K76" s="35">
        <v>172605.52</v>
      </c>
      <c r="L76" s="170">
        <f t="shared" si="9"/>
        <v>1.8381664418197392</v>
      </c>
      <c r="M76" s="154">
        <v>206355.14</v>
      </c>
      <c r="N76" s="170">
        <f t="shared" si="10"/>
        <v>0.83644885220692822</v>
      </c>
      <c r="O76" s="170">
        <f t="shared" si="11"/>
        <v>1.1254343717879627</v>
      </c>
      <c r="P76" s="170">
        <f>IF(A76=$X$29,K76/(D76*Vendas!$U$25),IF(A76=$X$30,K76/(D76*Vendas!$U$26),IF(A76=$X$31,K76/(D76*Vendas!$U$27),IF(A76=$X$32,K76/(D76*Vendas!$U$28),IF(A76=$X$33,K76/(D76*Vendas!$U$29),IF(A76=$X$34,K76/(D76*Vendas!$U$30),IF(A76=$X$35,K76/(D76*Vendas!$U$31),IF(A76=$X$36,K76/(D76*Vendas!$U$32),0))))))))</f>
        <v>1.0658384734161372</v>
      </c>
      <c r="Q76" s="170">
        <f>IF(A76=$X$29,K76/(D76*Vendas!$U$25),IF(A76=$X$30,K76/(D76*Vendas!$U$26),IF(A76=$X$31,K76/(D76*Vendas!$U$27),IF(A76=$X$32,K76/(D76*Vendas!$U$28),IF(A76=$X$33,K76/(D76*Vendas!$U$29),IF(A76=$X$34,K76/(D76*Vendas!$U$30),IF(A76=$X$35,K76/(D76*Vendas!$U$31),IF(A76=$X$36,K76/(D76*Vendas!$U$32),0))))))))</f>
        <v>1.0658384734161372</v>
      </c>
    </row>
    <row r="77" spans="1:17">
      <c r="A77" s="263" t="s">
        <v>34</v>
      </c>
      <c r="B77" s="337" t="s">
        <v>508</v>
      </c>
      <c r="C77" s="73">
        <v>11</v>
      </c>
      <c r="D77" s="315">
        <v>256.14</v>
      </c>
      <c r="E77" s="166">
        <v>3573</v>
      </c>
      <c r="F77" s="74" t="s">
        <v>1127</v>
      </c>
      <c r="G77" s="34" t="str">
        <f t="shared" si="8"/>
        <v>XXIV11C. C. FIGUEIRA DOS SANTOS FOGOES - ME.</v>
      </c>
      <c r="H77" s="40">
        <v>41694</v>
      </c>
      <c r="I77" s="35">
        <v>96068.01</v>
      </c>
      <c r="J77" s="35" t="s">
        <v>834</v>
      </c>
      <c r="K77" s="35">
        <v>99281.57</v>
      </c>
      <c r="L77" s="170">
        <f t="shared" si="9"/>
        <v>1.0334508854716571</v>
      </c>
      <c r="M77" s="154">
        <v>186683.98</v>
      </c>
      <c r="N77" s="170">
        <f t="shared" si="10"/>
        <v>0.53181622761631719</v>
      </c>
      <c r="O77" s="170">
        <f t="shared" si="11"/>
        <v>0.64734251467202597</v>
      </c>
      <c r="P77" s="170">
        <f>IF(A77=$X$29,K77/(D77*Vendas!$U$25),IF(A77=$X$30,K77/(D77*Vendas!$U$26),IF(A77=$X$31,K77/(D77*Vendas!$U$27),IF(A77=$X$32,K77/(D77*Vendas!$U$28),IF(A77=$X$33,K77/(D77*Vendas!$U$29),IF(A77=$X$34,K77/(D77*Vendas!$U$30),IF(A77=$X$35,K77/(D77*Vendas!$U$31),IF(A77=$X$36,K77/(D77*Vendas!$U$32),0))))))))</f>
        <v>0.61306334239575522</v>
      </c>
      <c r="Q77" s="170">
        <f>IF(A77=$X$29,K77/(D77*Vendas!$U$25),IF(A77=$X$30,K77/(D77*Vendas!$U$26),IF(A77=$X$31,K77/(D77*Vendas!$U$27),IF(A77=$X$32,K77/(D77*Vendas!$U$28),IF(A77=$X$33,K77/(D77*Vendas!$U$29),IF(A77=$X$34,K77/(D77*Vendas!$U$30),IF(A77=$X$35,K77/(D77*Vendas!$U$31),IF(A77=$X$36,K77/(D77*Vendas!$U$32),0))))))))</f>
        <v>0.61306334239575522</v>
      </c>
    </row>
    <row r="78" spans="1:17">
      <c r="A78" s="263" t="s">
        <v>34</v>
      </c>
      <c r="B78" s="337" t="s">
        <v>508</v>
      </c>
      <c r="C78" s="166">
        <v>13</v>
      </c>
      <c r="D78" s="197">
        <v>256.14</v>
      </c>
      <c r="E78" s="166">
        <v>2528</v>
      </c>
      <c r="F78" s="338" t="s">
        <v>309</v>
      </c>
      <c r="G78" s="34" t="str">
        <f t="shared" si="8"/>
        <v>XXIV13LUCIANA MELANI</v>
      </c>
      <c r="H78" s="40">
        <v>41452</v>
      </c>
      <c r="I78" s="35">
        <v>91493.21</v>
      </c>
      <c r="J78" s="35" t="s">
        <v>834</v>
      </c>
      <c r="K78" s="35">
        <v>94012.03</v>
      </c>
      <c r="L78" s="170">
        <f t="shared" si="9"/>
        <v>1.0275301303779809</v>
      </c>
      <c r="M78" s="154">
        <v>223400.59</v>
      </c>
      <c r="N78" s="170">
        <f t="shared" si="10"/>
        <v>0.42082265763040283</v>
      </c>
      <c r="O78" s="170">
        <f t="shared" si="11"/>
        <v>0.61298369787687623</v>
      </c>
      <c r="P78" s="170">
        <f>IF(A78=$X$29,K78/(D78*Vendas!$U$25),IF(A78=$X$30,K78/(D78*Vendas!$U$26),IF(A78=$X$31,K78/(D78*Vendas!$U$27),IF(A78=$X$32,K78/(D78*Vendas!$U$28),IF(A78=$X$33,K78/(D78*Vendas!$U$29),IF(A78=$X$34,K78/(D78*Vendas!$U$30),IF(A78=$X$35,K78/(D78*Vendas!$U$31),IF(A78=$X$36,K78/(D78*Vendas!$U$32),0))))))))</f>
        <v>0.58052395159756243</v>
      </c>
      <c r="Q78" s="170">
        <f>IF(A78=$X$29,K78/(D78*Vendas!$U$25),IF(A78=$X$30,K78/(D78*Vendas!$U$26),IF(A78=$X$31,K78/(D78*Vendas!$U$27),IF(A78=$X$32,K78/(D78*Vendas!$U$28),IF(A78=$X$33,K78/(D78*Vendas!$U$29),IF(A78=$X$34,K78/(D78*Vendas!$U$30),IF(A78=$X$35,K78/(D78*Vendas!$U$31),IF(A78=$X$36,K78/(D78*Vendas!$U$32),0))))))))</f>
        <v>0.58052395159756243</v>
      </c>
    </row>
    <row r="79" spans="1:17">
      <c r="A79" s="263" t="s">
        <v>34</v>
      </c>
      <c r="B79" s="337" t="s">
        <v>509</v>
      </c>
      <c r="C79" s="73">
        <v>2</v>
      </c>
      <c r="D79" s="315">
        <v>255.53</v>
      </c>
      <c r="E79" s="166">
        <v>2623</v>
      </c>
      <c r="F79" s="74" t="s">
        <v>399</v>
      </c>
      <c r="G79" s="34" t="str">
        <f t="shared" si="8"/>
        <v>XXV2PEDRO LUCAS BACILI</v>
      </c>
      <c r="H79" s="40">
        <v>41460</v>
      </c>
      <c r="I79" s="35">
        <v>92476.31</v>
      </c>
      <c r="J79" s="35" t="s">
        <v>1250</v>
      </c>
      <c r="K79" s="35">
        <v>134730.51999999999</v>
      </c>
      <c r="L79" s="170">
        <f t="shared" si="9"/>
        <v>1.4569192910054476</v>
      </c>
      <c r="M79" s="154">
        <v>186931.57</v>
      </c>
      <c r="N79" s="170">
        <f t="shared" si="10"/>
        <v>0.72074781161897894</v>
      </c>
      <c r="O79" s="170">
        <f t="shared" si="11"/>
        <v>0.88057629562624007</v>
      </c>
      <c r="P79" s="170">
        <f>IF(A79=$X$29,K79/(D79*Vendas!$U$25),IF(A79=$X$30,K79/(D79*Vendas!$U$26),IF(A79=$X$31,K79/(D79*Vendas!$U$27),IF(A79=$X$32,K79/(D79*Vendas!$U$28),IF(A79=$X$33,K79/(D79*Vendas!$U$29),IF(A79=$X$34,K79/(D79*Vendas!$U$30),IF(A79=$X$35,K79/(D79*Vendas!$U$31),IF(A79=$X$36,K79/(D79*Vendas!$U$32),0))))))))</f>
        <v>0.83394653494156545</v>
      </c>
      <c r="Q79" s="170">
        <f>IF(A79=$X$29,K79/(D79*Vendas!$U$25),IF(A79=$X$30,K79/(D79*Vendas!$U$26),IF(A79=$X$31,K79/(D79*Vendas!$U$27),IF(A79=$X$32,K79/(D79*Vendas!$U$28),IF(A79=$X$33,K79/(D79*Vendas!$U$29),IF(A79=$X$34,K79/(D79*Vendas!$U$30),IF(A79=$X$35,K79/(D79*Vendas!$U$31),IF(A79=$X$36,K79/(D79*Vendas!$U$32),0))))))))</f>
        <v>0.83394653494156545</v>
      </c>
    </row>
    <row r="80" spans="1:17">
      <c r="A80" s="263" t="s">
        <v>34</v>
      </c>
      <c r="B80" s="337" t="s">
        <v>509</v>
      </c>
      <c r="C80" s="166">
        <v>6</v>
      </c>
      <c r="D80" s="197">
        <v>261.2</v>
      </c>
      <c r="E80" s="166">
        <v>2373</v>
      </c>
      <c r="F80" s="338" t="s">
        <v>461</v>
      </c>
      <c r="G80" s="34" t="str">
        <f t="shared" si="8"/>
        <v>XXV6VALDETE PIRES CARDIA</v>
      </c>
      <c r="H80" s="40">
        <v>41446</v>
      </c>
      <c r="I80" s="35">
        <v>94528.28</v>
      </c>
      <c r="J80" s="35" t="s">
        <v>834</v>
      </c>
      <c r="K80" s="35">
        <v>49387.87</v>
      </c>
      <c r="L80" s="170">
        <f t="shared" si="9"/>
        <v>0.52246660999226902</v>
      </c>
      <c r="M80" s="154">
        <v>161857.51999999999</v>
      </c>
      <c r="N80" s="170">
        <f t="shared" si="10"/>
        <v>0.30513176032846673</v>
      </c>
      <c r="O80" s="170">
        <f t="shared" si="11"/>
        <v>0.31578392841021441</v>
      </c>
      <c r="P80" s="170">
        <f>IF(A80=$X$29,K80/(D80*Vendas!$U$25),IF(A80=$X$30,K80/(D80*Vendas!$U$26),IF(A80=$X$31,K80/(D80*Vendas!$U$27),IF(A80=$X$32,K80/(D80*Vendas!$U$28),IF(A80=$X$33,K80/(D80*Vendas!$U$29),IF(A80=$X$34,K80/(D80*Vendas!$U$30),IF(A80=$X$35,K80/(D80*Vendas!$U$31),IF(A80=$X$36,K80/(D80*Vendas!$U$32),0))))))))</f>
        <v>0.29906200541163674</v>
      </c>
      <c r="Q80" s="170">
        <f>IF(A80=$X$29,K80/(D80*Vendas!$U$25),IF(A80=$X$30,K80/(D80*Vendas!$U$26),IF(A80=$X$31,K80/(D80*Vendas!$U$27),IF(A80=$X$32,K80/(D80*Vendas!$U$28),IF(A80=$X$33,K80/(D80*Vendas!$U$29),IF(A80=$X$34,K80/(D80*Vendas!$U$30),IF(A80=$X$35,K80/(D80*Vendas!$U$31),IF(A80=$X$36,K80/(D80*Vendas!$U$32),0))))))))</f>
        <v>0.29906200541163674</v>
      </c>
    </row>
    <row r="81" spans="1:17">
      <c r="A81" s="263" t="s">
        <v>34</v>
      </c>
      <c r="B81" s="337" t="s">
        <v>509</v>
      </c>
      <c r="C81" s="73">
        <v>7</v>
      </c>
      <c r="D81" s="315">
        <v>260.61</v>
      </c>
      <c r="E81" s="166">
        <v>4751</v>
      </c>
      <c r="F81" s="74" t="s">
        <v>355</v>
      </c>
      <c r="G81" s="34" t="str">
        <f t="shared" si="8"/>
        <v>XXV7MARIA LUCIA GIMENES</v>
      </c>
      <c r="H81" s="40">
        <v>42125</v>
      </c>
      <c r="I81" s="35">
        <v>140730.35999999999</v>
      </c>
      <c r="J81" s="35" t="s">
        <v>834</v>
      </c>
      <c r="K81" s="35">
        <v>8888.130000000001</v>
      </c>
      <c r="L81" s="170">
        <f t="shared" si="9"/>
        <v>6.3157160970809728E-2</v>
      </c>
      <c r="M81" s="154">
        <v>155104.35</v>
      </c>
      <c r="N81" s="170">
        <f t="shared" si="10"/>
        <v>5.7304195530299445E-2</v>
      </c>
      <c r="O81" s="170">
        <f t="shared" si="11"/>
        <v>5.6958982328876494E-2</v>
      </c>
      <c r="P81" s="170">
        <f>IF(A81=$X$29,K81/(D81*Vendas!$U$25),IF(A81=$X$30,K81/(D81*Vendas!$U$26),IF(A81=$X$31,K81/(D81*Vendas!$U$27),IF(A81=$X$32,K81/(D81*Vendas!$U$28),IF(A81=$X$33,K81/(D81*Vendas!$U$29),IF(A81=$X$34,K81/(D81*Vendas!$U$30),IF(A81=$X$35,K81/(D81*Vendas!$U$31),IF(A81=$X$36,K81/(D81*Vendas!$U$32),0))))))))</f>
        <v>5.3942794262004601E-2</v>
      </c>
      <c r="Q81" s="170">
        <f>IF(A81=$X$29,K81/(D81*Vendas!$U$25),IF(A81=$X$30,K81/(D81*Vendas!$U$26),IF(A81=$X$31,K81/(D81*Vendas!$U$27),IF(A81=$X$32,K81/(D81*Vendas!$U$28),IF(A81=$X$33,K81/(D81*Vendas!$U$29),IF(A81=$X$34,K81/(D81*Vendas!$U$30),IF(A81=$X$35,K81/(D81*Vendas!$U$31),IF(A81=$X$36,K81/(D81*Vendas!$U$32),0))))))))</f>
        <v>5.3942794262004601E-2</v>
      </c>
    </row>
    <row r="82" spans="1:17">
      <c r="A82" s="263" t="s">
        <v>34</v>
      </c>
      <c r="B82" s="337" t="s">
        <v>509</v>
      </c>
      <c r="C82" s="166">
        <v>9</v>
      </c>
      <c r="D82" s="197">
        <v>260</v>
      </c>
      <c r="E82" s="166">
        <v>2671</v>
      </c>
      <c r="F82" s="338" t="s">
        <v>136</v>
      </c>
      <c r="G82" s="34" t="str">
        <f t="shared" si="8"/>
        <v>XXV9DEBORA SKAU DE AQUINO</v>
      </c>
      <c r="H82" s="40">
        <v>41436</v>
      </c>
      <c r="I82" s="35">
        <v>94094</v>
      </c>
      <c r="J82" s="35" t="s">
        <v>834</v>
      </c>
      <c r="K82" s="35">
        <v>95567.63</v>
      </c>
      <c r="L82" s="170">
        <f t="shared" si="9"/>
        <v>1.0156612536399772</v>
      </c>
      <c r="M82" s="154">
        <v>184283.54</v>
      </c>
      <c r="N82" s="170">
        <f t="shared" si="10"/>
        <v>0.51859015731953051</v>
      </c>
      <c r="O82" s="170">
        <f t="shared" si="11"/>
        <v>0.6138755941039391</v>
      </c>
      <c r="P82" s="170">
        <f>IF(A82=$X$29,K82/(D82*Vendas!$U$25),IF(A82=$X$30,K82/(D82*Vendas!$U$26),IF(A82=$X$31,K82/(D82*Vendas!$U$27),IF(A82=$X$32,K82/(D82*Vendas!$U$28),IF(A82=$X$33,K82/(D82*Vendas!$U$29),IF(A82=$X$34,K82/(D82*Vendas!$U$30),IF(A82=$X$35,K82/(D82*Vendas!$U$31),IF(A82=$X$36,K82/(D82*Vendas!$U$32),0))))))))</f>
        <v>0.58136861863184552</v>
      </c>
      <c r="Q82" s="170">
        <f>IF(A82=$X$29,K82/(D82*Vendas!$U$25),IF(A82=$X$30,K82/(D82*Vendas!$U$26),IF(A82=$X$31,K82/(D82*Vendas!$U$27),IF(A82=$X$32,K82/(D82*Vendas!$U$28),IF(A82=$X$33,K82/(D82*Vendas!$U$29),IF(A82=$X$34,K82/(D82*Vendas!$U$30),IF(A82=$X$35,K82/(D82*Vendas!$U$31),IF(A82=$X$36,K82/(D82*Vendas!$U$32),0))))))))</f>
        <v>0.58136861863184552</v>
      </c>
    </row>
    <row r="83" spans="1:17">
      <c r="A83" s="263" t="s">
        <v>34</v>
      </c>
      <c r="B83" s="337" t="s">
        <v>509</v>
      </c>
      <c r="C83" s="73">
        <v>11</v>
      </c>
      <c r="D83" s="315">
        <v>260</v>
      </c>
      <c r="E83" s="166">
        <v>2372</v>
      </c>
      <c r="F83" s="74" t="s">
        <v>138</v>
      </c>
      <c r="G83" s="34" t="str">
        <f t="shared" si="8"/>
        <v>XXV11DEJAIR DA SILVA</v>
      </c>
      <c r="H83" s="40">
        <v>41451</v>
      </c>
      <c r="I83" s="35">
        <v>94094</v>
      </c>
      <c r="J83" s="35" t="s">
        <v>834</v>
      </c>
      <c r="K83" s="35">
        <v>49038.98</v>
      </c>
      <c r="L83" s="170">
        <f t="shared" si="9"/>
        <v>0.52117010648925544</v>
      </c>
      <c r="M83" s="154">
        <v>158996.72</v>
      </c>
      <c r="N83" s="170">
        <f t="shared" si="10"/>
        <v>0.3084276203936786</v>
      </c>
      <c r="O83" s="170">
        <f t="shared" si="11"/>
        <v>0.31500030901416293</v>
      </c>
      <c r="P83" s="170">
        <f>IF(A83=$X$29,K83/(D83*Vendas!$U$25),IF(A83=$X$30,K83/(D83*Vendas!$U$26),IF(A83=$X$31,K83/(D83*Vendas!$U$27),IF(A83=$X$32,K83/(D83*Vendas!$U$28),IF(A83=$X$33,K83/(D83*Vendas!$U$29),IF(A83=$X$34,K83/(D83*Vendas!$U$30),IF(A83=$X$35,K83/(D83*Vendas!$U$31),IF(A83=$X$36,K83/(D83*Vendas!$U$32),0))))))))</f>
        <v>0.29831988155105132</v>
      </c>
      <c r="Q83" s="170">
        <f>IF(A83=$X$29,K83/(D83*Vendas!$U$25),IF(A83=$X$30,K83/(D83*Vendas!$U$26),IF(A83=$X$31,K83/(D83*Vendas!$U$27),IF(A83=$X$32,K83/(D83*Vendas!$U$28),IF(A83=$X$33,K83/(D83*Vendas!$U$29),IF(A83=$X$34,K83/(D83*Vendas!$U$30),IF(A83=$X$35,K83/(D83*Vendas!$U$31),IF(A83=$X$36,K83/(D83*Vendas!$U$32),0))))))))</f>
        <v>0.29831988155105132</v>
      </c>
    </row>
    <row r="84" spans="1:17">
      <c r="A84" s="263" t="s">
        <v>34</v>
      </c>
      <c r="B84" s="337" t="s">
        <v>509</v>
      </c>
      <c r="C84" s="166">
        <v>17</v>
      </c>
      <c r="D84" s="197">
        <v>260</v>
      </c>
      <c r="E84" s="166">
        <v>3617</v>
      </c>
      <c r="F84" s="338" t="s">
        <v>1234</v>
      </c>
      <c r="G84" s="34" t="str">
        <f t="shared" si="8"/>
        <v>XXV17RODOLFO VINNICIUS DA SILVA EVANGELISTA</v>
      </c>
      <c r="H84" s="40">
        <v>41725</v>
      </c>
      <c r="I84" s="35">
        <v>95879.86</v>
      </c>
      <c r="J84" s="35" t="s">
        <v>1249</v>
      </c>
      <c r="K84" s="35">
        <v>101985.79000000001</v>
      </c>
      <c r="L84" s="170">
        <f t="shared" si="9"/>
        <v>1.0636831342890989</v>
      </c>
      <c r="M84" s="154">
        <v>174789.01</v>
      </c>
      <c r="N84" s="170">
        <f t="shared" si="10"/>
        <v>0.58347941898635391</v>
      </c>
      <c r="O84" s="170">
        <f t="shared" si="11"/>
        <v>0.65510243820433312</v>
      </c>
      <c r="P84" s="170">
        <f>IF(A84=$X$29,K84/(D84*Vendas!$U$25),IF(A84=$X$30,K84/(D84*Vendas!$U$26),IF(A84=$X$31,K84/(D84*Vendas!$U$27),IF(A84=$X$32,K84/(D84*Vendas!$U$28),IF(A84=$X$33,K84/(D84*Vendas!$U$29),IF(A84=$X$34,K84/(D84*Vendas!$U$30),IF(A84=$X$35,K84/(D84*Vendas!$U$31),IF(A84=$X$36,K84/(D84*Vendas!$U$32),0))))))))</f>
        <v>0.62041234937371037</v>
      </c>
      <c r="Q84" s="170">
        <f>IF(A84=$X$29,K84/(D84*Vendas!$U$25),IF(A84=$X$30,K84/(D84*Vendas!$U$26),IF(A84=$X$31,K84/(D84*Vendas!$U$27),IF(A84=$X$32,K84/(D84*Vendas!$U$28),IF(A84=$X$33,K84/(D84*Vendas!$U$29),IF(A84=$X$34,K84/(D84*Vendas!$U$30),IF(A84=$X$35,K84/(D84*Vendas!$U$31),IF(A84=$X$36,K84/(D84*Vendas!$U$32),0))))))))</f>
        <v>0.62041234937371037</v>
      </c>
    </row>
    <row r="85" spans="1:17">
      <c r="A85" s="263" t="s">
        <v>34</v>
      </c>
      <c r="B85" s="337" t="s">
        <v>509</v>
      </c>
      <c r="C85" s="73">
        <v>18</v>
      </c>
      <c r="D85" s="315">
        <v>260</v>
      </c>
      <c r="E85" s="166">
        <v>3590</v>
      </c>
      <c r="F85" s="74" t="s">
        <v>157</v>
      </c>
      <c r="G85" s="34" t="str">
        <f t="shared" si="8"/>
        <v>XXV18EDINARA FERREIRA</v>
      </c>
      <c r="H85" s="40">
        <v>41709</v>
      </c>
      <c r="I85" s="35">
        <v>103870.9</v>
      </c>
      <c r="J85" s="35" t="s">
        <v>834</v>
      </c>
      <c r="K85" s="35">
        <v>105762.96</v>
      </c>
      <c r="L85" s="170">
        <f t="shared" si="9"/>
        <v>1.0182154963517214</v>
      </c>
      <c r="M85" s="154">
        <v>189220.34</v>
      </c>
      <c r="N85" s="170">
        <f t="shared" si="10"/>
        <v>0.55894075658039721</v>
      </c>
      <c r="O85" s="170">
        <f t="shared" si="11"/>
        <v>0.67936496807748759</v>
      </c>
      <c r="P85" s="170">
        <f>IF(A85=$X$29,K85/(D85*Vendas!$U$25),IF(A85=$X$30,K85/(D85*Vendas!$U$26),IF(A85=$X$31,K85/(D85*Vendas!$U$27),IF(A85=$X$32,K85/(D85*Vendas!$U$28),IF(A85=$X$33,K85/(D85*Vendas!$U$29),IF(A85=$X$34,K85/(D85*Vendas!$U$30),IF(A85=$X$35,K85/(D85*Vendas!$U$31),IF(A85=$X$36,K85/(D85*Vendas!$U$32),0))))))))</f>
        <v>0.64339008885765125</v>
      </c>
      <c r="Q85" s="170">
        <f>IF(A85=$X$29,K85/(D85*Vendas!$U$25),IF(A85=$X$30,K85/(D85*Vendas!$U$26),IF(A85=$X$31,K85/(D85*Vendas!$U$27),IF(A85=$X$32,K85/(D85*Vendas!$U$28),IF(A85=$X$33,K85/(D85*Vendas!$U$29),IF(A85=$X$34,K85/(D85*Vendas!$U$30),IF(A85=$X$35,K85/(D85*Vendas!$U$31),IF(A85=$X$36,K85/(D85*Vendas!$U$32),0))))))))</f>
        <v>0.64339008885765125</v>
      </c>
    </row>
    <row r="86" spans="1:17">
      <c r="A86" s="263" t="s">
        <v>34</v>
      </c>
      <c r="B86" s="337" t="s">
        <v>509</v>
      </c>
      <c r="C86" s="166">
        <v>20</v>
      </c>
      <c r="D86" s="197">
        <v>260</v>
      </c>
      <c r="E86" s="166">
        <v>3589</v>
      </c>
      <c r="F86" s="338" t="s">
        <v>275</v>
      </c>
      <c r="G86" s="34" t="str">
        <f t="shared" si="8"/>
        <v>XXV20JOSE MARIA DE ANDRADE</v>
      </c>
      <c r="H86" s="40">
        <v>41703</v>
      </c>
      <c r="I86" s="35">
        <v>103869.79</v>
      </c>
      <c r="J86" s="35" t="s">
        <v>834</v>
      </c>
      <c r="K86" s="35">
        <v>96393.430000000008</v>
      </c>
      <c r="L86" s="170">
        <f t="shared" si="9"/>
        <v>0.9280218049925778</v>
      </c>
      <c r="M86" s="154">
        <v>181754.07</v>
      </c>
      <c r="N86" s="170">
        <f t="shared" si="10"/>
        <v>0.53035087467367303</v>
      </c>
      <c r="O86" s="170">
        <f t="shared" si="11"/>
        <v>0.6191800938138412</v>
      </c>
      <c r="P86" s="170">
        <f>IF(A86=$X$29,K86/(D86*Vendas!$U$25),IF(A86=$X$30,K86/(D86*Vendas!$U$26),IF(A86=$X$31,K86/(D86*Vendas!$U$27),IF(A86=$X$32,K86/(D86*Vendas!$U$28),IF(A86=$X$33,K86/(D86*Vendas!$U$29),IF(A86=$X$34,K86/(D86*Vendas!$U$30),IF(A86=$X$35,K86/(D86*Vendas!$U$31),IF(A86=$X$36,K86/(D86*Vendas!$U$32),0))))))))</f>
        <v>0.5863922255295595</v>
      </c>
      <c r="Q86" s="170">
        <f>IF(A86=$X$29,K86/(D86*Vendas!$U$25),IF(A86=$X$30,K86/(D86*Vendas!$U$26),IF(A86=$X$31,K86/(D86*Vendas!$U$27),IF(A86=$X$32,K86/(D86*Vendas!$U$28),IF(A86=$X$33,K86/(D86*Vendas!$U$29),IF(A86=$X$34,K86/(D86*Vendas!$U$30),IF(A86=$X$35,K86/(D86*Vendas!$U$31),IF(A86=$X$36,K86/(D86*Vendas!$U$32),0))))))))</f>
        <v>0.5863922255295595</v>
      </c>
    </row>
    <row r="87" spans="1:17">
      <c r="A87" s="263" t="s">
        <v>34</v>
      </c>
      <c r="B87" s="337" t="s">
        <v>509</v>
      </c>
      <c r="C87" s="73">
        <v>23</v>
      </c>
      <c r="D87" s="315">
        <v>260</v>
      </c>
      <c r="E87" s="166">
        <v>5095</v>
      </c>
      <c r="F87" s="74" t="s">
        <v>1490</v>
      </c>
      <c r="G87" s="34" t="str">
        <f t="shared" si="8"/>
        <v>XXV23SERES DE FATIMA PACHER</v>
      </c>
      <c r="H87" s="40">
        <v>44256</v>
      </c>
      <c r="I87" s="35">
        <v>177627.1</v>
      </c>
      <c r="J87" s="35" t="s">
        <v>834</v>
      </c>
      <c r="K87" s="35">
        <v>171328.01</v>
      </c>
      <c r="L87" s="170">
        <f t="shared" si="9"/>
        <v>0.9645375621174922</v>
      </c>
      <c r="M87" s="154">
        <v>178886.61000000002</v>
      </c>
      <c r="N87" s="170">
        <f t="shared" si="10"/>
        <v>0.95774641824784978</v>
      </c>
      <c r="O87" s="170">
        <f t="shared" si="11"/>
        <v>1.1005199556104468</v>
      </c>
      <c r="P87" s="170">
        <f>IF(A87=$X$29,K87/(D87*Vendas!$U$25),IF(A87=$X$30,K87/(D87*Vendas!$U$26),IF(A87=$X$31,K87/(D87*Vendas!$U$27),IF(A87=$X$32,K87/(D87*Vendas!$U$28),IF(A87=$X$33,K87/(D87*Vendas!$U$29),IF(A87=$X$34,K87/(D87*Vendas!$U$30),IF(A87=$X$35,K87/(D87*Vendas!$U$31),IF(A87=$X$36,K87/(D87*Vendas!$U$32),0))))))))</f>
        <v>1.042243367410524</v>
      </c>
      <c r="Q87" s="170">
        <f>IF(A87=$X$29,K87/(D87*Vendas!$U$25),IF(A87=$X$30,K87/(D87*Vendas!$U$26),IF(A87=$X$31,K87/(D87*Vendas!$U$27),IF(A87=$X$32,K87/(D87*Vendas!$U$28),IF(A87=$X$33,K87/(D87*Vendas!$U$29),IF(A87=$X$34,K87/(D87*Vendas!$U$30),IF(A87=$X$35,K87/(D87*Vendas!$U$31),IF(A87=$X$36,K87/(D87*Vendas!$U$32),0))))))))</f>
        <v>1.042243367410524</v>
      </c>
    </row>
    <row r="88" spans="1:17">
      <c r="A88" s="263" t="s">
        <v>34</v>
      </c>
      <c r="B88" s="337" t="s">
        <v>509</v>
      </c>
      <c r="C88" s="166">
        <v>25</v>
      </c>
      <c r="D88" s="197">
        <v>260</v>
      </c>
      <c r="E88" s="166">
        <v>3832</v>
      </c>
      <c r="F88" s="338" t="s">
        <v>128</v>
      </c>
      <c r="G88" s="34" t="str">
        <f t="shared" si="8"/>
        <v>XXV25DANIELLY NUNES GOMES CIQUINI</v>
      </c>
      <c r="H88" s="40">
        <v>41831</v>
      </c>
      <c r="I88" s="35">
        <v>104825.61</v>
      </c>
      <c r="J88" s="35" t="s">
        <v>834</v>
      </c>
      <c r="K88" s="35">
        <v>5794.3</v>
      </c>
      <c r="L88" s="170">
        <f t="shared" si="9"/>
        <v>5.5275614422849534E-2</v>
      </c>
      <c r="M88" s="154">
        <v>142610.01999999999</v>
      </c>
      <c r="N88" s="170">
        <f t="shared" si="10"/>
        <v>4.0630384877584344E-2</v>
      </c>
      <c r="O88" s="170">
        <f t="shared" si="11"/>
        <v>3.7219499478185807E-2</v>
      </c>
      <c r="P88" s="170">
        <f>IF(A88=$X$29,K88/(D88*Vendas!$U$25),IF(A88=$X$30,K88/(D88*Vendas!$U$26),IF(A88=$X$31,K88/(D88*Vendas!$U$27),IF(A88=$X$32,K88/(D88*Vendas!$U$28),IF(A88=$X$33,K88/(D88*Vendas!$U$29),IF(A88=$X$34,K88/(D88*Vendas!$U$30),IF(A88=$X$35,K88/(D88*Vendas!$U$31),IF(A88=$X$36,K88/(D88*Vendas!$U$32),0))))))))</f>
        <v>3.5248589788597899E-2</v>
      </c>
      <c r="Q88" s="170">
        <f>IF(A88=$X$29,K88/(D88*Vendas!$U$25),IF(A88=$X$30,K88/(D88*Vendas!$U$26),IF(A88=$X$31,K88/(D88*Vendas!$U$27),IF(A88=$X$32,K88/(D88*Vendas!$U$28),IF(A88=$X$33,K88/(D88*Vendas!$U$29),IF(A88=$X$34,K88/(D88*Vendas!$U$30),IF(A88=$X$35,K88/(D88*Vendas!$U$31),IF(A88=$X$36,K88/(D88*Vendas!$U$32),0))))))))</f>
        <v>3.5248589788597899E-2</v>
      </c>
    </row>
    <row r="89" spans="1:17">
      <c r="A89" s="263" t="s">
        <v>34</v>
      </c>
      <c r="B89" s="337" t="s">
        <v>509</v>
      </c>
      <c r="C89" s="73">
        <v>26</v>
      </c>
      <c r="D89" s="315">
        <v>253.97</v>
      </c>
      <c r="E89" s="166">
        <v>3789</v>
      </c>
      <c r="F89" s="74" t="s">
        <v>366</v>
      </c>
      <c r="G89" s="34" t="str">
        <f t="shared" si="8"/>
        <v>XXV26MATEUS DOS SANTOS GONSALES</v>
      </c>
      <c r="H89" s="40">
        <v>41806</v>
      </c>
      <c r="I89" s="35">
        <v>103192.39</v>
      </c>
      <c r="J89" s="35" t="s">
        <v>1250</v>
      </c>
      <c r="K89" s="35">
        <v>191370.97</v>
      </c>
      <c r="L89" s="170">
        <f t="shared" si="9"/>
        <v>1.8545066162340071</v>
      </c>
      <c r="M89" s="154">
        <v>251391.37</v>
      </c>
      <c r="N89" s="170">
        <f t="shared" si="10"/>
        <v>0.76124717407761455</v>
      </c>
      <c r="O89" s="170">
        <f t="shared" si="11"/>
        <v>1.258451661963355</v>
      </c>
      <c r="P89" s="170">
        <f>IF(A89=$X$29,K89/(D89*Vendas!$U$25),IF(A89=$X$30,K89/(D89*Vendas!$U$26),IF(A89=$X$31,K89/(D89*Vendas!$U$27),IF(A89=$X$32,K89/(D89*Vendas!$U$28),IF(A89=$X$33,K89/(D89*Vendas!$U$29),IF(A89=$X$34,K89/(D89*Vendas!$U$30),IF(A89=$X$35,K89/(D89*Vendas!$U$31),IF(A89=$X$36,K89/(D89*Vendas!$U$32),0))))))))</f>
        <v>1.1918120077709264</v>
      </c>
      <c r="Q89" s="170">
        <f>IF(A89=$X$29,K89/(D89*Vendas!$U$25),IF(A89=$X$30,K89/(D89*Vendas!$U$26),IF(A89=$X$31,K89/(D89*Vendas!$U$27),IF(A89=$X$32,K89/(D89*Vendas!$U$28),IF(A89=$X$33,K89/(D89*Vendas!$U$29),IF(A89=$X$34,K89/(D89*Vendas!$U$30),IF(A89=$X$35,K89/(D89*Vendas!$U$31),IF(A89=$X$36,K89/(D89*Vendas!$U$32),0))))))))</f>
        <v>1.1918120077709264</v>
      </c>
    </row>
    <row r="90" spans="1:17">
      <c r="A90" s="263" t="s">
        <v>34</v>
      </c>
      <c r="B90" s="337" t="s">
        <v>1076</v>
      </c>
      <c r="C90" s="166">
        <v>4</v>
      </c>
      <c r="D90" s="197">
        <v>250.71</v>
      </c>
      <c r="E90" s="166">
        <v>2812</v>
      </c>
      <c r="F90" s="338" t="s">
        <v>486</v>
      </c>
      <c r="G90" s="34" t="str">
        <f t="shared" si="8"/>
        <v>XXV - A4WILSON ALVES DE ANDRADE</v>
      </c>
      <c r="H90" s="40">
        <v>41551</v>
      </c>
      <c r="I90" s="35">
        <v>96387.96</v>
      </c>
      <c r="J90" s="35" t="s">
        <v>834</v>
      </c>
      <c r="K90" s="35">
        <v>66441</v>
      </c>
      <c r="L90" s="170">
        <f t="shared" si="9"/>
        <v>0.68930808370672014</v>
      </c>
      <c r="M90" s="154">
        <v>156039.47</v>
      </c>
      <c r="N90" s="170">
        <f t="shared" si="10"/>
        <v>0.42579611427800929</v>
      </c>
      <c r="O90" s="170">
        <f t="shared" si="11"/>
        <v>0.44259591671572179</v>
      </c>
      <c r="P90" s="170">
        <f>IF(A90=$X$29,K90/(D90*Vendas!$U$25),IF(A90=$X$30,K90/(D90*Vendas!$U$26),IF(A90=$X$31,K90/(D90*Vendas!$U$27),IF(A90=$X$32,K90/(D90*Vendas!$U$28),IF(A90=$X$33,K90/(D90*Vendas!$U$29),IF(A90=$X$34,K90/(D90*Vendas!$U$30),IF(A90=$X$35,K90/(D90*Vendas!$U$31),IF(A90=$X$36,K90/(D90*Vendas!$U$32),0))))))))</f>
        <v>0.41915883150348465</v>
      </c>
      <c r="Q90" s="170">
        <f>IF(A90=$X$29,K90/(D90*Vendas!$U$25),IF(A90=$X$30,K90/(D90*Vendas!$U$26),IF(A90=$X$31,K90/(D90*Vendas!$U$27),IF(A90=$X$32,K90/(D90*Vendas!$U$28),IF(A90=$X$33,K90/(D90*Vendas!$U$29),IF(A90=$X$34,K90/(D90*Vendas!$U$30),IF(A90=$X$35,K90/(D90*Vendas!$U$31),IF(A90=$X$36,K90/(D90*Vendas!$U$32),0))))))))</f>
        <v>0.41915883150348465</v>
      </c>
    </row>
    <row r="91" spans="1:17">
      <c r="A91" s="263" t="s">
        <v>34</v>
      </c>
      <c r="B91" s="337" t="s">
        <v>1076</v>
      </c>
      <c r="C91" s="73">
        <v>6</v>
      </c>
      <c r="D91" s="315">
        <v>250.71</v>
      </c>
      <c r="E91" s="166">
        <v>2631</v>
      </c>
      <c r="F91" s="74" t="s">
        <v>321</v>
      </c>
      <c r="G91" s="34" t="str">
        <f t="shared" si="8"/>
        <v>XXV - A6LUIZ HIROAKI SATO</v>
      </c>
      <c r="H91" s="40">
        <v>41431</v>
      </c>
      <c r="I91" s="35">
        <v>90731.95</v>
      </c>
      <c r="J91" s="35" t="s">
        <v>834</v>
      </c>
      <c r="K91" s="35">
        <v>10808.68</v>
      </c>
      <c r="L91" s="170">
        <f t="shared" si="9"/>
        <v>0.11912760609686004</v>
      </c>
      <c r="M91" s="154">
        <v>118851.99</v>
      </c>
      <c r="N91" s="170">
        <f t="shared" si="10"/>
        <v>9.0942356118732207E-2</v>
      </c>
      <c r="O91" s="170">
        <f t="shared" si="11"/>
        <v>7.2001890896989634E-2</v>
      </c>
      <c r="P91" s="170">
        <f>IF(A91=$X$29,K91/(D91*Vendas!$U$25),IF(A91=$X$30,K91/(D91*Vendas!$U$26),IF(A91=$X$31,K91/(D91*Vendas!$U$27),IF(A91=$X$32,K91/(D91*Vendas!$U$28),IF(A91=$X$33,K91/(D91*Vendas!$U$29),IF(A91=$X$34,K91/(D91*Vendas!$U$30),IF(A91=$X$35,K91/(D91*Vendas!$U$31),IF(A91=$X$36,K91/(D91*Vendas!$U$32),0))))))))</f>
        <v>6.8189125372813242E-2</v>
      </c>
      <c r="Q91" s="170">
        <f>IF(A91=$X$29,K91/(D91*Vendas!$U$25),IF(A91=$X$30,K91/(D91*Vendas!$U$26),IF(A91=$X$31,K91/(D91*Vendas!$U$27),IF(A91=$X$32,K91/(D91*Vendas!$U$28),IF(A91=$X$33,K91/(D91*Vendas!$U$29),IF(A91=$X$34,K91/(D91*Vendas!$U$30),IF(A91=$X$35,K91/(D91*Vendas!$U$31),IF(A91=$X$36,K91/(D91*Vendas!$U$32),0))))))))</f>
        <v>6.8189125372813242E-2</v>
      </c>
    </row>
    <row r="92" spans="1:17">
      <c r="A92" s="263" t="s">
        <v>34</v>
      </c>
      <c r="B92" s="337" t="s">
        <v>1076</v>
      </c>
      <c r="C92" s="166">
        <v>8</v>
      </c>
      <c r="D92" s="197">
        <v>250.71</v>
      </c>
      <c r="E92" s="166">
        <v>2407</v>
      </c>
      <c r="F92" s="338" t="s">
        <v>236</v>
      </c>
      <c r="G92" s="34" t="str">
        <f t="shared" si="8"/>
        <v>XXV - A8HELIO YASSUO NISHIMURA</v>
      </c>
      <c r="H92" s="40">
        <v>41431</v>
      </c>
      <c r="I92" s="35">
        <v>90731.95</v>
      </c>
      <c r="J92" s="35" t="s">
        <v>834</v>
      </c>
      <c r="K92" s="35">
        <v>12193.050000000001</v>
      </c>
      <c r="L92" s="170">
        <f t="shared" si="9"/>
        <v>0.13438540668419449</v>
      </c>
      <c r="M92" s="154">
        <v>118851.68000000001</v>
      </c>
      <c r="N92" s="170">
        <f t="shared" si="10"/>
        <v>0.10259047242748273</v>
      </c>
      <c r="O92" s="170">
        <f t="shared" si="11"/>
        <v>8.122385488343993E-2</v>
      </c>
      <c r="P92" s="170">
        <f>IF(A92=$X$29,K92/(D92*Vendas!$U$25),IF(A92=$X$30,K92/(D92*Vendas!$U$26),IF(A92=$X$31,K92/(D92*Vendas!$U$27),IF(A92=$X$32,K92/(D92*Vendas!$U$28),IF(A92=$X$33,K92/(D92*Vendas!$U$29),IF(A92=$X$34,K92/(D92*Vendas!$U$30),IF(A92=$X$35,K92/(D92*Vendas!$U$31),IF(A92=$X$36,K92/(D92*Vendas!$U$32),0))))))))</f>
        <v>7.6922752373738565E-2</v>
      </c>
      <c r="Q92" s="170">
        <f>IF(A92=$X$29,K92/(D92*Vendas!$U$25),IF(A92=$X$30,K92/(D92*Vendas!$U$26),IF(A92=$X$31,K92/(D92*Vendas!$U$27),IF(A92=$X$32,K92/(D92*Vendas!$U$28),IF(A92=$X$33,K92/(D92*Vendas!$U$29),IF(A92=$X$34,K92/(D92*Vendas!$U$30),IF(A92=$X$35,K92/(D92*Vendas!$U$31),IF(A92=$X$36,K92/(D92*Vendas!$U$32),0))))))))</f>
        <v>7.6922752373738565E-2</v>
      </c>
    </row>
    <row r="93" spans="1:17">
      <c r="A93" s="263" t="s">
        <v>34</v>
      </c>
      <c r="B93" s="337" t="s">
        <v>1076</v>
      </c>
      <c r="C93" s="73">
        <v>9</v>
      </c>
      <c r="D93" s="315">
        <v>250.71</v>
      </c>
      <c r="E93" s="166">
        <v>2408</v>
      </c>
      <c r="F93" s="74" t="s">
        <v>236</v>
      </c>
      <c r="G93" s="34" t="str">
        <f t="shared" si="8"/>
        <v>XXV - A9HELIO YASSUO NISHIMURA</v>
      </c>
      <c r="H93" s="40">
        <v>41431</v>
      </c>
      <c r="I93" s="35">
        <v>90731.95</v>
      </c>
      <c r="J93" s="35" t="s">
        <v>834</v>
      </c>
      <c r="K93" s="35">
        <v>12193.050000000001</v>
      </c>
      <c r="L93" s="170">
        <f t="shared" si="9"/>
        <v>0.13438540668419449</v>
      </c>
      <c r="M93" s="154">
        <v>118850.68000000001</v>
      </c>
      <c r="N93" s="170">
        <f t="shared" si="10"/>
        <v>0.10259133561541255</v>
      </c>
      <c r="O93" s="170">
        <f t="shared" si="11"/>
        <v>8.122385488343993E-2</v>
      </c>
      <c r="P93" s="170">
        <f>IF(A93=$X$29,K93/(D93*Vendas!$U$25),IF(A93=$X$30,K93/(D93*Vendas!$U$26),IF(A93=$X$31,K93/(D93*Vendas!$U$27),IF(A93=$X$32,K93/(D93*Vendas!$U$28),IF(A93=$X$33,K93/(D93*Vendas!$U$29),IF(A93=$X$34,K93/(D93*Vendas!$U$30),IF(A93=$X$35,K93/(D93*Vendas!$U$31),IF(A93=$X$36,K93/(D93*Vendas!$U$32),0))))))))</f>
        <v>7.6922752373738565E-2</v>
      </c>
      <c r="Q93" s="170">
        <f>IF(A93=$X$29,K93/(D93*Vendas!$U$25),IF(A93=$X$30,K93/(D93*Vendas!$U$26),IF(A93=$X$31,K93/(D93*Vendas!$U$27),IF(A93=$X$32,K93/(D93*Vendas!$U$28),IF(A93=$X$33,K93/(D93*Vendas!$U$29),IF(A93=$X$34,K93/(D93*Vendas!$U$30),IF(A93=$X$35,K93/(D93*Vendas!$U$31),IF(A93=$X$36,K93/(D93*Vendas!$U$32),0))))))))</f>
        <v>7.6922752373738565E-2</v>
      </c>
    </row>
    <row r="94" spans="1:17">
      <c r="A94" s="263" t="s">
        <v>34</v>
      </c>
      <c r="B94" s="337" t="s">
        <v>1076</v>
      </c>
      <c r="C94" s="166">
        <v>11</v>
      </c>
      <c r="D94" s="197">
        <v>250.71</v>
      </c>
      <c r="E94" s="166">
        <v>2429</v>
      </c>
      <c r="F94" s="338" t="s">
        <v>295</v>
      </c>
      <c r="G94" s="34" t="str">
        <f t="shared" si="8"/>
        <v>XXV - A11KEIGO FUKUDA</v>
      </c>
      <c r="H94" s="40">
        <v>41452</v>
      </c>
      <c r="I94" s="35">
        <v>90731.95</v>
      </c>
      <c r="J94" s="35" t="s">
        <v>1250</v>
      </c>
      <c r="K94" s="35">
        <v>76891.02</v>
      </c>
      <c r="L94" s="170">
        <f t="shared" si="9"/>
        <v>0.84745252361488987</v>
      </c>
      <c r="M94" s="154">
        <v>159964.81</v>
      </c>
      <c r="N94" s="170">
        <f t="shared" si="10"/>
        <v>0.48067459336837898</v>
      </c>
      <c r="O94" s="170">
        <f t="shared" si="11"/>
        <v>0.51220859836707611</v>
      </c>
      <c r="P94" s="170">
        <f>IF(A94=$X$29,K94/(D94*Vendas!$U$25),IF(A94=$X$30,K94/(D94*Vendas!$U$26),IF(A94=$X$31,K94/(D94*Vendas!$U$27),IF(A94=$X$32,K94/(D94*Vendas!$U$28),IF(A94=$X$33,K94/(D94*Vendas!$U$29),IF(A94=$X$34,K94/(D94*Vendas!$U$30),IF(A94=$X$35,K94/(D94*Vendas!$U$31),IF(A94=$X$36,K94/(D94*Vendas!$U$32),0))))))))</f>
        <v>0.48508526506691757</v>
      </c>
      <c r="Q94" s="170">
        <f>IF(A94=$X$29,K94/(D94*Vendas!$U$25),IF(A94=$X$30,K94/(D94*Vendas!$U$26),IF(A94=$X$31,K94/(D94*Vendas!$U$27),IF(A94=$X$32,K94/(D94*Vendas!$U$28),IF(A94=$X$33,K94/(D94*Vendas!$U$29),IF(A94=$X$34,K94/(D94*Vendas!$U$30),IF(A94=$X$35,K94/(D94*Vendas!$U$31),IF(A94=$X$36,K94/(D94*Vendas!$U$32),0))))))))</f>
        <v>0.48508526506691757</v>
      </c>
    </row>
    <row r="95" spans="1:17">
      <c r="A95" s="263" t="s">
        <v>34</v>
      </c>
      <c r="B95" s="337" t="s">
        <v>1076</v>
      </c>
      <c r="C95" s="73">
        <v>14</v>
      </c>
      <c r="D95" s="315">
        <v>257.62</v>
      </c>
      <c r="E95" s="166">
        <v>2561</v>
      </c>
      <c r="F95" s="74" t="s">
        <v>360</v>
      </c>
      <c r="G95" s="34" t="str">
        <f t="shared" si="8"/>
        <v>XXV - A14MARLENE MOREIRA DA SILVA</v>
      </c>
      <c r="H95" s="40">
        <v>41445</v>
      </c>
      <c r="I95" s="35">
        <v>93232.68</v>
      </c>
      <c r="J95" s="35" t="s">
        <v>834</v>
      </c>
      <c r="K95" s="35">
        <v>16482.420000000002</v>
      </c>
      <c r="L95" s="170">
        <f t="shared" si="9"/>
        <v>0.17678801038434167</v>
      </c>
      <c r="M95" s="154">
        <v>128768.18000000001</v>
      </c>
      <c r="N95" s="170">
        <f t="shared" si="10"/>
        <v>0.12800072191747994</v>
      </c>
      <c r="O95" s="170">
        <f t="shared" si="11"/>
        <v>0.10685240462237314</v>
      </c>
      <c r="P95" s="170">
        <f>IF(A95=$X$29,K95/(D95*Vendas!$U$25),IF(A95=$X$30,K95/(D95*Vendas!$U$26),IF(A95=$X$31,K95/(D95*Vendas!$U$27),IF(A95=$X$32,K95/(D95*Vendas!$U$28),IF(A95=$X$33,K95/(D95*Vendas!$U$29),IF(A95=$X$34,K95/(D95*Vendas!$U$30),IF(A95=$X$35,K95/(D95*Vendas!$U$31),IF(A95=$X$36,K95/(D95*Vendas!$U$32),0))))))))</f>
        <v>0.10119417593637398</v>
      </c>
      <c r="Q95" s="170">
        <f>IF(A95=$X$29,K95/(D95*Vendas!$U$25),IF(A95=$X$30,K95/(D95*Vendas!$U$26),IF(A95=$X$31,K95/(D95*Vendas!$U$27),IF(A95=$X$32,K95/(D95*Vendas!$U$28),IF(A95=$X$33,K95/(D95*Vendas!$U$29),IF(A95=$X$34,K95/(D95*Vendas!$U$30),IF(A95=$X$35,K95/(D95*Vendas!$U$31),IF(A95=$X$36,K95/(D95*Vendas!$U$32),0))))))))</f>
        <v>0.10119417593637398</v>
      </c>
    </row>
    <row r="96" spans="1:17">
      <c r="A96" s="263" t="s">
        <v>34</v>
      </c>
      <c r="B96" s="337" t="s">
        <v>1076</v>
      </c>
      <c r="C96" s="166">
        <v>16</v>
      </c>
      <c r="D96" s="197">
        <v>257.62</v>
      </c>
      <c r="E96" s="166">
        <v>2444</v>
      </c>
      <c r="F96" s="338" t="s">
        <v>195</v>
      </c>
      <c r="G96" s="34" t="str">
        <f t="shared" si="8"/>
        <v>XXV - A16EVERALDO FIORINI DE OLIVEIRA</v>
      </c>
      <c r="H96" s="40">
        <v>41445</v>
      </c>
      <c r="I96" s="35">
        <v>93232.68</v>
      </c>
      <c r="J96" s="35" t="s">
        <v>834</v>
      </c>
      <c r="K96" s="35">
        <v>94388.37</v>
      </c>
      <c r="L96" s="170">
        <f t="shared" si="9"/>
        <v>1.012395760799754</v>
      </c>
      <c r="M96" s="154">
        <v>183071.87</v>
      </c>
      <c r="N96" s="170">
        <f t="shared" si="10"/>
        <v>0.51558095735844067</v>
      </c>
      <c r="O96" s="170">
        <f t="shared" si="11"/>
        <v>0.6119019114235813</v>
      </c>
      <c r="P96" s="170">
        <f>IF(A96=$X$29,K96/(D96*Vendas!$U$25),IF(A96=$X$30,K96/(D96*Vendas!$U$26),IF(A96=$X$31,K96/(D96*Vendas!$U$27),IF(A96=$X$32,K96/(D96*Vendas!$U$28),IF(A96=$X$33,K96/(D96*Vendas!$U$29),IF(A96=$X$34,K96/(D96*Vendas!$U$30),IF(A96=$X$35,K96/(D96*Vendas!$U$31),IF(A96=$X$36,K96/(D96*Vendas!$U$32),0))))))))</f>
        <v>0.57949944972446776</v>
      </c>
      <c r="Q96" s="170">
        <f>IF(A96=$X$29,K96/(D96*Vendas!$U$25),IF(A96=$X$30,K96/(D96*Vendas!$U$26),IF(A96=$X$31,K96/(D96*Vendas!$U$27),IF(A96=$X$32,K96/(D96*Vendas!$U$28),IF(A96=$X$33,K96/(D96*Vendas!$U$29),IF(A96=$X$34,K96/(D96*Vendas!$U$30),IF(A96=$X$35,K96/(D96*Vendas!$U$31),IF(A96=$X$36,K96/(D96*Vendas!$U$32),0))))))))</f>
        <v>0.57949944972446776</v>
      </c>
    </row>
    <row r="97" spans="1:17">
      <c r="A97" s="263" t="s">
        <v>34</v>
      </c>
      <c r="B97" s="337" t="s">
        <v>1076</v>
      </c>
      <c r="C97" s="73">
        <v>18</v>
      </c>
      <c r="D97" s="315">
        <v>257.62</v>
      </c>
      <c r="E97" s="166">
        <v>4738</v>
      </c>
      <c r="F97" s="74" t="s">
        <v>1274</v>
      </c>
      <c r="G97" s="34" t="str">
        <f t="shared" si="8"/>
        <v>XXV - A18ALEXANDRE GREIN</v>
      </c>
      <c r="H97" s="40">
        <v>44046</v>
      </c>
      <c r="I97" s="35">
        <v>158132.89000000001</v>
      </c>
      <c r="J97" s="35" t="s">
        <v>834</v>
      </c>
      <c r="K97" s="35">
        <v>160690.75</v>
      </c>
      <c r="L97" s="170">
        <f t="shared" si="9"/>
        <v>1.0161753826164814</v>
      </c>
      <c r="M97" s="154">
        <v>177156.38</v>
      </c>
      <c r="N97" s="170">
        <f t="shared" si="10"/>
        <v>0.90705595813145423</v>
      </c>
      <c r="O97" s="170">
        <f t="shared" si="11"/>
        <v>1.0417276733679037</v>
      </c>
      <c r="P97" s="170">
        <f>IF(A97=$X$29,K97/(D97*Vendas!$U$25),IF(A97=$X$30,K97/(D97*Vendas!$U$26),IF(A97=$X$31,K97/(D97*Vendas!$U$27),IF(A97=$X$32,K97/(D97*Vendas!$U$28),IF(A97=$X$33,K97/(D97*Vendas!$U$29),IF(A97=$X$34,K97/(D97*Vendas!$U$30),IF(A97=$X$35,K97/(D97*Vendas!$U$31),IF(A97=$X$36,K97/(D97*Vendas!$U$32),0))))))))</f>
        <v>0.98656435322288127</v>
      </c>
      <c r="Q97" s="170">
        <f>IF(A97=$X$29,K97/(D97*Vendas!$U$25),IF(A97=$X$30,K97/(D97*Vendas!$U$26),IF(A97=$X$31,K97/(D97*Vendas!$U$27),IF(A97=$X$32,K97/(D97*Vendas!$U$28),IF(A97=$X$33,K97/(D97*Vendas!$U$29),IF(A97=$X$34,K97/(D97*Vendas!$U$30),IF(A97=$X$35,K97/(D97*Vendas!$U$31),IF(A97=$X$36,K97/(D97*Vendas!$U$32),0))))))))</f>
        <v>0.98656435322288127</v>
      </c>
    </row>
    <row r="98" spans="1:17">
      <c r="A98" s="263" t="s">
        <v>34</v>
      </c>
      <c r="B98" s="337" t="s">
        <v>1076</v>
      </c>
      <c r="C98" s="166">
        <v>20</v>
      </c>
      <c r="D98" s="197">
        <v>257.62</v>
      </c>
      <c r="E98" s="166">
        <v>3567</v>
      </c>
      <c r="F98" s="338" t="s">
        <v>331</v>
      </c>
      <c r="G98" s="34" t="str">
        <f t="shared" si="8"/>
        <v>XXV - A20MARCELO JOSE SIMOES DE OLIVEIRA</v>
      </c>
      <c r="H98" s="40">
        <v>41687</v>
      </c>
      <c r="I98" s="35">
        <v>94899.03</v>
      </c>
      <c r="J98" s="35" t="s">
        <v>834</v>
      </c>
      <c r="K98" s="35">
        <v>98021.95</v>
      </c>
      <c r="L98" s="170">
        <f t="shared" si="9"/>
        <v>1.0329078179197406</v>
      </c>
      <c r="M98" s="154">
        <v>174887.6</v>
      </c>
      <c r="N98" s="170">
        <f t="shared" si="10"/>
        <v>0.56048542034998472</v>
      </c>
      <c r="O98" s="170">
        <f t="shared" si="11"/>
        <v>0.63545772181961313</v>
      </c>
      <c r="P98" s="170">
        <f>IF(A98=$X$29,K98/(D98*Vendas!$U$25),IF(A98=$X$30,K98/(D98*Vendas!$U$26),IF(A98=$X$31,K98/(D98*Vendas!$U$27),IF(A98=$X$32,K98/(D98*Vendas!$U$28),IF(A98=$X$33,K98/(D98*Vendas!$U$29),IF(A98=$X$34,K98/(D98*Vendas!$U$30),IF(A98=$X$35,K98/(D98*Vendas!$U$31),IF(A98=$X$36,K98/(D98*Vendas!$U$32),0))))))))</f>
        <v>0.6018078931325892</v>
      </c>
      <c r="Q98" s="170">
        <f>IF(A98=$X$29,K98/(D98*Vendas!$U$25),IF(A98=$X$30,K98/(D98*Vendas!$U$26),IF(A98=$X$31,K98/(D98*Vendas!$U$27),IF(A98=$X$32,K98/(D98*Vendas!$U$28),IF(A98=$X$33,K98/(D98*Vendas!$U$29),IF(A98=$X$34,K98/(D98*Vendas!$U$30),IF(A98=$X$35,K98/(D98*Vendas!$U$31),IF(A98=$X$36,K98/(D98*Vendas!$U$32),0))))))))</f>
        <v>0.6018078931325892</v>
      </c>
    </row>
    <row r="99" spans="1:17">
      <c r="A99" s="263" t="s">
        <v>34</v>
      </c>
      <c r="B99" s="337" t="s">
        <v>1076</v>
      </c>
      <c r="C99" s="73">
        <v>21</v>
      </c>
      <c r="D99" s="315">
        <v>257.62</v>
      </c>
      <c r="E99" s="166">
        <v>3568</v>
      </c>
      <c r="F99" s="74" t="s">
        <v>331</v>
      </c>
      <c r="G99" s="34" t="str">
        <f t="shared" si="8"/>
        <v>XXV - A21MARCELO JOSE SIMOES DE OLIVEIRA</v>
      </c>
      <c r="H99" s="40">
        <v>41687</v>
      </c>
      <c r="I99" s="35">
        <v>94899.01</v>
      </c>
      <c r="J99" s="35" t="s">
        <v>834</v>
      </c>
      <c r="K99" s="35">
        <v>98021.95</v>
      </c>
      <c r="L99" s="170">
        <f t="shared" si="9"/>
        <v>1.0329080356054294</v>
      </c>
      <c r="M99" s="154">
        <v>174887.6</v>
      </c>
      <c r="N99" s="170">
        <f t="shared" si="10"/>
        <v>0.56048542034998472</v>
      </c>
      <c r="O99" s="170">
        <f t="shared" si="11"/>
        <v>0.63545772181961313</v>
      </c>
      <c r="P99" s="170">
        <f>IF(A99=$X$29,K99/(D99*Vendas!$U$25),IF(A99=$X$30,K99/(D99*Vendas!$U$26),IF(A99=$X$31,K99/(D99*Vendas!$U$27),IF(A99=$X$32,K99/(D99*Vendas!$U$28),IF(A99=$X$33,K99/(D99*Vendas!$U$29),IF(A99=$X$34,K99/(D99*Vendas!$U$30),IF(A99=$X$35,K99/(D99*Vendas!$U$31),IF(A99=$X$36,K99/(D99*Vendas!$U$32),0))))))))</f>
        <v>0.6018078931325892</v>
      </c>
      <c r="Q99" s="170">
        <f>IF(A99=$X$29,K99/(D99*Vendas!$U$25),IF(A99=$X$30,K99/(D99*Vendas!$U$26),IF(A99=$X$31,K99/(D99*Vendas!$U$27),IF(A99=$X$32,K99/(D99*Vendas!$U$28),IF(A99=$X$33,K99/(D99*Vendas!$U$29),IF(A99=$X$34,K99/(D99*Vendas!$U$30),IF(A99=$X$35,K99/(D99*Vendas!$U$31),IF(A99=$X$36,K99/(D99*Vendas!$U$32),0))))))))</f>
        <v>0.6018078931325892</v>
      </c>
    </row>
    <row r="100" spans="1:17">
      <c r="A100" s="263" t="s">
        <v>34</v>
      </c>
      <c r="B100" s="337" t="s">
        <v>1076</v>
      </c>
      <c r="C100" s="166">
        <v>23</v>
      </c>
      <c r="D100" s="197">
        <v>257.62</v>
      </c>
      <c r="E100" s="166">
        <v>3911</v>
      </c>
      <c r="F100" s="338" t="s">
        <v>445</v>
      </c>
      <c r="G100" s="34" t="str">
        <f t="shared" si="8"/>
        <v>XXV - A23SILVIA HELENA FIORINI ALVES</v>
      </c>
      <c r="H100" s="40">
        <v>41893</v>
      </c>
      <c r="I100" s="35">
        <v>113754.98</v>
      </c>
      <c r="J100" s="35" t="s">
        <v>834</v>
      </c>
      <c r="K100" s="35">
        <v>115520.2</v>
      </c>
      <c r="L100" s="170">
        <f t="shared" si="9"/>
        <v>1.0155177382124281</v>
      </c>
      <c r="M100" s="154">
        <v>201905.51</v>
      </c>
      <c r="N100" s="170">
        <f t="shared" si="10"/>
        <v>0.57214981403925025</v>
      </c>
      <c r="O100" s="170">
        <f t="shared" si="11"/>
        <v>0.74889555978172306</v>
      </c>
      <c r="P100" s="170">
        <f>IF(A100=$X$29,K100/(D100*Vendas!$U$25),IF(A100=$X$30,K100/(D100*Vendas!$U$26),IF(A100=$X$31,K100/(D100*Vendas!$U$27),IF(A100=$X$32,K100/(D100*Vendas!$U$28),IF(A100=$X$33,K100/(D100*Vendas!$U$29),IF(A100=$X$34,K100/(D100*Vendas!$U$30),IF(A100=$X$35,K100/(D100*Vendas!$U$31),IF(A100=$X$36,K100/(D100*Vendas!$U$32),0))))))))</f>
        <v>0.7092387794392514</v>
      </c>
      <c r="Q100" s="170">
        <f>IF(A100=$X$29,K100/(D100*Vendas!$U$25),IF(A100=$X$30,K100/(D100*Vendas!$U$26),IF(A100=$X$31,K100/(D100*Vendas!$U$27),IF(A100=$X$32,K100/(D100*Vendas!$U$28),IF(A100=$X$33,K100/(D100*Vendas!$U$29),IF(A100=$X$34,K100/(D100*Vendas!$U$30),IF(A100=$X$35,K100/(D100*Vendas!$U$31),IF(A100=$X$36,K100/(D100*Vendas!$U$32),0))))))))</f>
        <v>0.7092387794392514</v>
      </c>
    </row>
    <row r="101" spans="1:17">
      <c r="A101" s="263" t="s">
        <v>38</v>
      </c>
      <c r="B101" s="337" t="s">
        <v>533</v>
      </c>
      <c r="C101" s="73">
        <v>1</v>
      </c>
      <c r="D101" s="315">
        <v>359.22</v>
      </c>
      <c r="E101" s="166">
        <v>2580</v>
      </c>
      <c r="F101" s="74" t="s">
        <v>228</v>
      </c>
      <c r="G101" s="34" t="str">
        <f t="shared" si="8"/>
        <v>VIII1GMO EMPREENDIMENTOS E ASSESSORIA EMPRESARIAL LTDA</v>
      </c>
      <c r="H101" s="40">
        <v>41444</v>
      </c>
      <c r="I101" s="35">
        <v>113456.04</v>
      </c>
      <c r="J101" s="35" t="s">
        <v>834</v>
      </c>
      <c r="K101" s="35">
        <v>114855.86</v>
      </c>
      <c r="L101" s="170">
        <f t="shared" si="9"/>
        <v>1.0123379945219313</v>
      </c>
      <c r="M101" s="154">
        <v>222996.43</v>
      </c>
      <c r="N101" s="170">
        <f t="shared" si="10"/>
        <v>0.51505694508203559</v>
      </c>
      <c r="O101" s="170">
        <f t="shared" si="11"/>
        <v>0.53399298144669971</v>
      </c>
      <c r="P101" s="170">
        <f>IF(A101=$X$29,K101/(D101*Vendas!$U$25),IF(A101=$X$30,K101/(D101*Vendas!$U$26),IF(A101=$X$31,K101/(D101*Vendas!$U$27),IF(A101=$X$32,K101/(D101*Vendas!$U$28),IF(A101=$X$33,K101/(D101*Vendas!$U$29),IF(A101=$X$34,K101/(D101*Vendas!$U$30),IF(A101=$X$35,K101/(D101*Vendas!$U$31),IF(A101=$X$36,K101/(D101*Vendas!$U$32),0))))))))</f>
        <v>0.51446377838168789</v>
      </c>
      <c r="Q101" s="170">
        <f>IF(A101=$X$29,K101/(D101*Vendas!$U$25),IF(A101=$X$30,K101/(D101*Vendas!$U$26),IF(A101=$X$31,K101/(D101*Vendas!$U$27),IF(A101=$X$32,K101/(D101*Vendas!$U$28),IF(A101=$X$33,K101/(D101*Vendas!$U$29),IF(A101=$X$34,K101/(D101*Vendas!$U$30),IF(A101=$X$35,K101/(D101*Vendas!$U$31),IF(A101=$X$36,K101/(D101*Vendas!$U$32),0))))))))</f>
        <v>0.51446377838168789</v>
      </c>
    </row>
    <row r="102" spans="1:17">
      <c r="A102" s="263" t="s">
        <v>38</v>
      </c>
      <c r="B102" s="337" t="s">
        <v>533</v>
      </c>
      <c r="C102" s="166">
        <v>3</v>
      </c>
      <c r="D102" s="197">
        <v>251.25</v>
      </c>
      <c r="E102" s="166">
        <v>2419</v>
      </c>
      <c r="F102" s="338" t="s">
        <v>261</v>
      </c>
      <c r="G102" s="34" t="str">
        <f t="shared" si="8"/>
        <v>VIII3JOAO CARVALHO DE SOUZA</v>
      </c>
      <c r="H102" s="40">
        <v>41445</v>
      </c>
      <c r="I102" s="35">
        <v>79354.8</v>
      </c>
      <c r="J102" s="35" t="s">
        <v>834</v>
      </c>
      <c r="K102" s="35">
        <v>80728.75</v>
      </c>
      <c r="L102" s="170">
        <f t="shared" si="9"/>
        <v>1.0173140125109004</v>
      </c>
      <c r="M102" s="154">
        <v>155991.56</v>
      </c>
      <c r="N102" s="170">
        <f t="shared" si="10"/>
        <v>0.51751998633772234</v>
      </c>
      <c r="O102" s="170">
        <f t="shared" si="11"/>
        <v>0.53661777838103131</v>
      </c>
      <c r="P102" s="170">
        <f>IF(A102=$X$29,K102/(D102*Vendas!$U$25),IF(A102=$X$30,K102/(D102*Vendas!$U$26),IF(A102=$X$31,K102/(D102*Vendas!$U$27),IF(A102=$X$32,K102/(D102*Vendas!$U$28),IF(A102=$X$33,K102/(D102*Vendas!$U$29),IF(A102=$X$34,K102/(D102*Vendas!$U$30),IF(A102=$X$35,K102/(D102*Vendas!$U$31),IF(A102=$X$36,K102/(D102*Vendas!$U$32),0))))))))</f>
        <v>0.51699258118479297</v>
      </c>
      <c r="Q102" s="170">
        <f>IF(A102=$X$29,K102/(D102*Vendas!$U$25),IF(A102=$X$30,K102/(D102*Vendas!$U$26),IF(A102=$X$31,K102/(D102*Vendas!$U$27),IF(A102=$X$32,K102/(D102*Vendas!$U$28),IF(A102=$X$33,K102/(D102*Vendas!$U$29),IF(A102=$X$34,K102/(D102*Vendas!$U$30),IF(A102=$X$35,K102/(D102*Vendas!$U$31),IF(A102=$X$36,K102/(D102*Vendas!$U$32),0))))))))</f>
        <v>0.51699258118479297</v>
      </c>
    </row>
    <row r="103" spans="1:17">
      <c r="A103" s="263" t="s">
        <v>38</v>
      </c>
      <c r="B103" s="337" t="s">
        <v>533</v>
      </c>
      <c r="C103" s="73">
        <v>12</v>
      </c>
      <c r="D103" s="315">
        <v>251.25</v>
      </c>
      <c r="E103" s="166">
        <v>4782</v>
      </c>
      <c r="F103" s="74" t="s">
        <v>1322</v>
      </c>
      <c r="G103" s="34" t="str">
        <f t="shared" si="8"/>
        <v>VIII12GUILHERME STELLBRINK</v>
      </c>
      <c r="H103" s="40">
        <v>44085</v>
      </c>
      <c r="I103" s="35">
        <v>141000</v>
      </c>
      <c r="J103" s="35" t="s">
        <v>834</v>
      </c>
      <c r="K103" s="35">
        <v>87824.400000000009</v>
      </c>
      <c r="L103" s="170">
        <f t="shared" si="9"/>
        <v>0.62286808510638303</v>
      </c>
      <c r="M103" s="154">
        <v>144965.97</v>
      </c>
      <c r="N103" s="170">
        <f t="shared" si="10"/>
        <v>0.60582769873508935</v>
      </c>
      <c r="O103" s="170">
        <f t="shared" si="11"/>
        <v>0.58378377487136923</v>
      </c>
      <c r="P103" s="170">
        <f>IF(A103=$X$29,K103/(D103*Vendas!$U$25),IF(A103=$X$30,K103/(D103*Vendas!$U$26),IF(A103=$X$31,K103/(D103*Vendas!$U$27),IF(A103=$X$32,K103/(D103*Vendas!$U$28),IF(A103=$X$33,K103/(D103*Vendas!$U$29),IF(A103=$X$34,K103/(D103*Vendas!$U$30),IF(A103=$X$35,K103/(D103*Vendas!$U$31),IF(A103=$X$36,K103/(D103*Vendas!$U$32),0))))))))</f>
        <v>0.56243362181386114</v>
      </c>
      <c r="Q103" s="170">
        <f>IF(A103=$X$29,K103/(D103*Vendas!$U$25),IF(A103=$X$30,K103/(D103*Vendas!$U$26),IF(A103=$X$31,K103/(D103*Vendas!$U$27),IF(A103=$X$32,K103/(D103*Vendas!$U$28),IF(A103=$X$33,K103/(D103*Vendas!$U$29),IF(A103=$X$34,K103/(D103*Vendas!$U$30),IF(A103=$X$35,K103/(D103*Vendas!$U$31),IF(A103=$X$36,K103/(D103*Vendas!$U$32),0))))))))</f>
        <v>0.56243362181386114</v>
      </c>
    </row>
    <row r="104" spans="1:17">
      <c r="A104" s="263" t="s">
        <v>38</v>
      </c>
      <c r="B104" s="337" t="s">
        <v>533</v>
      </c>
      <c r="C104" s="166">
        <v>14</v>
      </c>
      <c r="D104" s="197">
        <v>251.25</v>
      </c>
      <c r="E104" s="166">
        <v>3902</v>
      </c>
      <c r="F104" s="338" t="s">
        <v>1162</v>
      </c>
      <c r="G104" s="34" t="str">
        <f t="shared" si="8"/>
        <v>VIII14ELIO JOSE DE SOUZA</v>
      </c>
      <c r="H104" s="40">
        <v>43955</v>
      </c>
      <c r="I104" s="35">
        <v>145700</v>
      </c>
      <c r="J104" s="35" t="s">
        <v>834</v>
      </c>
      <c r="K104" s="35">
        <v>138617.25</v>
      </c>
      <c r="L104" s="170">
        <f t="shared" si="9"/>
        <v>0.95138812628689085</v>
      </c>
      <c r="M104" s="154">
        <v>166685.44</v>
      </c>
      <c r="N104" s="170">
        <f t="shared" si="10"/>
        <v>0.83160982746903389</v>
      </c>
      <c r="O104" s="170">
        <f t="shared" si="11"/>
        <v>0.92141251710559136</v>
      </c>
      <c r="P104" s="170">
        <f>IF(A104=$X$29,K104/(D104*Vendas!$U$25),IF(A104=$X$30,K104/(D104*Vendas!$U$26),IF(A104=$X$31,K104/(D104*Vendas!$U$27),IF(A104=$X$32,K104/(D104*Vendas!$U$28),IF(A104=$X$33,K104/(D104*Vendas!$U$29),IF(A104=$X$34,K104/(D104*Vendas!$U$30),IF(A104=$X$35,K104/(D104*Vendas!$U$31),IF(A104=$X$36,K104/(D104*Vendas!$U$32),0))))))))</f>
        <v>0.8877145982594522</v>
      </c>
      <c r="Q104" s="170">
        <f>IF(A104=$X$29,K104/(D104*Vendas!$U$25),IF(A104=$X$30,K104/(D104*Vendas!$U$26),IF(A104=$X$31,K104/(D104*Vendas!$U$27),IF(A104=$X$32,K104/(D104*Vendas!$U$28),IF(A104=$X$33,K104/(D104*Vendas!$U$29),IF(A104=$X$34,K104/(D104*Vendas!$U$30),IF(A104=$X$35,K104/(D104*Vendas!$U$31),IF(A104=$X$36,K104/(D104*Vendas!$U$32),0))))))))</f>
        <v>0.8877145982594522</v>
      </c>
    </row>
    <row r="105" spans="1:17">
      <c r="A105" s="263" t="s">
        <v>38</v>
      </c>
      <c r="B105" s="337" t="s">
        <v>533</v>
      </c>
      <c r="C105" s="73">
        <v>19</v>
      </c>
      <c r="D105" s="315">
        <v>251.25</v>
      </c>
      <c r="E105" s="166">
        <v>2586</v>
      </c>
      <c r="F105" s="74" t="s">
        <v>94</v>
      </c>
      <c r="G105" s="34" t="str">
        <f t="shared" si="8"/>
        <v>VIII19CARLOS ALBERTO DA COSTA</v>
      </c>
      <c r="H105" s="40">
        <v>41446</v>
      </c>
      <c r="I105" s="35">
        <v>79354.8</v>
      </c>
      <c r="J105" s="35" t="s">
        <v>1250</v>
      </c>
      <c r="K105" s="35">
        <v>195355.97</v>
      </c>
      <c r="L105" s="170">
        <f t="shared" si="9"/>
        <v>2.4618040748637764</v>
      </c>
      <c r="M105" s="154">
        <v>223527.64</v>
      </c>
      <c r="N105" s="170">
        <f t="shared" si="10"/>
        <v>0.87396784576618802</v>
      </c>
      <c r="O105" s="170">
        <f t="shared" si="11"/>
        <v>1.29856447194923</v>
      </c>
      <c r="P105" s="170">
        <f>IF(A105=$X$29,K105/(D105*Vendas!$U$25),IF(A105=$X$30,K105/(D105*Vendas!$U$26),IF(A105=$X$31,K105/(D105*Vendas!$U$27),IF(A105=$X$32,K105/(D105*Vendas!$U$28),IF(A105=$X$33,K105/(D105*Vendas!$U$29),IF(A105=$X$34,K105/(D105*Vendas!$U$30),IF(A105=$X$35,K105/(D105*Vendas!$U$31),IF(A105=$X$36,K105/(D105*Vendas!$U$32),0))))))))</f>
        <v>1.2510733435134198</v>
      </c>
      <c r="Q105" s="170">
        <f>IF(A105=$X$29,K105/(D105*Vendas!$U$25),IF(A105=$X$30,K105/(D105*Vendas!$U$26),IF(A105=$X$31,K105/(D105*Vendas!$U$27),IF(A105=$X$32,K105/(D105*Vendas!$U$28),IF(A105=$X$33,K105/(D105*Vendas!$U$29),IF(A105=$X$34,K105/(D105*Vendas!$U$30),IF(A105=$X$35,K105/(D105*Vendas!$U$31),IF(A105=$X$36,K105/(D105*Vendas!$U$32),0))))))))</f>
        <v>1.2510733435134198</v>
      </c>
    </row>
    <row r="106" spans="1:17">
      <c r="A106" s="263" t="s">
        <v>38</v>
      </c>
      <c r="B106" s="337" t="s">
        <v>533</v>
      </c>
      <c r="C106" s="166">
        <v>21</v>
      </c>
      <c r="D106" s="197">
        <v>251.25</v>
      </c>
      <c r="E106" s="166">
        <v>2710</v>
      </c>
      <c r="F106" s="338" t="s">
        <v>1244</v>
      </c>
      <c r="G106" s="34" t="str">
        <f t="shared" si="8"/>
        <v>VIII21RGS CONSULTORIA EMPRESARIAL E ADMINISTRADORA DE BENS LTDA</v>
      </c>
      <c r="H106" s="40">
        <v>41477</v>
      </c>
      <c r="I106" s="35">
        <v>77767.7</v>
      </c>
      <c r="J106" s="35" t="s">
        <v>834</v>
      </c>
      <c r="K106" s="35">
        <v>106891.97</v>
      </c>
      <c r="L106" s="170">
        <f t="shared" si="9"/>
        <v>1.3745034249437749</v>
      </c>
      <c r="M106" s="154">
        <v>165564.76</v>
      </c>
      <c r="N106" s="170">
        <f t="shared" si="10"/>
        <v>0.64562029987540825</v>
      </c>
      <c r="O106" s="170">
        <f t="shared" si="11"/>
        <v>0.71052916672402144</v>
      </c>
      <c r="P106" s="170">
        <f>IF(A106=$X$29,K106/(D106*Vendas!$U$25),IF(A106=$X$30,K106/(D106*Vendas!$U$26),IF(A106=$X$31,K106/(D106*Vendas!$U$27),IF(A106=$X$32,K106/(D106*Vendas!$U$28),IF(A106=$X$33,K106/(D106*Vendas!$U$29),IF(A106=$X$34,K106/(D106*Vendas!$U$30),IF(A106=$X$35,K106/(D106*Vendas!$U$31),IF(A106=$X$36,K106/(D106*Vendas!$U$32),0))))))))</f>
        <v>0.68454367840735131</v>
      </c>
      <c r="Q106" s="170">
        <f>IF(A106=$X$29,K106/(D106*Vendas!$U$25),IF(A106=$X$30,K106/(D106*Vendas!$U$26),IF(A106=$X$31,K106/(D106*Vendas!$U$27),IF(A106=$X$32,K106/(D106*Vendas!$U$28),IF(A106=$X$33,K106/(D106*Vendas!$U$29),IF(A106=$X$34,K106/(D106*Vendas!$U$30),IF(A106=$X$35,K106/(D106*Vendas!$U$31),IF(A106=$X$36,K106/(D106*Vendas!$U$32),0))))))))</f>
        <v>0.68454367840735131</v>
      </c>
    </row>
    <row r="107" spans="1:17">
      <c r="A107" s="263" t="s">
        <v>38</v>
      </c>
      <c r="B107" s="337" t="s">
        <v>533</v>
      </c>
      <c r="C107" s="73">
        <v>22</v>
      </c>
      <c r="D107" s="315">
        <v>251.25</v>
      </c>
      <c r="E107" s="166">
        <v>2647</v>
      </c>
      <c r="F107" s="74" t="s">
        <v>250</v>
      </c>
      <c r="G107" s="34" t="str">
        <f t="shared" si="8"/>
        <v>VIII22JAIME DOS SANTOS MENDES GOMES</v>
      </c>
      <c r="H107" s="40">
        <v>41462</v>
      </c>
      <c r="I107" s="35">
        <v>79354.8</v>
      </c>
      <c r="J107" s="35" t="s">
        <v>834</v>
      </c>
      <c r="K107" s="35">
        <v>25166.880000000001</v>
      </c>
      <c r="L107" s="170">
        <f t="shared" si="9"/>
        <v>0.3171437644603729</v>
      </c>
      <c r="M107" s="154">
        <v>115570.82</v>
      </c>
      <c r="N107" s="170">
        <f t="shared" si="10"/>
        <v>0.21776154223012348</v>
      </c>
      <c r="O107" s="170">
        <f t="shared" si="11"/>
        <v>0.16728854632806789</v>
      </c>
      <c r="P107" s="170">
        <f>IF(A107=$X$29,K107/(D107*Vendas!$U$25),IF(A107=$X$30,K107/(D107*Vendas!$U$26),IF(A107=$X$31,K107/(D107*Vendas!$U$27),IF(A107=$X$32,K107/(D107*Vendas!$U$28),IF(A107=$X$33,K107/(D107*Vendas!$U$29),IF(A107=$X$34,K107/(D107*Vendas!$U$30),IF(A107=$X$35,K107/(D107*Vendas!$U$31),IF(A107=$X$36,K107/(D107*Vendas!$U$32),0))))))))</f>
        <v>0.1611704659315045</v>
      </c>
      <c r="Q107" s="170">
        <f>IF(A107=$X$29,K107/(D107*Vendas!$U$25),IF(A107=$X$30,K107/(D107*Vendas!$U$26),IF(A107=$X$31,K107/(D107*Vendas!$U$27),IF(A107=$X$32,K107/(D107*Vendas!$U$28),IF(A107=$X$33,K107/(D107*Vendas!$U$29),IF(A107=$X$34,K107/(D107*Vendas!$U$30),IF(A107=$X$35,K107/(D107*Vendas!$U$31),IF(A107=$X$36,K107/(D107*Vendas!$U$32),0))))))))</f>
        <v>0.1611704659315045</v>
      </c>
    </row>
    <row r="108" spans="1:17">
      <c r="A108" s="263" t="s">
        <v>38</v>
      </c>
      <c r="B108" s="337" t="s">
        <v>533</v>
      </c>
      <c r="C108" s="166">
        <v>23</v>
      </c>
      <c r="D108" s="197">
        <v>251.25</v>
      </c>
      <c r="E108" s="166">
        <v>2470</v>
      </c>
      <c r="F108" s="338" t="s">
        <v>288</v>
      </c>
      <c r="G108" s="34" t="str">
        <f t="shared" si="8"/>
        <v>VIII23JULIANA DE SOUZA</v>
      </c>
      <c r="H108" s="40">
        <v>41449</v>
      </c>
      <c r="I108" s="35">
        <v>79354.8</v>
      </c>
      <c r="J108" s="35" t="s">
        <v>1250</v>
      </c>
      <c r="K108" s="35">
        <v>84211.72</v>
      </c>
      <c r="L108" s="170">
        <f t="shared" si="9"/>
        <v>1.06120511928705</v>
      </c>
      <c r="M108" s="154">
        <v>157035.66</v>
      </c>
      <c r="N108" s="170">
        <f t="shared" si="10"/>
        <v>0.5362585797391497</v>
      </c>
      <c r="O108" s="170">
        <f t="shared" si="11"/>
        <v>0.55976967437307601</v>
      </c>
      <c r="P108" s="170">
        <f>IF(A108=$X$29,K108/(D108*Vendas!$U$25),IF(A108=$X$30,K108/(D108*Vendas!$U$26),IF(A108=$X$31,K108/(D108*Vendas!$U$27),IF(A108=$X$32,K108/(D108*Vendas!$U$28),IF(A108=$X$33,K108/(D108*Vendas!$U$29),IF(A108=$X$34,K108/(D108*Vendas!$U$30),IF(A108=$X$35,K108/(D108*Vendas!$U$31),IF(A108=$X$36,K108/(D108*Vendas!$U$32),0))))))))</f>
        <v>0.53929776552728803</v>
      </c>
      <c r="Q108" s="170">
        <f>IF(A108=$X$29,K108/(D108*Vendas!$U$25),IF(A108=$X$30,K108/(D108*Vendas!$U$26),IF(A108=$X$31,K108/(D108*Vendas!$U$27),IF(A108=$X$32,K108/(D108*Vendas!$U$28),IF(A108=$X$33,K108/(D108*Vendas!$U$29),IF(A108=$X$34,K108/(D108*Vendas!$U$30),IF(A108=$X$35,K108/(D108*Vendas!$U$31),IF(A108=$X$36,K108/(D108*Vendas!$U$32),0))))))))</f>
        <v>0.53929776552728803</v>
      </c>
    </row>
    <row r="109" spans="1:17">
      <c r="A109" s="263" t="s">
        <v>38</v>
      </c>
      <c r="B109" s="337" t="s">
        <v>533</v>
      </c>
      <c r="C109" s="73">
        <v>26</v>
      </c>
      <c r="D109" s="315">
        <v>251.25</v>
      </c>
      <c r="E109" s="166">
        <v>4552</v>
      </c>
      <c r="F109" s="74" t="s">
        <v>1242</v>
      </c>
      <c r="G109" s="34" t="str">
        <f t="shared" si="8"/>
        <v>VIII26LUCIANE APARECIDA DE PAULA</v>
      </c>
      <c r="H109" s="40">
        <v>44034</v>
      </c>
      <c r="I109" s="35">
        <v>145700</v>
      </c>
      <c r="J109" s="35" t="s">
        <v>834</v>
      </c>
      <c r="K109" s="35">
        <v>137887.20000000001</v>
      </c>
      <c r="L109" s="170">
        <f t="shared" si="9"/>
        <v>0.94637748798901866</v>
      </c>
      <c r="M109" s="154">
        <v>164504.47</v>
      </c>
      <c r="N109" s="170">
        <f t="shared" si="10"/>
        <v>0.83819728424400874</v>
      </c>
      <c r="O109" s="170">
        <f t="shared" si="11"/>
        <v>0.9165597501655971</v>
      </c>
      <c r="P109" s="170">
        <f>IF(A109=$X$29,K109/(D109*Vendas!$U$25),IF(A109=$X$30,K109/(D109*Vendas!$U$26),IF(A109=$X$31,K109/(D109*Vendas!$U$27),IF(A109=$X$32,K109/(D109*Vendas!$U$28),IF(A109=$X$33,K109/(D109*Vendas!$U$29),IF(A109=$X$34,K109/(D109*Vendas!$U$30),IF(A109=$X$35,K109/(D109*Vendas!$U$31),IF(A109=$X$36,K109/(D109*Vendas!$U$32),0))))))))</f>
        <v>0.88303930681874543</v>
      </c>
      <c r="Q109" s="170">
        <f>IF(A109=$X$29,K109/(D109*Vendas!$U$25),IF(A109=$X$30,K109/(D109*Vendas!$U$26),IF(A109=$X$31,K109/(D109*Vendas!$U$27),IF(A109=$X$32,K109/(D109*Vendas!$U$28),IF(A109=$X$33,K109/(D109*Vendas!$U$29),IF(A109=$X$34,K109/(D109*Vendas!$U$30),IF(A109=$X$35,K109/(D109*Vendas!$U$31),IF(A109=$X$36,K109/(D109*Vendas!$U$32),0))))))))</f>
        <v>0.88303930681874543</v>
      </c>
    </row>
    <row r="110" spans="1:17">
      <c r="A110" s="263" t="s">
        <v>38</v>
      </c>
      <c r="B110" s="337" t="s">
        <v>533</v>
      </c>
      <c r="C110" s="166">
        <v>27</v>
      </c>
      <c r="D110" s="197">
        <v>251.25</v>
      </c>
      <c r="E110" s="166">
        <v>2712</v>
      </c>
      <c r="F110" s="338" t="s">
        <v>387</v>
      </c>
      <c r="G110" s="34" t="str">
        <f t="shared" si="8"/>
        <v>VIII27OSVALDO TOSHIYUKI HIGASHI</v>
      </c>
      <c r="H110" s="40">
        <v>41484</v>
      </c>
      <c r="I110" s="35">
        <v>79354.8</v>
      </c>
      <c r="J110" s="35" t="s">
        <v>834</v>
      </c>
      <c r="K110" s="35">
        <v>80284.36</v>
      </c>
      <c r="L110" s="170">
        <f t="shared" si="9"/>
        <v>1.0117139731938081</v>
      </c>
      <c r="M110" s="154">
        <v>155536.69</v>
      </c>
      <c r="N110" s="170">
        <f t="shared" si="10"/>
        <v>0.51617634398674683</v>
      </c>
      <c r="O110" s="170">
        <f t="shared" si="11"/>
        <v>0.53366384221163998</v>
      </c>
      <c r="P110" s="170">
        <f>IF(A110=$X$29,K110/(D110*Vendas!$U$25),IF(A110=$X$30,K110/(D110*Vendas!$U$26),IF(A110=$X$31,K110/(D110*Vendas!$U$27),IF(A110=$X$32,K110/(D110*Vendas!$U$28),IF(A110=$X$33,K110/(D110*Vendas!$U$29),IF(A110=$X$34,K110/(D110*Vendas!$U$30),IF(A110=$X$35,K110/(D110*Vendas!$U$31),IF(A110=$X$36,K110/(D110*Vendas!$U$32),0))))))))</f>
        <v>0.5141466764339736</v>
      </c>
      <c r="Q110" s="170">
        <f>IF(A110=$X$29,K110/(D110*Vendas!$U$25),IF(A110=$X$30,K110/(D110*Vendas!$U$26),IF(A110=$X$31,K110/(D110*Vendas!$U$27),IF(A110=$X$32,K110/(D110*Vendas!$U$28),IF(A110=$X$33,K110/(D110*Vendas!$U$29),IF(A110=$X$34,K110/(D110*Vendas!$U$30),IF(A110=$X$35,K110/(D110*Vendas!$U$31),IF(A110=$X$36,K110/(D110*Vendas!$U$32),0))))))))</f>
        <v>0.5141466764339736</v>
      </c>
    </row>
    <row r="111" spans="1:17">
      <c r="A111" s="263" t="s">
        <v>38</v>
      </c>
      <c r="B111" s="337" t="s">
        <v>533</v>
      </c>
      <c r="C111" s="73">
        <v>28</v>
      </c>
      <c r="D111" s="315">
        <v>251.25</v>
      </c>
      <c r="E111" s="166">
        <v>3444</v>
      </c>
      <c r="F111" s="74" t="s">
        <v>1117</v>
      </c>
      <c r="G111" s="34" t="str">
        <f t="shared" si="8"/>
        <v>VIII28DANILO HENRIQUE DE OLIVEIRA</v>
      </c>
      <c r="H111" s="40">
        <v>43803</v>
      </c>
      <c r="I111" s="35">
        <v>145700</v>
      </c>
      <c r="J111" s="35" t="s">
        <v>1250</v>
      </c>
      <c r="K111" s="35">
        <v>151802.38</v>
      </c>
      <c r="L111" s="170">
        <f t="shared" si="9"/>
        <v>1.0418831846259438</v>
      </c>
      <c r="M111" s="154">
        <v>177689.4</v>
      </c>
      <c r="N111" s="170">
        <f t="shared" si="10"/>
        <v>0.85431308789381932</v>
      </c>
      <c r="O111" s="170">
        <f t="shared" si="11"/>
        <v>1.0090563263837617</v>
      </c>
      <c r="P111" s="170">
        <f>IF(A111=$X$29,K111/(D111*Vendas!$U$25),IF(A111=$X$30,K111/(D111*Vendas!$U$26),IF(A111=$X$31,K111/(D111*Vendas!$U$27),IF(A111=$X$32,K111/(D111*Vendas!$U$28),IF(A111=$X$33,K111/(D111*Vendas!$U$29),IF(A111=$X$34,K111/(D111*Vendas!$U$30),IF(A111=$X$35,K111/(D111*Vendas!$U$31),IF(A111=$X$36,K111/(D111*Vendas!$U$32),0))))))))</f>
        <v>0.97215309621658708</v>
      </c>
      <c r="Q111" s="170">
        <f>IF(A111=$X$29,K111/(D111*Vendas!$U$25),IF(A111=$X$30,K111/(D111*Vendas!$U$26),IF(A111=$X$31,K111/(D111*Vendas!$U$27),IF(A111=$X$32,K111/(D111*Vendas!$U$28),IF(A111=$X$33,K111/(D111*Vendas!$U$29),IF(A111=$X$34,K111/(D111*Vendas!$U$30),IF(A111=$X$35,K111/(D111*Vendas!$U$31),IF(A111=$X$36,K111/(D111*Vendas!$U$32),0))))))))</f>
        <v>0.97215309621658708</v>
      </c>
    </row>
    <row r="112" spans="1:17">
      <c r="A112" s="263" t="s">
        <v>38</v>
      </c>
      <c r="B112" s="337" t="s">
        <v>533</v>
      </c>
      <c r="C112" s="166">
        <v>32</v>
      </c>
      <c r="D112" s="197">
        <v>251.25</v>
      </c>
      <c r="E112" s="166">
        <v>2610</v>
      </c>
      <c r="F112" s="338" t="s">
        <v>264</v>
      </c>
      <c r="G112" s="34" t="str">
        <f t="shared" si="8"/>
        <v>VIII32JOAQUIM MOREIRA DIAS</v>
      </c>
      <c r="H112" s="40">
        <v>41454</v>
      </c>
      <c r="I112" s="35">
        <v>79354.8</v>
      </c>
      <c r="J112" s="35" t="s">
        <v>834</v>
      </c>
      <c r="K112" s="35">
        <v>80343.63</v>
      </c>
      <c r="L112" s="170">
        <f t="shared" si="9"/>
        <v>1.0124608719321326</v>
      </c>
      <c r="M112" s="154">
        <v>155580.30000000002</v>
      </c>
      <c r="N112" s="170">
        <f t="shared" si="10"/>
        <v>0.51641261779286962</v>
      </c>
      <c r="O112" s="170">
        <f t="shared" si="11"/>
        <v>0.53405782001663071</v>
      </c>
      <c r="P112" s="170">
        <f>IF(A112=$X$29,K112/(D112*Vendas!$U$25),IF(A112=$X$30,K112/(D112*Vendas!$U$26),IF(A112=$X$31,K112/(D112*Vendas!$U$27),IF(A112=$X$32,K112/(D112*Vendas!$U$28),IF(A112=$X$33,K112/(D112*Vendas!$U$29),IF(A112=$X$34,K112/(D112*Vendas!$U$30),IF(A112=$X$35,K112/(D112*Vendas!$U$31),IF(A112=$X$36,K112/(D112*Vendas!$U$32),0))))))))</f>
        <v>0.51452624567401295</v>
      </c>
      <c r="Q112" s="170">
        <f>IF(A112=$X$29,K112/(D112*Vendas!$U$25),IF(A112=$X$30,K112/(D112*Vendas!$U$26),IF(A112=$X$31,K112/(D112*Vendas!$U$27),IF(A112=$X$32,K112/(D112*Vendas!$U$28),IF(A112=$X$33,K112/(D112*Vendas!$U$29),IF(A112=$X$34,K112/(D112*Vendas!$U$30),IF(A112=$X$35,K112/(D112*Vendas!$U$31),IF(A112=$X$36,K112/(D112*Vendas!$U$32),0))))))))</f>
        <v>0.51452624567401295</v>
      </c>
    </row>
    <row r="113" spans="1:17">
      <c r="A113" s="263" t="s">
        <v>38</v>
      </c>
      <c r="B113" s="337" t="s">
        <v>533</v>
      </c>
      <c r="C113" s="73">
        <v>34</v>
      </c>
      <c r="D113" s="315">
        <v>368.4</v>
      </c>
      <c r="E113" s="166">
        <v>3550</v>
      </c>
      <c r="F113" s="74" t="s">
        <v>280</v>
      </c>
      <c r="G113" s="34" t="str">
        <f t="shared" si="8"/>
        <v>VIII34JOSE TADEI FERRAZ DE GOUVEIA</v>
      </c>
      <c r="H113" s="40">
        <v>41677</v>
      </c>
      <c r="I113" s="35">
        <v>138518.39999999999</v>
      </c>
      <c r="J113" s="35" t="s">
        <v>834</v>
      </c>
      <c r="K113" s="35">
        <v>39568.03</v>
      </c>
      <c r="L113" s="170">
        <f t="shared" si="9"/>
        <v>0.28565179788389122</v>
      </c>
      <c r="M113" s="154">
        <v>225729.33000000002</v>
      </c>
      <c r="N113" s="170">
        <f t="shared" si="10"/>
        <v>0.17528971534182108</v>
      </c>
      <c r="O113" s="170">
        <f t="shared" si="11"/>
        <v>0.17937739231270736</v>
      </c>
      <c r="P113" s="170">
        <f>IF(A113=$X$29,K113/(D113*Vendas!$U$25),IF(A113=$X$30,K113/(D113*Vendas!$U$26),IF(A113=$X$31,K113/(D113*Vendas!$U$27),IF(A113=$X$32,K113/(D113*Vendas!$U$28),IF(A113=$X$33,K113/(D113*Vendas!$U$29),IF(A113=$X$34,K113/(D113*Vendas!$U$30),IF(A113=$X$35,K113/(D113*Vendas!$U$31),IF(A113=$X$36,K113/(D113*Vendas!$U$32),0))))))))</f>
        <v>0.17281719837484599</v>
      </c>
      <c r="Q113" s="170">
        <f>IF(A113=$X$29,K113/(D113*Vendas!$U$25),IF(A113=$X$30,K113/(D113*Vendas!$U$26),IF(A113=$X$31,K113/(D113*Vendas!$U$27),IF(A113=$X$32,K113/(D113*Vendas!$U$28),IF(A113=$X$33,K113/(D113*Vendas!$U$29),IF(A113=$X$34,K113/(D113*Vendas!$U$30),IF(A113=$X$35,K113/(D113*Vendas!$U$31),IF(A113=$X$36,K113/(D113*Vendas!$U$32),0))))))))</f>
        <v>0.17281719837484599</v>
      </c>
    </row>
    <row r="114" spans="1:17">
      <c r="A114" s="263" t="s">
        <v>38</v>
      </c>
      <c r="B114" s="337" t="s">
        <v>510</v>
      </c>
      <c r="C114" s="166">
        <v>4</v>
      </c>
      <c r="D114" s="197">
        <v>252.75</v>
      </c>
      <c r="E114" s="166">
        <v>2476</v>
      </c>
      <c r="F114" s="338" t="s">
        <v>423</v>
      </c>
      <c r="G114" s="34" t="str">
        <f t="shared" si="8"/>
        <v>XII4ROGERIO FRANCISCO MANOEL</v>
      </c>
      <c r="H114" s="40">
        <v>41439</v>
      </c>
      <c r="I114" s="35">
        <v>83154.75</v>
      </c>
      <c r="J114" s="35" t="s">
        <v>834</v>
      </c>
      <c r="K114" s="35">
        <v>84462.48</v>
      </c>
      <c r="L114" s="170">
        <f t="shared" si="9"/>
        <v>1.0157264618076538</v>
      </c>
      <c r="M114" s="154">
        <v>163865.37</v>
      </c>
      <c r="N114" s="170">
        <f t="shared" si="10"/>
        <v>0.5154382527559056</v>
      </c>
      <c r="O114" s="170">
        <f t="shared" si="11"/>
        <v>0.55810455141651794</v>
      </c>
      <c r="P114" s="170">
        <f>IF(A114=$X$29,K114/(D114*Vendas!$U$25),IF(A114=$X$30,K114/(D114*Vendas!$U$26),IF(A114=$X$31,K114/(D114*Vendas!$U$27),IF(A114=$X$32,K114/(D114*Vendas!$U$28),IF(A114=$X$33,K114/(D114*Vendas!$U$29),IF(A114=$X$34,K114/(D114*Vendas!$U$30),IF(A114=$X$35,K114/(D114*Vendas!$U$31),IF(A114=$X$36,K114/(D114*Vendas!$U$32),0))))))))</f>
        <v>0.53769353948412901</v>
      </c>
      <c r="Q114" s="170">
        <f>IF(A114=$X$29,K114/(D114*Vendas!$U$25),IF(A114=$X$30,K114/(D114*Vendas!$U$26),IF(A114=$X$31,K114/(D114*Vendas!$U$27),IF(A114=$X$32,K114/(D114*Vendas!$U$28),IF(A114=$X$33,K114/(D114*Vendas!$U$29),IF(A114=$X$34,K114/(D114*Vendas!$U$30),IF(A114=$X$35,K114/(D114*Vendas!$U$31),IF(A114=$X$36,K114/(D114*Vendas!$U$32),0))))))))</f>
        <v>0.53769353948412901</v>
      </c>
    </row>
    <row r="115" spans="1:17">
      <c r="A115" s="263" t="s">
        <v>38</v>
      </c>
      <c r="B115" s="337" t="s">
        <v>510</v>
      </c>
      <c r="C115" s="73">
        <v>6</v>
      </c>
      <c r="D115" s="315">
        <v>252.75</v>
      </c>
      <c r="E115" s="166">
        <v>2332</v>
      </c>
      <c r="F115" s="74" t="s">
        <v>417</v>
      </c>
      <c r="G115" s="34" t="str">
        <f t="shared" si="8"/>
        <v>XII6ROBERTO NUNES</v>
      </c>
      <c r="H115" s="40">
        <v>41441</v>
      </c>
      <c r="I115" s="35">
        <v>83154.75</v>
      </c>
      <c r="J115" s="35" t="s">
        <v>1250</v>
      </c>
      <c r="K115" s="35">
        <v>101059.75</v>
      </c>
      <c r="L115" s="170">
        <f t="shared" si="9"/>
        <v>1.2153214338327034</v>
      </c>
      <c r="M115" s="154">
        <v>165747.72</v>
      </c>
      <c r="N115" s="170">
        <f t="shared" si="10"/>
        <v>0.6097203026382505</v>
      </c>
      <c r="O115" s="170">
        <f t="shared" si="11"/>
        <v>0.66777469048997207</v>
      </c>
      <c r="P115" s="170">
        <f>IF(A115=$X$29,K115/(D115*Vendas!$U$25),IF(A115=$X$30,K115/(D115*Vendas!$U$26),IF(A115=$X$31,K115/(D115*Vendas!$U$27),IF(A115=$X$32,K115/(D115*Vendas!$U$28),IF(A115=$X$33,K115/(D115*Vendas!$U$29),IF(A115=$X$34,K115/(D115*Vendas!$U$30),IF(A115=$X$35,K115/(D115*Vendas!$U$31),IF(A115=$X$36,K115/(D115*Vendas!$U$32),0))))))))</f>
        <v>0.64335281981870773</v>
      </c>
      <c r="Q115" s="170">
        <f>IF(A115=$X$29,K115/(D115*Vendas!$U$25),IF(A115=$X$30,K115/(D115*Vendas!$U$26),IF(A115=$X$31,K115/(D115*Vendas!$U$27),IF(A115=$X$32,K115/(D115*Vendas!$U$28),IF(A115=$X$33,K115/(D115*Vendas!$U$29),IF(A115=$X$34,K115/(D115*Vendas!$U$30),IF(A115=$X$35,K115/(D115*Vendas!$U$31),IF(A115=$X$36,K115/(D115*Vendas!$U$32),0))))))))</f>
        <v>0.64335281981870773</v>
      </c>
    </row>
    <row r="116" spans="1:17">
      <c r="A116" s="263" t="s">
        <v>38</v>
      </c>
      <c r="B116" s="337" t="s">
        <v>510</v>
      </c>
      <c r="C116" s="166">
        <v>11</v>
      </c>
      <c r="D116" s="197">
        <v>252.75</v>
      </c>
      <c r="E116" s="166">
        <v>2656</v>
      </c>
      <c r="F116" s="338" t="s">
        <v>460</v>
      </c>
      <c r="G116" s="34" t="str">
        <f t="shared" si="8"/>
        <v>XII11VALDENILSON  PEREIRA MEIRELES</v>
      </c>
      <c r="H116" s="40">
        <v>41442</v>
      </c>
      <c r="I116" s="35">
        <v>83154.75</v>
      </c>
      <c r="J116" s="35" t="s">
        <v>1250</v>
      </c>
      <c r="K116" s="35">
        <v>153750.87</v>
      </c>
      <c r="L116" s="170">
        <f t="shared" si="9"/>
        <v>1.8489727886861544</v>
      </c>
      <c r="M116" s="154">
        <v>182252.04</v>
      </c>
      <c r="N116" s="170">
        <f t="shared" si="10"/>
        <v>0.84361672988680947</v>
      </c>
      <c r="O116" s="170">
        <f t="shared" si="11"/>
        <v>1.0159429409514067</v>
      </c>
      <c r="P116" s="170">
        <f>IF(A116=$X$29,K116/(D116*Vendas!$U$25),IF(A116=$X$30,K116/(D116*Vendas!$U$26),IF(A116=$X$31,K116/(D116*Vendas!$U$27),IF(A116=$X$32,K116/(D116*Vendas!$U$28),IF(A116=$X$33,K116/(D116*Vendas!$U$29),IF(A116=$X$34,K116/(D116*Vendas!$U$30),IF(A116=$X$35,K116/(D116*Vendas!$U$31),IF(A116=$X$36,K116/(D116*Vendas!$U$32),0))))))))</f>
        <v>0.97878785336476248</v>
      </c>
      <c r="Q116" s="170">
        <f>IF(A116=$X$29,K116/(D116*Vendas!$U$25),IF(A116=$X$30,K116/(D116*Vendas!$U$26),IF(A116=$X$31,K116/(D116*Vendas!$U$27),IF(A116=$X$32,K116/(D116*Vendas!$U$28),IF(A116=$X$33,K116/(D116*Vendas!$U$29),IF(A116=$X$34,K116/(D116*Vendas!$U$30),IF(A116=$X$35,K116/(D116*Vendas!$U$31),IF(A116=$X$36,K116/(D116*Vendas!$U$32),0))))))))</f>
        <v>0.97878785336476248</v>
      </c>
    </row>
    <row r="117" spans="1:17">
      <c r="A117" s="263" t="s">
        <v>38</v>
      </c>
      <c r="B117" s="337" t="s">
        <v>510</v>
      </c>
      <c r="C117" s="73">
        <v>14</v>
      </c>
      <c r="D117" s="315">
        <v>252.75</v>
      </c>
      <c r="E117" s="166">
        <v>2498</v>
      </c>
      <c r="F117" s="74" t="s">
        <v>75</v>
      </c>
      <c r="G117" s="34" t="str">
        <f t="shared" si="8"/>
        <v>XII14ANGELA FERREIRA DA SILVA</v>
      </c>
      <c r="H117" s="40">
        <v>41446</v>
      </c>
      <c r="I117" s="35">
        <v>83154.75</v>
      </c>
      <c r="J117" s="35" t="s">
        <v>1250</v>
      </c>
      <c r="K117" s="35">
        <v>209140.76</v>
      </c>
      <c r="L117" s="170">
        <f t="shared" si="9"/>
        <v>2.5150789341558961</v>
      </c>
      <c r="M117" s="154">
        <v>243578.97</v>
      </c>
      <c r="N117" s="170">
        <f t="shared" si="10"/>
        <v>0.85861583206464831</v>
      </c>
      <c r="O117" s="170">
        <f t="shared" si="11"/>
        <v>1.3819439121691626</v>
      </c>
      <c r="P117" s="170">
        <f>IF(A117=$X$29,K117/(D117*Vendas!$U$25),IF(A117=$X$30,K117/(D117*Vendas!$U$26),IF(A117=$X$31,K117/(D117*Vendas!$U$27),IF(A117=$X$32,K117/(D117*Vendas!$U$28),IF(A117=$X$33,K117/(D117*Vendas!$U$29),IF(A117=$X$34,K117/(D117*Vendas!$U$30),IF(A117=$X$35,K117/(D117*Vendas!$U$31),IF(A117=$X$36,K117/(D117*Vendas!$U$32),0))))))))</f>
        <v>1.3314034290113286</v>
      </c>
      <c r="Q117" s="170">
        <f>IF(A117=$X$29,K117/(D117*Vendas!$U$25),IF(A117=$X$30,K117/(D117*Vendas!$U$26),IF(A117=$X$31,K117/(D117*Vendas!$U$27),IF(A117=$X$32,K117/(D117*Vendas!$U$28),IF(A117=$X$33,K117/(D117*Vendas!$U$29),IF(A117=$X$34,K117/(D117*Vendas!$U$30),IF(A117=$X$35,K117/(D117*Vendas!$U$31),IF(A117=$X$36,K117/(D117*Vendas!$U$32),0))))))))</f>
        <v>1.3314034290113286</v>
      </c>
    </row>
    <row r="118" spans="1:17">
      <c r="A118" s="263" t="s">
        <v>38</v>
      </c>
      <c r="B118" s="337" t="s">
        <v>510</v>
      </c>
      <c r="C118" s="166">
        <v>15</v>
      </c>
      <c r="D118" s="197">
        <v>252.75</v>
      </c>
      <c r="E118" s="166">
        <v>2389</v>
      </c>
      <c r="F118" s="338" t="s">
        <v>95</v>
      </c>
      <c r="G118" s="34" t="str">
        <f t="shared" si="8"/>
        <v>XII15CARLOS ANTONIO DA SILVA</v>
      </c>
      <c r="H118" s="40">
        <v>41440</v>
      </c>
      <c r="I118" s="35">
        <v>83154.75</v>
      </c>
      <c r="J118" s="35" t="s">
        <v>1250</v>
      </c>
      <c r="K118" s="35">
        <v>150156.15</v>
      </c>
      <c r="L118" s="170">
        <f t="shared" si="9"/>
        <v>1.8057435083383691</v>
      </c>
      <c r="M118" s="154">
        <v>178673.09</v>
      </c>
      <c r="N118" s="170">
        <f t="shared" si="10"/>
        <v>0.84039599919607366</v>
      </c>
      <c r="O118" s="170">
        <f t="shared" si="11"/>
        <v>0.99219003204951339</v>
      </c>
      <c r="P118" s="170">
        <f>IF(A118=$X$29,K118/(D118*Vendas!$U$25),IF(A118=$X$30,K118/(D118*Vendas!$U$26),IF(A118=$X$31,K118/(D118*Vendas!$U$27),IF(A118=$X$32,K118/(D118*Vendas!$U$28),IF(A118=$X$33,K118/(D118*Vendas!$U$29),IF(A118=$X$34,K118/(D118*Vendas!$U$30),IF(A118=$X$35,K118/(D118*Vendas!$U$31),IF(A118=$X$36,K118/(D118*Vendas!$U$32),0))))))))</f>
        <v>0.95590363636977971</v>
      </c>
      <c r="Q118" s="170">
        <f>IF(A118=$X$29,K118/(D118*Vendas!$U$25),IF(A118=$X$30,K118/(D118*Vendas!$U$26),IF(A118=$X$31,K118/(D118*Vendas!$U$27),IF(A118=$X$32,K118/(D118*Vendas!$U$28),IF(A118=$X$33,K118/(D118*Vendas!$U$29),IF(A118=$X$34,K118/(D118*Vendas!$U$30),IF(A118=$X$35,K118/(D118*Vendas!$U$31),IF(A118=$X$36,K118/(D118*Vendas!$U$32),0))))))))</f>
        <v>0.95590363636977971</v>
      </c>
    </row>
    <row r="119" spans="1:17">
      <c r="A119" s="263" t="s">
        <v>38</v>
      </c>
      <c r="B119" s="337" t="s">
        <v>510</v>
      </c>
      <c r="C119" s="73">
        <v>18</v>
      </c>
      <c r="D119" s="315">
        <v>252.75</v>
      </c>
      <c r="E119" s="166">
        <v>2575</v>
      </c>
      <c r="F119" s="74" t="s">
        <v>227</v>
      </c>
      <c r="G119" s="34" t="str">
        <f t="shared" si="8"/>
        <v>XII18GILSON TOSHIHIKO MORIYAMA</v>
      </c>
      <c r="H119" s="40">
        <v>41447</v>
      </c>
      <c r="I119" s="35">
        <v>83154.75</v>
      </c>
      <c r="J119" s="35" t="s">
        <v>834</v>
      </c>
      <c r="K119" s="35">
        <v>83957.13</v>
      </c>
      <c r="L119" s="170">
        <f t="shared" si="9"/>
        <v>1.0096492383177149</v>
      </c>
      <c r="M119" s="154">
        <v>161040.62</v>
      </c>
      <c r="N119" s="170">
        <f t="shared" si="10"/>
        <v>0.52134132369833153</v>
      </c>
      <c r="O119" s="170">
        <f t="shared" si="11"/>
        <v>0.55476533931833738</v>
      </c>
      <c r="P119" s="170">
        <f>IF(A119=$X$29,K119/(D119*Vendas!$U$25),IF(A119=$X$30,K119/(D119*Vendas!$U$26),IF(A119=$X$31,K119/(D119*Vendas!$U$27),IF(A119=$X$32,K119/(D119*Vendas!$U$28),IF(A119=$X$33,K119/(D119*Vendas!$U$29),IF(A119=$X$34,K119/(D119*Vendas!$U$30),IF(A119=$X$35,K119/(D119*Vendas!$U$31),IF(A119=$X$36,K119/(D119*Vendas!$U$32),0))))))))</f>
        <v>0.53447644912426384</v>
      </c>
      <c r="Q119" s="170">
        <f>IF(A119=$X$29,K119/(D119*Vendas!$U$25),IF(A119=$X$30,K119/(D119*Vendas!$U$26),IF(A119=$X$31,K119/(D119*Vendas!$U$27),IF(A119=$X$32,K119/(D119*Vendas!$U$28),IF(A119=$X$33,K119/(D119*Vendas!$U$29),IF(A119=$X$34,K119/(D119*Vendas!$U$30),IF(A119=$X$35,K119/(D119*Vendas!$U$31),IF(A119=$X$36,K119/(D119*Vendas!$U$32),0))))))))</f>
        <v>0.53447644912426384</v>
      </c>
    </row>
    <row r="120" spans="1:17">
      <c r="A120" s="263" t="s">
        <v>38</v>
      </c>
      <c r="B120" s="337" t="s">
        <v>510</v>
      </c>
      <c r="C120" s="166">
        <v>22</v>
      </c>
      <c r="D120" s="197">
        <v>252.75</v>
      </c>
      <c r="E120" s="166">
        <v>2806</v>
      </c>
      <c r="F120" s="338" t="s">
        <v>113</v>
      </c>
      <c r="G120" s="34" t="str">
        <f t="shared" si="8"/>
        <v>XII22CLAUDINEI DOS SANTOS SISNER</v>
      </c>
      <c r="H120" s="40">
        <v>41535</v>
      </c>
      <c r="I120" s="35">
        <v>87429.4</v>
      </c>
      <c r="J120" s="35" t="s">
        <v>834</v>
      </c>
      <c r="K120" s="35">
        <v>89754.94</v>
      </c>
      <c r="L120" s="170">
        <f t="shared" si="9"/>
        <v>1.02659906164288</v>
      </c>
      <c r="M120" s="154">
        <v>209137.45</v>
      </c>
      <c r="N120" s="170">
        <f t="shared" si="10"/>
        <v>0.42916722949428709</v>
      </c>
      <c r="O120" s="170">
        <f t="shared" si="11"/>
        <v>0.59307565354600633</v>
      </c>
      <c r="P120" s="170">
        <f>IF(A120=$X$29,K120/(D120*Vendas!$U$25),IF(A120=$X$30,K120/(D120*Vendas!$U$26),IF(A120=$X$31,K120/(D120*Vendas!$U$27),IF(A120=$X$32,K120/(D120*Vendas!$U$28),IF(A120=$X$33,K120/(D120*Vendas!$U$29),IF(A120=$X$34,K120/(D120*Vendas!$U$30),IF(A120=$X$35,K120/(D120*Vendas!$U$31),IF(A120=$X$36,K120/(D120*Vendas!$U$32),0))))))))</f>
        <v>0.57138567769719328</v>
      </c>
      <c r="Q120" s="170">
        <f>IF(A120=$X$29,K120/(D120*Vendas!$U$25),IF(A120=$X$30,K120/(D120*Vendas!$U$26),IF(A120=$X$31,K120/(D120*Vendas!$U$27),IF(A120=$X$32,K120/(D120*Vendas!$U$28),IF(A120=$X$33,K120/(D120*Vendas!$U$29),IF(A120=$X$34,K120/(D120*Vendas!$U$30),IF(A120=$X$35,K120/(D120*Vendas!$U$31),IF(A120=$X$36,K120/(D120*Vendas!$U$32),0))))))))</f>
        <v>0.57138567769719328</v>
      </c>
    </row>
    <row r="121" spans="1:17">
      <c r="A121" s="263" t="s">
        <v>38</v>
      </c>
      <c r="B121" s="337" t="s">
        <v>510</v>
      </c>
      <c r="C121" s="73">
        <v>23</v>
      </c>
      <c r="D121" s="315">
        <v>252.75</v>
      </c>
      <c r="E121" s="166">
        <v>2513</v>
      </c>
      <c r="F121" s="74" t="s">
        <v>362</v>
      </c>
      <c r="G121" s="34" t="str">
        <f t="shared" si="8"/>
        <v>XII23MARLI PEREIRA NEVES LEME</v>
      </c>
      <c r="H121" s="40">
        <v>41445</v>
      </c>
      <c r="I121" s="35">
        <v>83154.75</v>
      </c>
      <c r="J121" s="35" t="s">
        <v>834</v>
      </c>
      <c r="K121" s="35">
        <v>22301.87</v>
      </c>
      <c r="L121" s="170">
        <f t="shared" si="9"/>
        <v>0.26819718657082126</v>
      </c>
      <c r="M121" s="154">
        <v>128529.56</v>
      </c>
      <c r="N121" s="170">
        <f t="shared" si="10"/>
        <v>0.17351549324528925</v>
      </c>
      <c r="O121" s="170">
        <f t="shared" si="11"/>
        <v>0.1473645475730703</v>
      </c>
      <c r="P121" s="170">
        <f>IF(A121=$X$29,K121/(D121*Vendas!$U$25),IF(A121=$X$30,K121/(D121*Vendas!$U$26),IF(A121=$X$31,K121/(D121*Vendas!$U$27),IF(A121=$X$32,K121/(D121*Vendas!$U$28),IF(A121=$X$33,K121/(D121*Vendas!$U$29),IF(A121=$X$34,K121/(D121*Vendas!$U$30),IF(A121=$X$35,K121/(D121*Vendas!$U$31),IF(A121=$X$36,K121/(D121*Vendas!$U$32),0))))))))</f>
        <v>0.14197512809729138</v>
      </c>
      <c r="Q121" s="170">
        <f>IF(A121=$X$29,K121/(D121*Vendas!$U$25),IF(A121=$X$30,K121/(D121*Vendas!$U$26),IF(A121=$X$31,K121/(D121*Vendas!$U$27),IF(A121=$X$32,K121/(D121*Vendas!$U$28),IF(A121=$X$33,K121/(D121*Vendas!$U$29),IF(A121=$X$34,K121/(D121*Vendas!$U$30),IF(A121=$X$35,K121/(D121*Vendas!$U$31),IF(A121=$X$36,K121/(D121*Vendas!$U$32),0))))))))</f>
        <v>0.14197512809729138</v>
      </c>
    </row>
    <row r="122" spans="1:17">
      <c r="A122" s="263" t="s">
        <v>38</v>
      </c>
      <c r="B122" s="337" t="s">
        <v>510</v>
      </c>
      <c r="C122" s="166">
        <v>30</v>
      </c>
      <c r="D122" s="197">
        <v>252.75</v>
      </c>
      <c r="E122" s="166">
        <v>3760</v>
      </c>
      <c r="F122" s="338" t="s">
        <v>1120</v>
      </c>
      <c r="G122" s="34" t="str">
        <f t="shared" si="8"/>
        <v>XII30VAGNER RODRIGO CREPALDI</v>
      </c>
      <c r="H122" s="40">
        <v>43864</v>
      </c>
      <c r="I122" s="35">
        <v>122200.2</v>
      </c>
      <c r="J122" s="35" t="s">
        <v>834</v>
      </c>
      <c r="K122" s="35">
        <v>135217.99</v>
      </c>
      <c r="L122" s="170">
        <f t="shared" si="9"/>
        <v>1.1065283853872578</v>
      </c>
      <c r="M122" s="154">
        <v>161980.39000000001</v>
      </c>
      <c r="N122" s="170">
        <f t="shared" si="10"/>
        <v>0.83478000022101428</v>
      </c>
      <c r="O122" s="170">
        <f t="shared" si="11"/>
        <v>0.89348282991919259</v>
      </c>
      <c r="P122" s="170">
        <f>IF(A122=$X$29,K122/(D122*Vendas!$U$25),IF(A122=$X$30,K122/(D122*Vendas!$U$26),IF(A122=$X$31,K122/(D122*Vendas!$U$27),IF(A122=$X$32,K122/(D122*Vendas!$U$28),IF(A122=$X$33,K122/(D122*Vendas!$U$29),IF(A122=$X$34,K122/(D122*Vendas!$U$30),IF(A122=$X$35,K122/(D122*Vendas!$U$31),IF(A122=$X$36,K122/(D122*Vendas!$U$32),0))))))))</f>
        <v>0.86080635620727164</v>
      </c>
      <c r="Q122" s="170">
        <f>IF(A122=$X$29,K122/(D122*Vendas!$U$25),IF(A122=$X$30,K122/(D122*Vendas!$U$26),IF(A122=$X$31,K122/(D122*Vendas!$U$27),IF(A122=$X$32,K122/(D122*Vendas!$U$28),IF(A122=$X$33,K122/(D122*Vendas!$U$29),IF(A122=$X$34,K122/(D122*Vendas!$U$30),IF(A122=$X$35,K122/(D122*Vendas!$U$31),IF(A122=$X$36,K122/(D122*Vendas!$U$32),0))))))))</f>
        <v>0.86080635620727164</v>
      </c>
    </row>
    <row r="123" spans="1:17">
      <c r="A123" s="263" t="s">
        <v>38</v>
      </c>
      <c r="B123" s="337" t="s">
        <v>510</v>
      </c>
      <c r="C123" s="73">
        <v>31</v>
      </c>
      <c r="D123" s="315">
        <v>290.68</v>
      </c>
      <c r="E123" s="166">
        <v>2694</v>
      </c>
      <c r="F123" s="74" t="s">
        <v>234</v>
      </c>
      <c r="G123" s="34" t="str">
        <f t="shared" si="8"/>
        <v>XII31HELBERT NILSON FAGGION</v>
      </c>
      <c r="H123" s="40">
        <v>41472</v>
      </c>
      <c r="I123" s="35">
        <v>95633.72</v>
      </c>
      <c r="J123" s="35" t="s">
        <v>834</v>
      </c>
      <c r="K123" s="35">
        <v>13950.75</v>
      </c>
      <c r="L123" s="170">
        <f t="shared" si="9"/>
        <v>0.1458768936312422</v>
      </c>
      <c r="M123" s="154">
        <v>134705.51</v>
      </c>
      <c r="N123" s="170">
        <f t="shared" si="10"/>
        <v>0.10356480592367751</v>
      </c>
      <c r="O123" s="170">
        <f t="shared" si="11"/>
        <v>8.0154019161033582E-2</v>
      </c>
      <c r="P123" s="170">
        <f>IF(A123=$X$29,K123/(D123*Vendas!$U$25),IF(A123=$X$30,K123/(D123*Vendas!$U$26),IF(A123=$X$31,K123/(D123*Vendas!$U$27),IF(A123=$X$32,K123/(D123*Vendas!$U$28),IF(A123=$X$33,K123/(D123*Vendas!$U$29),IF(A123=$X$34,K123/(D123*Vendas!$U$30),IF(A123=$X$35,K123/(D123*Vendas!$U$31),IF(A123=$X$36,K123/(D123*Vendas!$U$32),0))))))))</f>
        <v>7.7222624608933241E-2</v>
      </c>
      <c r="Q123" s="170">
        <f>IF(A123=$X$29,K123/(D123*Vendas!$U$25),IF(A123=$X$30,K123/(D123*Vendas!$U$26),IF(A123=$X$31,K123/(D123*Vendas!$U$27),IF(A123=$X$32,K123/(D123*Vendas!$U$28),IF(A123=$X$33,K123/(D123*Vendas!$U$29),IF(A123=$X$34,K123/(D123*Vendas!$U$30),IF(A123=$X$35,K123/(D123*Vendas!$U$31),IF(A123=$X$36,K123/(D123*Vendas!$U$32),0))))))))</f>
        <v>7.7222624608933241E-2</v>
      </c>
    </row>
    <row r="124" spans="1:17">
      <c r="A124" s="263" t="s">
        <v>38</v>
      </c>
      <c r="B124" s="337" t="s">
        <v>511</v>
      </c>
      <c r="C124" s="166">
        <v>2</v>
      </c>
      <c r="D124" s="197">
        <v>253</v>
      </c>
      <c r="E124" s="166">
        <v>2409</v>
      </c>
      <c r="F124" s="338" t="s">
        <v>169</v>
      </c>
      <c r="G124" s="34" t="str">
        <f t="shared" si="8"/>
        <v>XV2EDUARDO FERREIRA DE MELLO</v>
      </c>
      <c r="H124" s="40">
        <v>41444</v>
      </c>
      <c r="I124" s="35">
        <v>73724.2</v>
      </c>
      <c r="J124" s="35" t="s">
        <v>834</v>
      </c>
      <c r="K124" s="35">
        <v>18653.61</v>
      </c>
      <c r="L124" s="170">
        <f t="shared" si="9"/>
        <v>0.25301881878677557</v>
      </c>
      <c r="M124" s="154">
        <v>104222.87</v>
      </c>
      <c r="N124" s="170">
        <f t="shared" si="10"/>
        <v>0.17897808801465553</v>
      </c>
      <c r="O124" s="170">
        <f t="shared" si="11"/>
        <v>0.12313606495243362</v>
      </c>
      <c r="P124" s="170">
        <f>IF(A124=$X$29,K124/(D124*Vendas!$U$25),IF(A124=$X$30,K124/(D124*Vendas!$U$26),IF(A124=$X$31,K124/(D124*Vendas!$U$27),IF(A124=$X$32,K124/(D124*Vendas!$U$28),IF(A124=$X$33,K124/(D124*Vendas!$U$29),IF(A124=$X$34,K124/(D124*Vendas!$U$30),IF(A124=$X$35,K124/(D124*Vendas!$U$31),IF(A124=$X$36,K124/(D124*Vendas!$U$32),0))))))))</f>
        <v>0.11863273007606953</v>
      </c>
      <c r="Q124" s="170">
        <f>IF(A124=$X$29,K124/(D124*Vendas!$U$25),IF(A124=$X$30,K124/(D124*Vendas!$U$26),IF(A124=$X$31,K124/(D124*Vendas!$U$27),IF(A124=$X$32,K124/(D124*Vendas!$U$28),IF(A124=$X$33,K124/(D124*Vendas!$U$29),IF(A124=$X$34,K124/(D124*Vendas!$U$30),IF(A124=$X$35,K124/(D124*Vendas!$U$31),IF(A124=$X$36,K124/(D124*Vendas!$U$32),0))))))))</f>
        <v>0.11863273007606953</v>
      </c>
    </row>
    <row r="125" spans="1:17">
      <c r="A125" s="263" t="s">
        <v>38</v>
      </c>
      <c r="B125" s="337" t="s">
        <v>511</v>
      </c>
      <c r="C125" s="73">
        <v>4</v>
      </c>
      <c r="D125" s="315">
        <v>253</v>
      </c>
      <c r="E125" s="166">
        <v>2549</v>
      </c>
      <c r="F125" s="74" t="s">
        <v>271</v>
      </c>
      <c r="G125" s="34" t="str">
        <f t="shared" si="8"/>
        <v>XV4JOSE CARLOS OLIVEIRA</v>
      </c>
      <c r="H125" s="40">
        <v>41445</v>
      </c>
      <c r="I125" s="35">
        <v>73724.2</v>
      </c>
      <c r="J125" s="35" t="s">
        <v>1249</v>
      </c>
      <c r="K125" s="35">
        <v>57982.35</v>
      </c>
      <c r="L125" s="170">
        <f t="shared" si="9"/>
        <v>0.78647648940239434</v>
      </c>
      <c r="M125" s="154">
        <v>129035.95</v>
      </c>
      <c r="N125" s="170">
        <f t="shared" si="10"/>
        <v>0.44935035546295432</v>
      </c>
      <c r="O125" s="170">
        <f t="shared" si="11"/>
        <v>0.3827526369262968</v>
      </c>
      <c r="P125" s="170">
        <f>IF(A125=$X$29,K125/(D125*Vendas!$U$25),IF(A125=$X$30,K125/(D125*Vendas!$U$26),IF(A125=$X$31,K125/(D125*Vendas!$U$27),IF(A125=$X$32,K125/(D125*Vendas!$U$28),IF(A125=$X$33,K125/(D125*Vendas!$U$29),IF(A125=$X$34,K125/(D125*Vendas!$U$30),IF(A125=$X$35,K125/(D125*Vendas!$U$31),IF(A125=$X$36,K125/(D125*Vendas!$U$32),0))))))))</f>
        <v>0.36875459906828706</v>
      </c>
      <c r="Q125" s="170">
        <f>IF(A125=$X$29,K125/(D125*Vendas!$U$25),IF(A125=$X$30,K125/(D125*Vendas!$U$26),IF(A125=$X$31,K125/(D125*Vendas!$U$27),IF(A125=$X$32,K125/(D125*Vendas!$U$28),IF(A125=$X$33,K125/(D125*Vendas!$U$29),IF(A125=$X$34,K125/(D125*Vendas!$U$30),IF(A125=$X$35,K125/(D125*Vendas!$U$31),IF(A125=$X$36,K125/(D125*Vendas!$U$32),0))))))))</f>
        <v>0.36875459906828706</v>
      </c>
    </row>
    <row r="126" spans="1:17">
      <c r="A126" s="263" t="s">
        <v>38</v>
      </c>
      <c r="B126" s="337" t="s">
        <v>511</v>
      </c>
      <c r="C126" s="166">
        <v>6</v>
      </c>
      <c r="D126" s="197">
        <v>253</v>
      </c>
      <c r="E126" s="166">
        <v>5971</v>
      </c>
      <c r="F126" s="338" t="s">
        <v>322</v>
      </c>
      <c r="G126" s="34" t="str">
        <f t="shared" si="8"/>
        <v>XV6LUIZ ROBERTO CARVALHO SALGADO</v>
      </c>
      <c r="H126" s="40">
        <v>43039</v>
      </c>
      <c r="I126" s="35">
        <v>127767.53</v>
      </c>
      <c r="J126" s="35" t="s">
        <v>834</v>
      </c>
      <c r="K126" s="35">
        <v>28161.72</v>
      </c>
      <c r="L126" s="170">
        <f t="shared" si="9"/>
        <v>0.22041374674770656</v>
      </c>
      <c r="M126" s="154">
        <v>168304.57</v>
      </c>
      <c r="N126" s="170">
        <f t="shared" si="10"/>
        <v>0.16732593773300392</v>
      </c>
      <c r="O126" s="170">
        <f t="shared" si="11"/>
        <v>0.18590092658162408</v>
      </c>
      <c r="P126" s="170">
        <f>IF(A126=$X$29,K126/(D126*Vendas!$U$25),IF(A126=$X$30,K126/(D126*Vendas!$U$26),IF(A126=$X$31,K126/(D126*Vendas!$U$27),IF(A126=$X$32,K126/(D126*Vendas!$U$28),IF(A126=$X$33,K126/(D126*Vendas!$U$29),IF(A126=$X$34,K126/(D126*Vendas!$U$30),IF(A126=$X$35,K126/(D126*Vendas!$U$31),IF(A126=$X$36,K126/(D126*Vendas!$U$32),0))))))))</f>
        <v>0.17910215380496586</v>
      </c>
      <c r="Q126" s="170">
        <f>IF(A126=$X$29,K126/(D126*Vendas!$U$25),IF(A126=$X$30,K126/(D126*Vendas!$U$26),IF(A126=$X$31,K126/(D126*Vendas!$U$27),IF(A126=$X$32,K126/(D126*Vendas!$U$28),IF(A126=$X$33,K126/(D126*Vendas!$U$29),IF(A126=$X$34,K126/(D126*Vendas!$U$30),IF(A126=$X$35,K126/(D126*Vendas!$U$31),IF(A126=$X$36,K126/(D126*Vendas!$U$32),0))))))))</f>
        <v>0.17910215380496586</v>
      </c>
    </row>
    <row r="127" spans="1:17">
      <c r="A127" s="263" t="s">
        <v>38</v>
      </c>
      <c r="B127" s="337" t="s">
        <v>511</v>
      </c>
      <c r="C127" s="73">
        <v>8</v>
      </c>
      <c r="D127" s="315">
        <v>253</v>
      </c>
      <c r="E127" s="166">
        <v>3766</v>
      </c>
      <c r="F127" s="74" t="s">
        <v>1142</v>
      </c>
      <c r="G127" s="34" t="str">
        <f t="shared" si="8"/>
        <v>XV8ELTON JOHANATA GALDINI MATUO</v>
      </c>
      <c r="H127" s="40">
        <v>43864</v>
      </c>
      <c r="I127" s="35">
        <v>122200.2</v>
      </c>
      <c r="J127" s="35" t="s">
        <v>834</v>
      </c>
      <c r="K127" s="35">
        <v>110139.91</v>
      </c>
      <c r="L127" s="170">
        <f t="shared" si="9"/>
        <v>0.90130711733696023</v>
      </c>
      <c r="M127" s="154">
        <v>142752.38</v>
      </c>
      <c r="N127" s="170">
        <f t="shared" si="10"/>
        <v>0.77154517493858943</v>
      </c>
      <c r="O127" s="170">
        <f t="shared" si="11"/>
        <v>0.72705471550092415</v>
      </c>
      <c r="P127" s="170">
        <f>IF(A127=$X$29,K127/(D127*Vendas!$U$25),IF(A127=$X$30,K127/(D127*Vendas!$U$26),IF(A127=$X$31,K127/(D127*Vendas!$U$27),IF(A127=$X$32,K127/(D127*Vendas!$U$28),IF(A127=$X$33,K127/(D127*Vendas!$U$29),IF(A127=$X$34,K127/(D127*Vendas!$U$30),IF(A127=$X$35,K127/(D127*Vendas!$U$31),IF(A127=$X$36,K127/(D127*Vendas!$U$32),0))))))))</f>
        <v>0.7004648544508324</v>
      </c>
      <c r="Q127" s="170">
        <f>IF(A127=$X$29,K127/(D127*Vendas!$U$25),IF(A127=$X$30,K127/(D127*Vendas!$U$26),IF(A127=$X$31,K127/(D127*Vendas!$U$27),IF(A127=$X$32,K127/(D127*Vendas!$U$28),IF(A127=$X$33,K127/(D127*Vendas!$U$29),IF(A127=$X$34,K127/(D127*Vendas!$U$30),IF(A127=$X$35,K127/(D127*Vendas!$U$31),IF(A127=$X$36,K127/(D127*Vendas!$U$32),0))))))))</f>
        <v>0.7004648544508324</v>
      </c>
    </row>
    <row r="128" spans="1:17">
      <c r="A128" s="263" t="s">
        <v>38</v>
      </c>
      <c r="B128" s="337" t="s">
        <v>511</v>
      </c>
      <c r="C128" s="166">
        <v>10</v>
      </c>
      <c r="D128" s="197">
        <v>253</v>
      </c>
      <c r="E128" s="166">
        <v>2764</v>
      </c>
      <c r="F128" s="338" t="s">
        <v>188</v>
      </c>
      <c r="G128" s="34" t="str">
        <f t="shared" si="8"/>
        <v>XV10EMPORIUM DA PIZZA DELIVERY LTDA ME</v>
      </c>
      <c r="H128" s="40">
        <v>41492</v>
      </c>
      <c r="I128" s="35">
        <v>73724.2</v>
      </c>
      <c r="J128" s="35" t="s">
        <v>834</v>
      </c>
      <c r="K128" s="35">
        <v>74291.8</v>
      </c>
      <c r="L128" s="170">
        <f t="shared" si="9"/>
        <v>1.0076989645191132</v>
      </c>
      <c r="M128" s="154">
        <v>143086.14000000001</v>
      </c>
      <c r="N128" s="170">
        <f t="shared" si="10"/>
        <v>0.51921031624726188</v>
      </c>
      <c r="O128" s="170">
        <f t="shared" si="11"/>
        <v>0.49041445115627524</v>
      </c>
      <c r="P128" s="170">
        <f>IF(A128=$X$29,K128/(D128*Vendas!$U$25),IF(A128=$X$30,K128/(D128*Vendas!$U$26),IF(A128=$X$31,K128/(D128*Vendas!$U$27),IF(A128=$X$32,K128/(D128*Vendas!$U$28),IF(A128=$X$33,K128/(D128*Vendas!$U$29),IF(A128=$X$34,K128/(D128*Vendas!$U$30),IF(A128=$X$35,K128/(D128*Vendas!$U$31),IF(A128=$X$36,K128/(D128*Vendas!$U$32),0))))))))</f>
        <v>0.47247900305974783</v>
      </c>
      <c r="Q128" s="170">
        <f>IF(A128=$X$29,K128/(D128*Vendas!$U$25),IF(A128=$X$30,K128/(D128*Vendas!$U$26),IF(A128=$X$31,K128/(D128*Vendas!$U$27),IF(A128=$X$32,K128/(D128*Vendas!$U$28),IF(A128=$X$33,K128/(D128*Vendas!$U$29),IF(A128=$X$34,K128/(D128*Vendas!$U$30),IF(A128=$X$35,K128/(D128*Vendas!$U$31),IF(A128=$X$36,K128/(D128*Vendas!$U$32),0))))))))</f>
        <v>0.47247900305974783</v>
      </c>
    </row>
    <row r="129" spans="1:17">
      <c r="A129" s="263" t="s">
        <v>38</v>
      </c>
      <c r="B129" s="337" t="s">
        <v>511</v>
      </c>
      <c r="C129" s="73">
        <v>11</v>
      </c>
      <c r="D129" s="315">
        <v>253</v>
      </c>
      <c r="E129" s="166">
        <v>2815</v>
      </c>
      <c r="F129" s="74" t="s">
        <v>272</v>
      </c>
      <c r="G129" s="34" t="str">
        <f t="shared" si="8"/>
        <v>XV11JOSE CARLOS PEREIRA FARIA</v>
      </c>
      <c r="H129" s="40">
        <v>41556</v>
      </c>
      <c r="I129" s="35">
        <v>77529.320000000007</v>
      </c>
      <c r="J129" s="35" t="s">
        <v>1250</v>
      </c>
      <c r="K129" s="35">
        <v>99837.39</v>
      </c>
      <c r="L129" s="170">
        <f t="shared" si="9"/>
        <v>1.2877372070334163</v>
      </c>
      <c r="M129" s="154">
        <v>137826.72</v>
      </c>
      <c r="N129" s="170">
        <f t="shared" si="10"/>
        <v>0.72436890321412273</v>
      </c>
      <c r="O129" s="170">
        <f t="shared" si="11"/>
        <v>0.6590458007710811</v>
      </c>
      <c r="P129" s="170">
        <f>IF(A129=$X$29,K129/(D129*Vendas!$U$25),IF(A129=$X$30,K129/(D129*Vendas!$U$26),IF(A129=$X$31,K129/(D129*Vendas!$U$27),IF(A129=$X$32,K129/(D129*Vendas!$U$28),IF(A129=$X$33,K129/(D129*Vendas!$U$29),IF(A129=$X$34,K129/(D129*Vendas!$U$30),IF(A129=$X$35,K129/(D129*Vendas!$U$31),IF(A129=$X$36,K129/(D129*Vendas!$U$32),0))))))))</f>
        <v>0.63494316324664679</v>
      </c>
      <c r="Q129" s="170">
        <f>IF(A129=$X$29,K129/(D129*Vendas!$U$25),IF(A129=$X$30,K129/(D129*Vendas!$U$26),IF(A129=$X$31,K129/(D129*Vendas!$U$27),IF(A129=$X$32,K129/(D129*Vendas!$U$28),IF(A129=$X$33,K129/(D129*Vendas!$U$29),IF(A129=$X$34,K129/(D129*Vendas!$U$30),IF(A129=$X$35,K129/(D129*Vendas!$U$31),IF(A129=$X$36,K129/(D129*Vendas!$U$32),0))))))))</f>
        <v>0.63494316324664679</v>
      </c>
    </row>
    <row r="130" spans="1:17">
      <c r="A130" s="263" t="s">
        <v>38</v>
      </c>
      <c r="B130" s="337" t="s">
        <v>511</v>
      </c>
      <c r="C130" s="166">
        <v>12</v>
      </c>
      <c r="D130" s="197">
        <v>253</v>
      </c>
      <c r="E130" s="166">
        <v>2452</v>
      </c>
      <c r="F130" s="338" t="s">
        <v>274</v>
      </c>
      <c r="G130" s="34" t="str">
        <f t="shared" si="8"/>
        <v>XV12JOSE LEONARDO SULINO</v>
      </c>
      <c r="H130" s="40">
        <v>41453</v>
      </c>
      <c r="I130" s="35">
        <v>73724.2</v>
      </c>
      <c r="J130" s="35" t="s">
        <v>834</v>
      </c>
      <c r="K130" s="35">
        <v>70978.39</v>
      </c>
      <c r="L130" s="170">
        <f t="shared" si="9"/>
        <v>0.96275564875576813</v>
      </c>
      <c r="M130" s="154">
        <v>140786.06</v>
      </c>
      <c r="N130" s="170">
        <f t="shared" si="10"/>
        <v>0.50415779800926319</v>
      </c>
      <c r="O130" s="170">
        <f t="shared" si="11"/>
        <v>0.46854199488780801</v>
      </c>
      <c r="P130" s="170">
        <f>IF(A130=$X$29,K130/(D130*Vendas!$U$25),IF(A130=$X$30,K130/(D130*Vendas!$U$26),IF(A130=$X$31,K130/(D130*Vendas!$U$27),IF(A130=$X$32,K130/(D130*Vendas!$U$28),IF(A130=$X$33,K130/(D130*Vendas!$U$29),IF(A130=$X$34,K130/(D130*Vendas!$U$30),IF(A130=$X$35,K130/(D130*Vendas!$U$31),IF(A130=$X$36,K130/(D130*Vendas!$U$32),0))))))))</f>
        <v>0.45140646674311263</v>
      </c>
      <c r="Q130" s="170">
        <f>IF(A130=$X$29,K130/(D130*Vendas!$U$25),IF(A130=$X$30,K130/(D130*Vendas!$U$26),IF(A130=$X$31,K130/(D130*Vendas!$U$27),IF(A130=$X$32,K130/(D130*Vendas!$U$28),IF(A130=$X$33,K130/(D130*Vendas!$U$29),IF(A130=$X$34,K130/(D130*Vendas!$U$30),IF(A130=$X$35,K130/(D130*Vendas!$U$31),IF(A130=$X$36,K130/(D130*Vendas!$U$32),0))))))))</f>
        <v>0.45140646674311263</v>
      </c>
    </row>
    <row r="131" spans="1:17">
      <c r="A131" s="263" t="s">
        <v>38</v>
      </c>
      <c r="B131" s="337" t="s">
        <v>511</v>
      </c>
      <c r="C131" s="73">
        <v>15</v>
      </c>
      <c r="D131" s="315">
        <v>253</v>
      </c>
      <c r="E131" s="166">
        <v>2541</v>
      </c>
      <c r="F131" s="74" t="s">
        <v>254</v>
      </c>
      <c r="G131" s="34" t="str">
        <f t="shared" si="8"/>
        <v>XV15JANIO VIEIRA ALVAREZ</v>
      </c>
      <c r="H131" s="40">
        <v>41457</v>
      </c>
      <c r="I131" s="35">
        <v>73724.2</v>
      </c>
      <c r="J131" s="35" t="s">
        <v>834</v>
      </c>
      <c r="K131" s="35">
        <v>75888.160000000003</v>
      </c>
      <c r="L131" s="170">
        <f t="shared" si="9"/>
        <v>1.0293520987681115</v>
      </c>
      <c r="M131" s="154">
        <v>143097.80000000002</v>
      </c>
      <c r="N131" s="170">
        <f t="shared" si="10"/>
        <v>0.5303237366332676</v>
      </c>
      <c r="O131" s="170">
        <f t="shared" si="11"/>
        <v>0.50095233034681619</v>
      </c>
      <c r="P131" s="170">
        <f>IF(A131=$X$29,K131/(D131*Vendas!$U$25),IF(A131=$X$30,K131/(D131*Vendas!$U$26),IF(A131=$X$31,K131/(D131*Vendas!$U$27),IF(A131=$X$32,K131/(D131*Vendas!$U$28),IF(A131=$X$33,K131/(D131*Vendas!$U$29),IF(A131=$X$34,K131/(D131*Vendas!$U$30),IF(A131=$X$35,K131/(D131*Vendas!$U$31),IF(A131=$X$36,K131/(D131*Vendas!$U$32),0))))))))</f>
        <v>0.48263149070070499</v>
      </c>
      <c r="Q131" s="170">
        <f>IF(A131=$X$29,K131/(D131*Vendas!$U$25),IF(A131=$X$30,K131/(D131*Vendas!$U$26),IF(A131=$X$31,K131/(D131*Vendas!$U$27),IF(A131=$X$32,K131/(D131*Vendas!$U$28),IF(A131=$X$33,K131/(D131*Vendas!$U$29),IF(A131=$X$34,K131/(D131*Vendas!$U$30),IF(A131=$X$35,K131/(D131*Vendas!$U$31),IF(A131=$X$36,K131/(D131*Vendas!$U$32),0))))))))</f>
        <v>0.48263149070070499</v>
      </c>
    </row>
    <row r="132" spans="1:17">
      <c r="A132" s="263" t="s">
        <v>38</v>
      </c>
      <c r="B132" s="337" t="s">
        <v>511</v>
      </c>
      <c r="C132" s="166">
        <v>18</v>
      </c>
      <c r="D132" s="197">
        <v>250.48</v>
      </c>
      <c r="E132" s="166">
        <v>2468</v>
      </c>
      <c r="F132" s="338" t="s">
        <v>455</v>
      </c>
      <c r="G132" s="34" t="str">
        <f t="shared" si="8"/>
        <v>XV18THIAGO MERCADANTE DREWS</v>
      </c>
      <c r="H132" s="40">
        <v>41445</v>
      </c>
      <c r="I132" s="35">
        <v>72989.87</v>
      </c>
      <c r="J132" s="35" t="s">
        <v>834</v>
      </c>
      <c r="K132" s="35">
        <v>64972.87</v>
      </c>
      <c r="L132" s="170">
        <f t="shared" si="9"/>
        <v>0.89016284040511384</v>
      </c>
      <c r="M132" s="154">
        <v>138799.5</v>
      </c>
      <c r="N132" s="170">
        <f t="shared" si="10"/>
        <v>0.46810593698104103</v>
      </c>
      <c r="O132" s="170">
        <f t="shared" si="11"/>
        <v>0.43321341415033904</v>
      </c>
      <c r="P132" s="170">
        <f>IF(A132=$X$29,K132/(D132*Vendas!$U$25),IF(A132=$X$30,K132/(D132*Vendas!$U$26),IF(A132=$X$31,K132/(D132*Vendas!$U$27),IF(A132=$X$32,K132/(D132*Vendas!$U$28),IF(A132=$X$33,K132/(D132*Vendas!$U$29),IF(A132=$X$34,K132/(D132*Vendas!$U$30),IF(A132=$X$35,K132/(D132*Vendas!$U$31),IF(A132=$X$36,K132/(D132*Vendas!$U$32),0))))))))</f>
        <v>0.41736992363758313</v>
      </c>
      <c r="Q132" s="170">
        <f>IF(A132=$X$29,K132/(D132*Vendas!$U$25),IF(A132=$X$30,K132/(D132*Vendas!$U$26),IF(A132=$X$31,K132/(D132*Vendas!$U$27),IF(A132=$X$32,K132/(D132*Vendas!$U$28),IF(A132=$X$33,K132/(D132*Vendas!$U$29),IF(A132=$X$34,K132/(D132*Vendas!$U$30),IF(A132=$X$35,K132/(D132*Vendas!$U$31),IF(A132=$X$36,K132/(D132*Vendas!$U$32),0))))))))</f>
        <v>0.41736992363758313</v>
      </c>
    </row>
    <row r="133" spans="1:17">
      <c r="A133" s="263" t="s">
        <v>38</v>
      </c>
      <c r="B133" s="337" t="s">
        <v>511</v>
      </c>
      <c r="C133" s="73">
        <v>20</v>
      </c>
      <c r="D133" s="315">
        <v>264.79000000000002</v>
      </c>
      <c r="E133" s="166">
        <v>3521</v>
      </c>
      <c r="F133" s="74" t="s">
        <v>220</v>
      </c>
      <c r="G133" s="34" t="str">
        <f t="shared" ref="G133:G196" si="12">CONCATENATE(B133,C133,F133)</f>
        <v>XV20GABRIELA FERNANDA GRILO SILVA</v>
      </c>
      <c r="H133" s="40">
        <v>41652</v>
      </c>
      <c r="I133" s="35">
        <v>81142.25</v>
      </c>
      <c r="J133" s="35" t="s">
        <v>1249</v>
      </c>
      <c r="K133" s="35">
        <v>74676.790000000008</v>
      </c>
      <c r="L133" s="170">
        <f t="shared" ref="L133:L196" si="13">K133/I133</f>
        <v>0.92031943900988711</v>
      </c>
      <c r="M133" s="154">
        <v>144901.89000000001</v>
      </c>
      <c r="N133" s="170">
        <f t="shared" ref="N133:N196" si="14">K133/M133</f>
        <v>0.51536104877583033</v>
      </c>
      <c r="O133" s="170">
        <f t="shared" ref="O133:O196" si="15">K133/(D133*$U$10)</f>
        <v>0.47100656583851963</v>
      </c>
      <c r="P133" s="170">
        <f>IF(A133=$X$29,K133/(D133*Vendas!$U$25),IF(A133=$X$30,K133/(D133*Vendas!$U$26),IF(A133=$X$31,K133/(D133*Vendas!$U$27),IF(A133=$X$32,K133/(D133*Vendas!$U$28),IF(A133=$X$33,K133/(D133*Vendas!$U$29),IF(A133=$X$34,K133/(D133*Vendas!$U$30),IF(A133=$X$35,K133/(D133*Vendas!$U$31),IF(A133=$X$36,K133/(D133*Vendas!$U$32),0))))))))</f>
        <v>0.45378090335079563</v>
      </c>
      <c r="Q133" s="170">
        <f>IF(A133=$X$29,K133/(D133*Vendas!$U$25),IF(A133=$X$30,K133/(D133*Vendas!$U$26),IF(A133=$X$31,K133/(D133*Vendas!$U$27),IF(A133=$X$32,K133/(D133*Vendas!$U$28),IF(A133=$X$33,K133/(D133*Vendas!$U$29),IF(A133=$X$34,K133/(D133*Vendas!$U$30),IF(A133=$X$35,K133/(D133*Vendas!$U$31),IF(A133=$X$36,K133/(D133*Vendas!$U$32),0))))))))</f>
        <v>0.45378090335079563</v>
      </c>
    </row>
    <row r="134" spans="1:17">
      <c r="A134" s="263" t="s">
        <v>38</v>
      </c>
      <c r="B134" s="337" t="s">
        <v>511</v>
      </c>
      <c r="C134" s="166">
        <v>21</v>
      </c>
      <c r="D134" s="197">
        <v>271.89</v>
      </c>
      <c r="E134" s="166">
        <v>2738</v>
      </c>
      <c r="F134" s="338" t="s">
        <v>161</v>
      </c>
      <c r="G134" s="34" t="str">
        <f t="shared" si="12"/>
        <v>XV21EDMILSON TEIXEIRA DE VASCONCELOS</v>
      </c>
      <c r="H134" s="40">
        <v>41464</v>
      </c>
      <c r="I134" s="35">
        <v>76672.98</v>
      </c>
      <c r="J134" s="35" t="s">
        <v>1250</v>
      </c>
      <c r="K134" s="35">
        <v>97844.72</v>
      </c>
      <c r="L134" s="170">
        <f t="shared" si="13"/>
        <v>1.2761303916973099</v>
      </c>
      <c r="M134" s="154">
        <v>153738.97</v>
      </c>
      <c r="N134" s="170">
        <f t="shared" si="14"/>
        <v>0.63643408044167327</v>
      </c>
      <c r="O134" s="170">
        <f t="shared" si="15"/>
        <v>0.60101741948435528</v>
      </c>
      <c r="P134" s="170">
        <f>IF(A134=$X$29,K134/(D134*Vendas!$U$25),IF(A134=$X$30,K134/(D134*Vendas!$U$26),IF(A134=$X$31,K134/(D134*Vendas!$U$27),IF(A134=$X$32,K134/(D134*Vendas!$U$28),IF(A134=$X$33,K134/(D134*Vendas!$U$29),IF(A134=$X$34,K134/(D134*Vendas!$U$30),IF(A134=$X$35,K134/(D134*Vendas!$U$31),IF(A134=$X$36,K134/(D134*Vendas!$U$32),0))))))))</f>
        <v>0.57903699719693069</v>
      </c>
      <c r="Q134" s="170">
        <f>IF(A134=$X$29,K134/(D134*Vendas!$U$25),IF(A134=$X$30,K134/(D134*Vendas!$U$26),IF(A134=$X$31,K134/(D134*Vendas!$U$27),IF(A134=$X$32,K134/(D134*Vendas!$U$28),IF(A134=$X$33,K134/(D134*Vendas!$U$29),IF(A134=$X$34,K134/(D134*Vendas!$U$30),IF(A134=$X$35,K134/(D134*Vendas!$U$31),IF(A134=$X$36,K134/(D134*Vendas!$U$32),0))))))))</f>
        <v>0.57903699719693069</v>
      </c>
    </row>
    <row r="135" spans="1:17">
      <c r="A135" s="263" t="s">
        <v>38</v>
      </c>
      <c r="B135" s="337" t="s">
        <v>511</v>
      </c>
      <c r="C135" s="73">
        <v>22</v>
      </c>
      <c r="D135" s="315">
        <v>268.33999999999997</v>
      </c>
      <c r="E135" s="166">
        <v>2739</v>
      </c>
      <c r="F135" s="74" t="s">
        <v>161</v>
      </c>
      <c r="G135" s="34" t="str">
        <f t="shared" si="12"/>
        <v>XV22EDMILSON TEIXEIRA DE VASCONCELOS</v>
      </c>
      <c r="H135" s="40">
        <v>41464</v>
      </c>
      <c r="I135" s="35">
        <v>75671.88</v>
      </c>
      <c r="J135" s="35" t="s">
        <v>1250</v>
      </c>
      <c r="K135" s="35">
        <v>96565.42</v>
      </c>
      <c r="L135" s="170">
        <f t="shared" si="13"/>
        <v>1.2761070558839029</v>
      </c>
      <c r="M135" s="154">
        <v>149699.6</v>
      </c>
      <c r="N135" s="170">
        <f t="shared" si="14"/>
        <v>0.6450613094490566</v>
      </c>
      <c r="O135" s="170">
        <f t="shared" si="15"/>
        <v>0.60100642904760482</v>
      </c>
      <c r="P135" s="170">
        <f>IF(A135=$X$29,K135/(D135*Vendas!$U$25),IF(A135=$X$30,K135/(D135*Vendas!$U$26),IF(A135=$X$31,K135/(D135*Vendas!$U$27),IF(A135=$X$32,K135/(D135*Vendas!$U$28),IF(A135=$X$33,K135/(D135*Vendas!$U$29),IF(A135=$X$34,K135/(D135*Vendas!$U$30),IF(A135=$X$35,K135/(D135*Vendas!$U$31),IF(A135=$X$36,K135/(D135*Vendas!$U$32),0))))))))</f>
        <v>0.57902640870267474</v>
      </c>
      <c r="Q135" s="170">
        <f>IF(A135=$X$29,K135/(D135*Vendas!$U$25),IF(A135=$X$30,K135/(D135*Vendas!$U$26),IF(A135=$X$31,K135/(D135*Vendas!$U$27),IF(A135=$X$32,K135/(D135*Vendas!$U$28),IF(A135=$X$33,K135/(D135*Vendas!$U$29),IF(A135=$X$34,K135/(D135*Vendas!$U$30),IF(A135=$X$35,K135/(D135*Vendas!$U$31),IF(A135=$X$36,K135/(D135*Vendas!$U$32),0))))))))</f>
        <v>0.57902640870267474</v>
      </c>
    </row>
    <row r="136" spans="1:17">
      <c r="A136" s="263" t="s">
        <v>38</v>
      </c>
      <c r="B136" s="337" t="s">
        <v>511</v>
      </c>
      <c r="C136" s="166">
        <v>23</v>
      </c>
      <c r="D136" s="197">
        <v>268.33999999999997</v>
      </c>
      <c r="E136" s="166">
        <v>2433</v>
      </c>
      <c r="F136" s="338" t="s">
        <v>177</v>
      </c>
      <c r="G136" s="34" t="str">
        <f t="shared" si="12"/>
        <v>XV23ELIANARA CARVALHO DA SILVA</v>
      </c>
      <c r="H136" s="40">
        <v>41447</v>
      </c>
      <c r="I136" s="35">
        <v>75671.88</v>
      </c>
      <c r="J136" s="35" t="s">
        <v>834</v>
      </c>
      <c r="K136" s="35">
        <v>68467.399999999994</v>
      </c>
      <c r="L136" s="170">
        <f t="shared" si="13"/>
        <v>0.90479316755444683</v>
      </c>
      <c r="M136" s="154">
        <v>143521.13</v>
      </c>
      <c r="N136" s="170">
        <f t="shared" si="14"/>
        <v>0.4770544936484265</v>
      </c>
      <c r="O136" s="170">
        <f t="shared" si="15"/>
        <v>0.42612922493553052</v>
      </c>
      <c r="P136" s="170">
        <f>IF(A136=$X$29,K136/(D136*Vendas!$U$25),IF(A136=$X$30,K136/(D136*Vendas!$U$26),IF(A136=$X$31,K136/(D136*Vendas!$U$27),IF(A136=$X$32,K136/(D136*Vendas!$U$28),IF(A136=$X$33,K136/(D136*Vendas!$U$29),IF(A136=$X$34,K136/(D136*Vendas!$U$30),IF(A136=$X$35,K136/(D136*Vendas!$U$31),IF(A136=$X$36,K136/(D136*Vendas!$U$32),0))))))))</f>
        <v>0.41054481754658667</v>
      </c>
      <c r="Q136" s="170">
        <f>IF(A136=$X$29,K136/(D136*Vendas!$U$25),IF(A136=$X$30,K136/(D136*Vendas!$U$26),IF(A136=$X$31,K136/(D136*Vendas!$U$27),IF(A136=$X$32,K136/(D136*Vendas!$U$28),IF(A136=$X$33,K136/(D136*Vendas!$U$29),IF(A136=$X$34,K136/(D136*Vendas!$U$30),IF(A136=$X$35,K136/(D136*Vendas!$U$31),IF(A136=$X$36,K136/(D136*Vendas!$U$32),0))))))))</f>
        <v>0.41054481754658667</v>
      </c>
    </row>
    <row r="137" spans="1:17">
      <c r="A137" s="263" t="s">
        <v>38</v>
      </c>
      <c r="B137" s="337" t="s">
        <v>511</v>
      </c>
      <c r="C137" s="73">
        <v>24</v>
      </c>
      <c r="D137" s="315">
        <v>268.33999999999997</v>
      </c>
      <c r="E137" s="166">
        <v>2353</v>
      </c>
      <c r="F137" s="74" t="s">
        <v>80</v>
      </c>
      <c r="G137" s="34" t="str">
        <f t="shared" si="12"/>
        <v>XV24ANTONIO LUIZ SOKOLOSKI</v>
      </c>
      <c r="H137" s="40">
        <v>41443</v>
      </c>
      <c r="I137" s="35">
        <v>75671.88</v>
      </c>
      <c r="J137" s="35" t="s">
        <v>834</v>
      </c>
      <c r="K137" s="35">
        <v>37479.450000000004</v>
      </c>
      <c r="L137" s="170">
        <f t="shared" si="13"/>
        <v>0.49528900299556455</v>
      </c>
      <c r="M137" s="154">
        <v>165891.1</v>
      </c>
      <c r="N137" s="170">
        <f t="shared" si="14"/>
        <v>0.22592803351114077</v>
      </c>
      <c r="O137" s="170">
        <f t="shared" si="15"/>
        <v>0.23326559763493243</v>
      </c>
      <c r="P137" s="170">
        <f>IF(A137=$X$29,K137/(D137*Vendas!$U$25),IF(A137=$X$30,K137/(D137*Vendas!$U$26),IF(A137=$X$31,K137/(D137*Vendas!$U$27),IF(A137=$X$32,K137/(D137*Vendas!$U$28),IF(A137=$X$33,K137/(D137*Vendas!$U$29),IF(A137=$X$34,K137/(D137*Vendas!$U$30),IF(A137=$X$35,K137/(D137*Vendas!$U$31),IF(A137=$X$36,K137/(D137*Vendas!$U$32),0))))))))</f>
        <v>0.22473460306651663</v>
      </c>
      <c r="Q137" s="170">
        <f>IF(A137=$X$29,K137/(D137*Vendas!$U$25),IF(A137=$X$30,K137/(D137*Vendas!$U$26),IF(A137=$X$31,K137/(D137*Vendas!$U$27),IF(A137=$X$32,K137/(D137*Vendas!$U$28),IF(A137=$X$33,K137/(D137*Vendas!$U$29),IF(A137=$X$34,K137/(D137*Vendas!$U$30),IF(A137=$X$35,K137/(D137*Vendas!$U$31),IF(A137=$X$36,K137/(D137*Vendas!$U$32),0))))))))</f>
        <v>0.22473460306651663</v>
      </c>
    </row>
    <row r="138" spans="1:17">
      <c r="A138" s="263" t="s">
        <v>38</v>
      </c>
      <c r="B138" s="337" t="s">
        <v>511</v>
      </c>
      <c r="C138" s="166">
        <v>26</v>
      </c>
      <c r="D138" s="197">
        <v>268.33999999999997</v>
      </c>
      <c r="E138" s="166">
        <v>3406</v>
      </c>
      <c r="F138" s="338" t="s">
        <v>83</v>
      </c>
      <c r="G138" s="34" t="str">
        <f t="shared" si="12"/>
        <v>XV26APARECIDA CASTORINA DA SILVA</v>
      </c>
      <c r="H138" s="40">
        <v>41624</v>
      </c>
      <c r="I138" s="35">
        <v>79385.820000000007</v>
      </c>
      <c r="J138" s="35" t="s">
        <v>1250</v>
      </c>
      <c r="K138" s="35">
        <v>86135.66</v>
      </c>
      <c r="L138" s="170">
        <f t="shared" si="13"/>
        <v>1.08502576404703</v>
      </c>
      <c r="M138" s="154">
        <v>187981.15</v>
      </c>
      <c r="N138" s="170">
        <f t="shared" si="14"/>
        <v>0.4582143475555927</v>
      </c>
      <c r="O138" s="170">
        <f t="shared" si="15"/>
        <v>0.53609341139155842</v>
      </c>
      <c r="P138" s="170">
        <f>IF(A138=$X$29,K138/(D138*Vendas!$U$25),IF(A138=$X$30,K138/(D138*Vendas!$U$26),IF(A138=$X$31,K138/(D138*Vendas!$U$27),IF(A138=$X$32,K138/(D138*Vendas!$U$28),IF(A138=$X$33,K138/(D138*Vendas!$U$29),IF(A138=$X$34,K138/(D138*Vendas!$U$30),IF(A138=$X$35,K138/(D138*Vendas!$U$31),IF(A138=$X$36,K138/(D138*Vendas!$U$32),0))))))))</f>
        <v>0.51648739135639488</v>
      </c>
      <c r="Q138" s="170">
        <f>IF(A138=$X$29,K138/(D138*Vendas!$U$25),IF(A138=$X$30,K138/(D138*Vendas!$U$26),IF(A138=$X$31,K138/(D138*Vendas!$U$27),IF(A138=$X$32,K138/(D138*Vendas!$U$28),IF(A138=$X$33,K138/(D138*Vendas!$U$29),IF(A138=$X$34,K138/(D138*Vendas!$U$30),IF(A138=$X$35,K138/(D138*Vendas!$U$31),IF(A138=$X$36,K138/(D138*Vendas!$U$32),0))))))))</f>
        <v>0.51648739135639488</v>
      </c>
    </row>
    <row r="139" spans="1:17">
      <c r="A139" s="263" t="s">
        <v>38</v>
      </c>
      <c r="B139" s="337" t="s">
        <v>512</v>
      </c>
      <c r="C139" s="73">
        <v>1</v>
      </c>
      <c r="D139" s="315">
        <v>265.02</v>
      </c>
      <c r="E139" s="166">
        <v>5288</v>
      </c>
      <c r="F139" s="74" t="s">
        <v>323</v>
      </c>
      <c r="G139" s="34" t="str">
        <f t="shared" si="12"/>
        <v>XVIII1LUZIA DO CARMO ALVES</v>
      </c>
      <c r="H139" s="40">
        <v>42628</v>
      </c>
      <c r="I139" s="35">
        <v>128501.96</v>
      </c>
      <c r="J139" s="35" t="s">
        <v>834</v>
      </c>
      <c r="K139" s="35">
        <v>126458.68000000001</v>
      </c>
      <c r="L139" s="170">
        <f t="shared" si="13"/>
        <v>0.98409923085998063</v>
      </c>
      <c r="M139" s="154">
        <v>198679.05000000002</v>
      </c>
      <c r="N139" s="170">
        <f t="shared" si="14"/>
        <v>0.63649730557902306</v>
      </c>
      <c r="O139" s="170">
        <f t="shared" si="15"/>
        <v>0.79691663787296529</v>
      </c>
      <c r="P139" s="170">
        <f>IF(A139=$X$29,K139/(D139*Vendas!$U$25),IF(A139=$X$30,K139/(D139*Vendas!$U$26),IF(A139=$X$31,K139/(D139*Vendas!$U$27),IF(A139=$X$32,K139/(D139*Vendas!$U$28),IF(A139=$X$33,K139/(D139*Vendas!$U$29),IF(A139=$X$34,K139/(D139*Vendas!$U$30),IF(A139=$X$35,K139/(D139*Vendas!$U$31),IF(A139=$X$36,K139/(D139*Vendas!$U$32),0))))))))</f>
        <v>0.76777178506096055</v>
      </c>
      <c r="Q139" s="170">
        <f>IF(A139=$X$29,K139/(D139*Vendas!$U$25),IF(A139=$X$30,K139/(D139*Vendas!$U$26),IF(A139=$X$31,K139/(D139*Vendas!$U$27),IF(A139=$X$32,K139/(D139*Vendas!$U$28),IF(A139=$X$33,K139/(D139*Vendas!$U$29),IF(A139=$X$34,K139/(D139*Vendas!$U$30),IF(A139=$X$35,K139/(D139*Vendas!$U$31),IF(A139=$X$36,K139/(D139*Vendas!$U$32),0))))))))</f>
        <v>0.76777178506096055</v>
      </c>
    </row>
    <row r="140" spans="1:17">
      <c r="A140" s="263" t="s">
        <v>38</v>
      </c>
      <c r="B140" s="337" t="s">
        <v>512</v>
      </c>
      <c r="C140" s="166">
        <v>3</v>
      </c>
      <c r="D140" s="197">
        <v>265.02</v>
      </c>
      <c r="E140" s="166">
        <v>2388</v>
      </c>
      <c r="F140" s="338" t="s">
        <v>444</v>
      </c>
      <c r="G140" s="34" t="str">
        <f t="shared" si="12"/>
        <v>XVIII3SILVANO MARCOS DE SOUZA</v>
      </c>
      <c r="H140" s="40">
        <v>41446</v>
      </c>
      <c r="I140" s="35">
        <v>84700.39</v>
      </c>
      <c r="J140" s="35" t="s">
        <v>1250</v>
      </c>
      <c r="K140" s="35">
        <v>57078.340000000004</v>
      </c>
      <c r="L140" s="170">
        <f t="shared" si="13"/>
        <v>0.67388520879301739</v>
      </c>
      <c r="M140" s="154">
        <v>102156.86</v>
      </c>
      <c r="N140" s="170">
        <f t="shared" si="14"/>
        <v>0.55873232595441957</v>
      </c>
      <c r="O140" s="170">
        <f t="shared" si="15"/>
        <v>0.35969597981071755</v>
      </c>
      <c r="P140" s="170">
        <f>IF(A140=$X$29,K140/(D140*Vendas!$U$25),IF(A140=$X$30,K140/(D140*Vendas!$U$26),IF(A140=$X$31,K140/(D140*Vendas!$U$27),IF(A140=$X$32,K140/(D140*Vendas!$U$28),IF(A140=$X$33,K140/(D140*Vendas!$U$29),IF(A140=$X$34,K140/(D140*Vendas!$U$30),IF(A140=$X$35,K140/(D140*Vendas!$U$31),IF(A140=$X$36,K140/(D140*Vendas!$U$32),0))))))))</f>
        <v>0.34654117052397215</v>
      </c>
      <c r="Q140" s="170">
        <f>IF(A140=$X$29,K140/(D140*Vendas!$U$25),IF(A140=$X$30,K140/(D140*Vendas!$U$26),IF(A140=$X$31,K140/(D140*Vendas!$U$27),IF(A140=$X$32,K140/(D140*Vendas!$U$28),IF(A140=$X$33,K140/(D140*Vendas!$U$29),IF(A140=$X$34,K140/(D140*Vendas!$U$30),IF(A140=$X$35,K140/(D140*Vendas!$U$31),IF(A140=$X$36,K140/(D140*Vendas!$U$32),0))))))))</f>
        <v>0.34654117052397215</v>
      </c>
    </row>
    <row r="141" spans="1:17">
      <c r="A141" s="263" t="s">
        <v>38</v>
      </c>
      <c r="B141" s="337" t="s">
        <v>512</v>
      </c>
      <c r="C141" s="73">
        <v>5</v>
      </c>
      <c r="D141" s="315">
        <v>265.02</v>
      </c>
      <c r="E141" s="166">
        <v>3919</v>
      </c>
      <c r="F141" s="74" t="s">
        <v>1175</v>
      </c>
      <c r="G141" s="34" t="str">
        <f t="shared" si="12"/>
        <v>XVIII5WASHINGTON SOARES DE OLIVEIRA</v>
      </c>
      <c r="H141" s="40">
        <v>43985</v>
      </c>
      <c r="I141" s="35">
        <v>93060.2</v>
      </c>
      <c r="J141" s="35" t="s">
        <v>834</v>
      </c>
      <c r="K141" s="35">
        <v>81866.87</v>
      </c>
      <c r="L141" s="170">
        <f t="shared" si="13"/>
        <v>0.87971947191173028</v>
      </c>
      <c r="M141" s="154">
        <v>104546.25</v>
      </c>
      <c r="N141" s="170">
        <f t="shared" si="14"/>
        <v>0.78306845056613694</v>
      </c>
      <c r="O141" s="170">
        <f t="shared" si="15"/>
        <v>0.51590820648755087</v>
      </c>
      <c r="P141" s="170">
        <f>IF(A141=$X$29,K141/(D141*Vendas!$U$25),IF(A141=$X$30,K141/(D141*Vendas!$U$26),IF(A141=$X$31,K141/(D141*Vendas!$U$27),IF(A141=$X$32,K141/(D141*Vendas!$U$28),IF(A141=$X$33,K141/(D141*Vendas!$U$29),IF(A141=$X$34,K141/(D141*Vendas!$U$30),IF(A141=$X$35,K141/(D141*Vendas!$U$31),IF(A141=$X$36,K141/(D141*Vendas!$U$32),0))))))))</f>
        <v>0.49704040021019985</v>
      </c>
      <c r="Q141" s="170">
        <f>IF(A141=$X$29,K141/(D141*Vendas!$U$25),IF(A141=$X$30,K141/(D141*Vendas!$U$26),IF(A141=$X$31,K141/(D141*Vendas!$U$27),IF(A141=$X$32,K141/(D141*Vendas!$U$28),IF(A141=$X$33,K141/(D141*Vendas!$U$29),IF(A141=$X$34,K141/(D141*Vendas!$U$30),IF(A141=$X$35,K141/(D141*Vendas!$U$31),IF(A141=$X$36,K141/(D141*Vendas!$U$32),0))))))))</f>
        <v>0.49704040021019985</v>
      </c>
    </row>
    <row r="142" spans="1:17">
      <c r="A142" s="263" t="s">
        <v>38</v>
      </c>
      <c r="B142" s="337" t="s">
        <v>512</v>
      </c>
      <c r="C142" s="166">
        <v>7</v>
      </c>
      <c r="D142" s="197">
        <v>257.86</v>
      </c>
      <c r="E142" s="166"/>
      <c r="F142" s="338" t="s">
        <v>1128</v>
      </c>
      <c r="G142" s="34" t="str">
        <f t="shared" si="12"/>
        <v>XVIII7IZAEL DE PAULA GUIMARAES</v>
      </c>
      <c r="H142" s="40">
        <v>43418</v>
      </c>
      <c r="I142" s="35">
        <v>79900</v>
      </c>
      <c r="J142" s="35" t="s">
        <v>834</v>
      </c>
      <c r="K142" s="35">
        <v>80071.95</v>
      </c>
      <c r="L142" s="170">
        <f t="shared" si="13"/>
        <v>1.0021520650813516</v>
      </c>
      <c r="M142" s="154">
        <v>108988.1</v>
      </c>
      <c r="N142" s="170">
        <f t="shared" si="14"/>
        <v>0.73468525462871626</v>
      </c>
      <c r="O142" s="170">
        <f t="shared" si="15"/>
        <v>0.51860813646485215</v>
      </c>
      <c r="P142" s="170">
        <f>IF(A142=$X$29,K142/(D142*Vendas!$U$25),IF(A142=$X$30,K142/(D142*Vendas!$U$26),IF(A142=$X$31,K142/(D142*Vendas!$U$27),IF(A142=$X$32,K142/(D142*Vendas!$U$28),IF(A142=$X$33,K142/(D142*Vendas!$U$29),IF(A142=$X$34,K142/(D142*Vendas!$U$30),IF(A142=$X$35,K142/(D142*Vendas!$U$31),IF(A142=$X$36,K142/(D142*Vendas!$U$32),0))))))))</f>
        <v>0.49964158828897431</v>
      </c>
      <c r="Q142" s="170">
        <f>IF(A142=$X$29,K142/(D142*Vendas!$U$25),IF(A142=$X$30,K142/(D142*Vendas!$U$26),IF(A142=$X$31,K142/(D142*Vendas!$U$27),IF(A142=$X$32,K142/(D142*Vendas!$U$28),IF(A142=$X$33,K142/(D142*Vendas!$U$29),IF(A142=$X$34,K142/(D142*Vendas!$U$30),IF(A142=$X$35,K142/(D142*Vendas!$U$31),IF(A142=$X$36,K142/(D142*Vendas!$U$32),0))))))))</f>
        <v>0.49964158828897431</v>
      </c>
    </row>
    <row r="143" spans="1:17">
      <c r="A143" s="263" t="s">
        <v>38</v>
      </c>
      <c r="B143" s="337" t="s">
        <v>512</v>
      </c>
      <c r="C143" s="73">
        <v>8</v>
      </c>
      <c r="D143" s="315">
        <v>253.77</v>
      </c>
      <c r="E143" s="166">
        <v>6826</v>
      </c>
      <c r="F143" s="74" t="s">
        <v>908</v>
      </c>
      <c r="G143" s="34" t="str">
        <f t="shared" si="12"/>
        <v>XVIII8NATANAEL CARVALHO DOS SANTOS</v>
      </c>
      <c r="H143" s="40">
        <v>43451</v>
      </c>
      <c r="I143" s="35">
        <v>79900</v>
      </c>
      <c r="J143" s="35" t="s">
        <v>834</v>
      </c>
      <c r="K143" s="35">
        <v>58184.450000000004</v>
      </c>
      <c r="L143" s="170">
        <f t="shared" si="13"/>
        <v>0.72821589486858573</v>
      </c>
      <c r="M143" s="154">
        <v>101619.61</v>
      </c>
      <c r="N143" s="170">
        <f t="shared" si="14"/>
        <v>0.57257108150680769</v>
      </c>
      <c r="O143" s="170">
        <f t="shared" si="15"/>
        <v>0.38292132514250704</v>
      </c>
      <c r="P143" s="170">
        <f>IF(A143=$X$29,K143/(D143*Vendas!$U$25),IF(A143=$X$30,K143/(D143*Vendas!$U$26),IF(A143=$X$31,K143/(D143*Vendas!$U$27),IF(A143=$X$32,K143/(D143*Vendas!$U$28),IF(A143=$X$33,K143/(D143*Vendas!$U$29),IF(A143=$X$34,K143/(D143*Vendas!$U$30),IF(A143=$X$35,K143/(D143*Vendas!$U$31),IF(A143=$X$36,K143/(D143*Vendas!$U$32),0))))))))</f>
        <v>0.36891711801534305</v>
      </c>
      <c r="Q143" s="170">
        <f>IF(A143=$X$29,K143/(D143*Vendas!$U$25),IF(A143=$X$30,K143/(D143*Vendas!$U$26),IF(A143=$X$31,K143/(D143*Vendas!$U$27),IF(A143=$X$32,K143/(D143*Vendas!$U$28),IF(A143=$X$33,K143/(D143*Vendas!$U$29),IF(A143=$X$34,K143/(D143*Vendas!$U$30),IF(A143=$X$35,K143/(D143*Vendas!$U$31),IF(A143=$X$36,K143/(D143*Vendas!$U$32),0))))))))</f>
        <v>0.36891711801534305</v>
      </c>
    </row>
    <row r="144" spans="1:17">
      <c r="A144" s="263" t="s">
        <v>38</v>
      </c>
      <c r="B144" s="337" t="s">
        <v>512</v>
      </c>
      <c r="C144" s="166">
        <v>12</v>
      </c>
      <c r="D144" s="197">
        <v>255.81</v>
      </c>
      <c r="E144" s="166">
        <v>6786</v>
      </c>
      <c r="F144" s="338" t="s">
        <v>874</v>
      </c>
      <c r="G144" s="34" t="str">
        <f t="shared" si="12"/>
        <v>XVIII12MIRIAM QUADROS MONTEIRO MARTINS</v>
      </c>
      <c r="H144" s="40">
        <v>43439</v>
      </c>
      <c r="I144" s="35">
        <v>77080</v>
      </c>
      <c r="J144" s="35" t="s">
        <v>834</v>
      </c>
      <c r="K144" s="35">
        <v>63225.33</v>
      </c>
      <c r="L144" s="170">
        <f t="shared" si="13"/>
        <v>0.8202559678256357</v>
      </c>
      <c r="M144" s="154">
        <v>101552.99</v>
      </c>
      <c r="N144" s="170">
        <f t="shared" si="14"/>
        <v>0.62258462306230467</v>
      </c>
      <c r="O144" s="170">
        <f t="shared" si="15"/>
        <v>0.41277794682388297</v>
      </c>
      <c r="P144" s="170">
        <f>IF(A144=$X$29,K144/(D144*Vendas!$U$25),IF(A144=$X$30,K144/(D144*Vendas!$U$26),IF(A144=$X$31,K144/(D144*Vendas!$U$27),IF(A144=$X$32,K144/(D144*Vendas!$U$28),IF(A144=$X$33,K144/(D144*Vendas!$U$29),IF(A144=$X$34,K144/(D144*Vendas!$U$30),IF(A144=$X$35,K144/(D144*Vendas!$U$31),IF(A144=$X$36,K144/(D144*Vendas!$U$32),0))))))))</f>
        <v>0.39768182267175894</v>
      </c>
      <c r="Q144" s="170">
        <f>IF(A144=$X$29,K144/(D144*Vendas!$U$25),IF(A144=$X$30,K144/(D144*Vendas!$U$26),IF(A144=$X$31,K144/(D144*Vendas!$U$27),IF(A144=$X$32,K144/(D144*Vendas!$U$28),IF(A144=$X$33,K144/(D144*Vendas!$U$29),IF(A144=$X$34,K144/(D144*Vendas!$U$30),IF(A144=$X$35,K144/(D144*Vendas!$U$31),IF(A144=$X$36,K144/(D144*Vendas!$U$32),0))))))))</f>
        <v>0.39768182267175894</v>
      </c>
    </row>
    <row r="145" spans="1:17">
      <c r="A145" s="263" t="s">
        <v>38</v>
      </c>
      <c r="B145" s="337" t="s">
        <v>512</v>
      </c>
      <c r="C145" s="73">
        <v>13</v>
      </c>
      <c r="D145" s="315">
        <v>255.81</v>
      </c>
      <c r="E145" s="166">
        <v>3886</v>
      </c>
      <c r="F145" s="74" t="s">
        <v>1163</v>
      </c>
      <c r="G145" s="34" t="str">
        <f t="shared" si="12"/>
        <v>XVIII13WALDIR PITELLA</v>
      </c>
      <c r="H145" s="40">
        <v>43958</v>
      </c>
      <c r="I145" s="35">
        <v>94000</v>
      </c>
      <c r="J145" s="35" t="s">
        <v>1249</v>
      </c>
      <c r="K145" s="35">
        <v>84983.83</v>
      </c>
      <c r="L145" s="170">
        <f t="shared" si="13"/>
        <v>0.90408329787234043</v>
      </c>
      <c r="M145" s="154">
        <v>107741.59</v>
      </c>
      <c r="N145" s="170">
        <f t="shared" si="14"/>
        <v>0.78877460412455402</v>
      </c>
      <c r="O145" s="170">
        <f t="shared" si="15"/>
        <v>0.55483223038345408</v>
      </c>
      <c r="P145" s="170">
        <f>IF(A145=$X$29,K145/(D145*Vendas!$U$25),IF(A145=$X$30,K145/(D145*Vendas!$U$26),IF(A145=$X$31,K145/(D145*Vendas!$U$27),IF(A145=$X$32,K145/(D145*Vendas!$U$28),IF(A145=$X$33,K145/(D145*Vendas!$U$29),IF(A145=$X$34,K145/(D145*Vendas!$U$30),IF(A145=$X$35,K145/(D145*Vendas!$U$31),IF(A145=$X$36,K145/(D145*Vendas!$U$32),0))))))))</f>
        <v>0.53454089384787562</v>
      </c>
      <c r="Q145" s="170">
        <f>IF(A145=$X$29,K145/(D145*Vendas!$U$25),IF(A145=$X$30,K145/(D145*Vendas!$U$26),IF(A145=$X$31,K145/(D145*Vendas!$U$27),IF(A145=$X$32,K145/(D145*Vendas!$U$28),IF(A145=$X$33,K145/(D145*Vendas!$U$29),IF(A145=$X$34,K145/(D145*Vendas!$U$30),IF(A145=$X$35,K145/(D145*Vendas!$U$31),IF(A145=$X$36,K145/(D145*Vendas!$U$32),0))))))))</f>
        <v>0.53454089384787562</v>
      </c>
    </row>
    <row r="146" spans="1:17">
      <c r="A146" s="263" t="s">
        <v>38</v>
      </c>
      <c r="B146" s="337" t="s">
        <v>512</v>
      </c>
      <c r="C146" s="166">
        <v>14</v>
      </c>
      <c r="D146" s="197">
        <v>255.81</v>
      </c>
      <c r="E146" s="166">
        <v>6882</v>
      </c>
      <c r="F146" s="338" t="s">
        <v>919</v>
      </c>
      <c r="G146" s="34" t="str">
        <f t="shared" si="12"/>
        <v>XVIII14ANDRE HENRIQUE DE SOUZA GUIRAO</v>
      </c>
      <c r="H146" s="40">
        <v>43488</v>
      </c>
      <c r="I146" s="35">
        <v>77080</v>
      </c>
      <c r="J146" s="35" t="s">
        <v>834</v>
      </c>
      <c r="K146" s="35">
        <v>10267.84</v>
      </c>
      <c r="L146" s="170">
        <f t="shared" si="13"/>
        <v>0.13321017125064868</v>
      </c>
      <c r="M146" s="154">
        <v>79578.559999999998</v>
      </c>
      <c r="N146" s="170">
        <f t="shared" si="14"/>
        <v>0.12902771801852159</v>
      </c>
      <c r="O146" s="170">
        <f t="shared" si="15"/>
        <v>6.7035441547179567E-2</v>
      </c>
      <c r="P146" s="170">
        <f>IF(A146=$X$29,K146/(D146*Vendas!$U$25),IF(A146=$X$30,K146/(D146*Vendas!$U$26),IF(A146=$X$31,K146/(D146*Vendas!$U$27),IF(A146=$X$32,K146/(D146*Vendas!$U$28),IF(A146=$X$33,K146/(D146*Vendas!$U$29),IF(A146=$X$34,K146/(D146*Vendas!$U$30),IF(A146=$X$35,K146/(D146*Vendas!$U$31),IF(A146=$X$36,K146/(D146*Vendas!$U$32),0))))))))</f>
        <v>6.4583819904174375E-2</v>
      </c>
      <c r="Q146" s="170">
        <f>IF(A146=$X$29,K146/(D146*Vendas!$U$25),IF(A146=$X$30,K146/(D146*Vendas!$U$26),IF(A146=$X$31,K146/(D146*Vendas!$U$27),IF(A146=$X$32,K146/(D146*Vendas!$U$28),IF(A146=$X$33,K146/(D146*Vendas!$U$29),IF(A146=$X$34,K146/(D146*Vendas!$U$30),IF(A146=$X$35,K146/(D146*Vendas!$U$31),IF(A146=$X$36,K146/(D146*Vendas!$U$32),0))))))))</f>
        <v>6.4583819904174375E-2</v>
      </c>
    </row>
    <row r="147" spans="1:17">
      <c r="A147" s="263" t="s">
        <v>38</v>
      </c>
      <c r="B147" s="337" t="s">
        <v>512</v>
      </c>
      <c r="C147" s="73">
        <v>15</v>
      </c>
      <c r="D147" s="315">
        <v>255.81</v>
      </c>
      <c r="E147" s="166"/>
      <c r="F147" s="74" t="s">
        <v>861</v>
      </c>
      <c r="G147" s="34" t="str">
        <f t="shared" si="12"/>
        <v>XVIII15JESSICA SABRINA APARECIDA BRAGA</v>
      </c>
      <c r="H147" s="40">
        <v>43414</v>
      </c>
      <c r="I147" s="35">
        <v>79900</v>
      </c>
      <c r="J147" s="35" t="s">
        <v>834</v>
      </c>
      <c r="K147" s="35">
        <v>80641.48</v>
      </c>
      <c r="L147" s="170">
        <f t="shared" si="13"/>
        <v>1.0092801001251563</v>
      </c>
      <c r="M147" s="154">
        <v>109079.5</v>
      </c>
      <c r="N147" s="170">
        <f t="shared" si="14"/>
        <v>0.73929088417163624</v>
      </c>
      <c r="O147" s="170">
        <f t="shared" si="15"/>
        <v>0.52648241682944508</v>
      </c>
      <c r="P147" s="170">
        <f>IF(A147=$X$29,K147/(D147*Vendas!$U$25),IF(A147=$X$30,K147/(D147*Vendas!$U$26),IF(A147=$X$31,K147/(D147*Vendas!$U$27),IF(A147=$X$32,K147/(D147*Vendas!$U$28),IF(A147=$X$33,K147/(D147*Vendas!$U$29),IF(A147=$X$34,K147/(D147*Vendas!$U$30),IF(A147=$X$35,K147/(D147*Vendas!$U$31),IF(A147=$X$36,K147/(D147*Vendas!$U$32),0))))))))</f>
        <v>0.50722789029884374</v>
      </c>
      <c r="Q147" s="170">
        <f>IF(A147=$X$29,K147/(D147*Vendas!$U$25),IF(A147=$X$30,K147/(D147*Vendas!$U$26),IF(A147=$X$31,K147/(D147*Vendas!$U$27),IF(A147=$X$32,K147/(D147*Vendas!$U$28),IF(A147=$X$33,K147/(D147*Vendas!$U$29),IF(A147=$X$34,K147/(D147*Vendas!$U$30),IF(A147=$X$35,K147/(D147*Vendas!$U$31),IF(A147=$X$36,K147/(D147*Vendas!$U$32),0))))))))</f>
        <v>0.50722789029884374</v>
      </c>
    </row>
    <row r="148" spans="1:17">
      <c r="A148" s="263" t="s">
        <v>38</v>
      </c>
      <c r="B148" s="337" t="s">
        <v>512</v>
      </c>
      <c r="C148" s="166">
        <v>16</v>
      </c>
      <c r="D148" s="197">
        <v>253.43</v>
      </c>
      <c r="E148" s="166">
        <v>6831</v>
      </c>
      <c r="F148" s="338" t="s">
        <v>904</v>
      </c>
      <c r="G148" s="34" t="str">
        <f t="shared" si="12"/>
        <v>XVIII16MARCIO RODRIGUES</v>
      </c>
      <c r="H148" s="40">
        <v>43472</v>
      </c>
      <c r="I148" s="35">
        <v>79900</v>
      </c>
      <c r="J148" s="35" t="s">
        <v>834</v>
      </c>
      <c r="K148" s="35">
        <v>63605.18</v>
      </c>
      <c r="L148" s="170">
        <f t="shared" si="13"/>
        <v>0.79605982478097626</v>
      </c>
      <c r="M148" s="154">
        <v>104944.72</v>
      </c>
      <c r="N148" s="170">
        <f t="shared" si="14"/>
        <v>0.60608270716239943</v>
      </c>
      <c r="O148" s="170">
        <f t="shared" si="15"/>
        <v>0.41915761622733094</v>
      </c>
      <c r="P148" s="170">
        <f>IF(A148=$X$29,K148/(D148*Vendas!$U$25),IF(A148=$X$30,K148/(D148*Vendas!$U$26),IF(A148=$X$31,K148/(D148*Vendas!$U$27),IF(A148=$X$32,K148/(D148*Vendas!$U$28),IF(A148=$X$33,K148/(D148*Vendas!$U$29),IF(A148=$X$34,K148/(D148*Vendas!$U$30),IF(A148=$X$35,K148/(D148*Vendas!$U$31),IF(A148=$X$36,K148/(D148*Vendas!$U$32),0))))))))</f>
        <v>0.40382817466543491</v>
      </c>
      <c r="Q148" s="170">
        <f>IF(A148=$X$29,K148/(D148*Vendas!$U$25),IF(A148=$X$30,K148/(D148*Vendas!$U$26),IF(A148=$X$31,K148/(D148*Vendas!$U$27),IF(A148=$X$32,K148/(D148*Vendas!$U$28),IF(A148=$X$33,K148/(D148*Vendas!$U$29),IF(A148=$X$34,K148/(D148*Vendas!$U$30),IF(A148=$X$35,K148/(D148*Vendas!$U$31),IF(A148=$X$36,K148/(D148*Vendas!$U$32),0))))))))</f>
        <v>0.40382817466543491</v>
      </c>
    </row>
    <row r="149" spans="1:17">
      <c r="A149" s="263" t="s">
        <v>38</v>
      </c>
      <c r="B149" s="337" t="s">
        <v>512</v>
      </c>
      <c r="C149" s="73">
        <v>17</v>
      </c>
      <c r="D149" s="315">
        <v>258.2</v>
      </c>
      <c r="E149" s="166">
        <v>3094</v>
      </c>
      <c r="F149" s="74" t="s">
        <v>1059</v>
      </c>
      <c r="G149" s="34" t="str">
        <f t="shared" si="12"/>
        <v>XVIII17ELIZEU GETAO</v>
      </c>
      <c r="H149" s="40">
        <v>43727</v>
      </c>
      <c r="I149" s="35">
        <v>93060.9</v>
      </c>
      <c r="J149" s="35" t="s">
        <v>834</v>
      </c>
      <c r="K149" s="35">
        <v>91172.95</v>
      </c>
      <c r="L149" s="170">
        <f t="shared" si="13"/>
        <v>0.97971274724400903</v>
      </c>
      <c r="M149" s="154">
        <v>115309.2</v>
      </c>
      <c r="N149" s="170">
        <f t="shared" si="14"/>
        <v>0.79068235665497633</v>
      </c>
      <c r="O149" s="170">
        <f t="shared" si="15"/>
        <v>0.58972924958779616</v>
      </c>
      <c r="P149" s="170">
        <f>IF(A149=$X$29,K149/(D149*Vendas!$U$25),IF(A149=$X$30,K149/(D149*Vendas!$U$26),IF(A149=$X$31,K149/(D149*Vendas!$U$27),IF(A149=$X$32,K149/(D149*Vendas!$U$28),IF(A149=$X$33,K149/(D149*Vendas!$U$29),IF(A149=$X$34,K149/(D149*Vendas!$U$30),IF(A149=$X$35,K149/(D149*Vendas!$U$31),IF(A149=$X$36,K149/(D149*Vendas!$U$32),0))))))))</f>
        <v>0.5681616584981618</v>
      </c>
      <c r="Q149" s="170">
        <f>IF(A149=$X$29,K149/(D149*Vendas!$U$25),IF(A149=$X$30,K149/(D149*Vendas!$U$26),IF(A149=$X$31,K149/(D149*Vendas!$U$27),IF(A149=$X$32,K149/(D149*Vendas!$U$28),IF(A149=$X$33,K149/(D149*Vendas!$U$29),IF(A149=$X$34,K149/(D149*Vendas!$U$30),IF(A149=$X$35,K149/(D149*Vendas!$U$31),IF(A149=$X$36,K149/(D149*Vendas!$U$32),0))))))))</f>
        <v>0.5681616584981618</v>
      </c>
    </row>
    <row r="150" spans="1:17">
      <c r="A150" s="263" t="s">
        <v>38</v>
      </c>
      <c r="B150" s="337" t="s">
        <v>512</v>
      </c>
      <c r="C150" s="166">
        <v>20</v>
      </c>
      <c r="D150" s="197">
        <v>265.44</v>
      </c>
      <c r="E150" s="166"/>
      <c r="F150" s="338" t="s">
        <v>1129</v>
      </c>
      <c r="G150" s="34" t="str">
        <f t="shared" si="12"/>
        <v>XVIII20TAINA APARECIDA SIMAO</v>
      </c>
      <c r="H150" s="40">
        <v>43409</v>
      </c>
      <c r="I150" s="35">
        <v>79900</v>
      </c>
      <c r="J150" s="35" t="s">
        <v>1250</v>
      </c>
      <c r="K150" s="35">
        <v>88045.41</v>
      </c>
      <c r="L150" s="170">
        <f t="shared" si="13"/>
        <v>1.1019450563204005</v>
      </c>
      <c r="M150" s="154">
        <v>98002.95</v>
      </c>
      <c r="N150" s="170">
        <f t="shared" si="14"/>
        <v>0.89839550748217278</v>
      </c>
      <c r="O150" s="170">
        <f t="shared" si="15"/>
        <v>0.55396617916396129</v>
      </c>
      <c r="P150" s="170">
        <f>IF(A150=$X$29,K150/(D150*Vendas!$U$25),IF(A150=$X$30,K150/(D150*Vendas!$U$26),IF(A150=$X$31,K150/(D150*Vendas!$U$27),IF(A150=$X$32,K150/(D150*Vendas!$U$28),IF(A150=$X$33,K150/(D150*Vendas!$U$29),IF(A150=$X$34,K150/(D150*Vendas!$U$30),IF(A150=$X$35,K150/(D150*Vendas!$U$31),IF(A150=$X$36,K150/(D150*Vendas!$U$32),0))))))))</f>
        <v>0.53370651587263473</v>
      </c>
      <c r="Q150" s="170">
        <f>IF(A150=$X$29,K150/(D150*Vendas!$U$25),IF(A150=$X$30,K150/(D150*Vendas!$U$26),IF(A150=$X$31,K150/(D150*Vendas!$U$27),IF(A150=$X$32,K150/(D150*Vendas!$U$28),IF(A150=$X$33,K150/(D150*Vendas!$U$29),IF(A150=$X$34,K150/(D150*Vendas!$U$30),IF(A150=$X$35,K150/(D150*Vendas!$U$31),IF(A150=$X$36,K150/(D150*Vendas!$U$32),0))))))))</f>
        <v>0.53370651587263473</v>
      </c>
    </row>
    <row r="151" spans="1:17">
      <c r="A151" s="263" t="s">
        <v>38</v>
      </c>
      <c r="B151" s="337" t="s">
        <v>512</v>
      </c>
      <c r="C151" s="73">
        <v>21</v>
      </c>
      <c r="D151" s="315">
        <v>265.44</v>
      </c>
      <c r="E151" s="166"/>
      <c r="F151" s="74" t="s">
        <v>119</v>
      </c>
      <c r="G151" s="34" t="str">
        <f t="shared" si="12"/>
        <v>XVIII21CLAUDIONOR ELENO RICCI</v>
      </c>
      <c r="H151" s="40">
        <v>43405</v>
      </c>
      <c r="I151" s="35">
        <v>81999.679999999993</v>
      </c>
      <c r="J151" s="35" t="s">
        <v>834</v>
      </c>
      <c r="K151" s="35">
        <v>25559.850000000002</v>
      </c>
      <c r="L151" s="170">
        <f t="shared" si="13"/>
        <v>0.31170670422128482</v>
      </c>
      <c r="M151" s="154">
        <v>94483.75</v>
      </c>
      <c r="N151" s="170">
        <f t="shared" si="14"/>
        <v>0.27052112135684708</v>
      </c>
      <c r="O151" s="170">
        <f t="shared" si="15"/>
        <v>0.16081806472937063</v>
      </c>
      <c r="P151" s="170">
        <f>IF(A151=$X$29,K151/(D151*Vendas!$U$25),IF(A151=$X$30,K151/(D151*Vendas!$U$26),IF(A151=$X$31,K151/(D151*Vendas!$U$27),IF(A151=$X$32,K151/(D151*Vendas!$U$28),IF(A151=$X$33,K151/(D151*Vendas!$U$29),IF(A151=$X$34,K151/(D151*Vendas!$U$30),IF(A151=$X$35,K151/(D151*Vendas!$U$31),IF(A151=$X$36,K151/(D151*Vendas!$U$32),0))))))))</f>
        <v>0.15493662292818175</v>
      </c>
      <c r="Q151" s="170">
        <f>IF(A151=$X$29,K151/(D151*Vendas!$U$25),IF(A151=$X$30,K151/(D151*Vendas!$U$26),IF(A151=$X$31,K151/(D151*Vendas!$U$27),IF(A151=$X$32,K151/(D151*Vendas!$U$28),IF(A151=$X$33,K151/(D151*Vendas!$U$29),IF(A151=$X$34,K151/(D151*Vendas!$U$30),IF(A151=$X$35,K151/(D151*Vendas!$U$31),IF(A151=$X$36,K151/(D151*Vendas!$U$32),0))))))))</f>
        <v>0.15493662292818175</v>
      </c>
    </row>
    <row r="152" spans="1:17">
      <c r="A152" s="263" t="s">
        <v>38</v>
      </c>
      <c r="B152" s="337" t="s">
        <v>512</v>
      </c>
      <c r="C152" s="166">
        <v>23</v>
      </c>
      <c r="D152" s="197">
        <v>265.44</v>
      </c>
      <c r="E152" s="166">
        <v>4635</v>
      </c>
      <c r="F152" s="338" t="s">
        <v>335</v>
      </c>
      <c r="G152" s="34" t="str">
        <f t="shared" si="12"/>
        <v>XVIII23MARCIA REGINA DE FREITAS SOUZA</v>
      </c>
      <c r="H152" s="40">
        <v>42101</v>
      </c>
      <c r="I152" s="35">
        <v>115000.2</v>
      </c>
      <c r="J152" s="35" t="s">
        <v>1250</v>
      </c>
      <c r="K152" s="35">
        <v>237755.56</v>
      </c>
      <c r="L152" s="170">
        <f t="shared" si="13"/>
        <v>2.0674360566329448</v>
      </c>
      <c r="M152" s="154">
        <v>258505.56</v>
      </c>
      <c r="N152" s="170">
        <f t="shared" si="14"/>
        <v>0.91973093344684731</v>
      </c>
      <c r="O152" s="170">
        <f t="shared" si="15"/>
        <v>1.4959160182022884</v>
      </c>
      <c r="P152" s="170">
        <f>IF(A152=$X$29,K152/(D152*Vendas!$U$25),IF(A152=$X$30,K152/(D152*Vendas!$U$26),IF(A152=$X$31,K152/(D152*Vendas!$U$27),IF(A152=$X$32,K152/(D152*Vendas!$U$28),IF(A152=$X$33,K152/(D152*Vendas!$U$29),IF(A152=$X$34,K152/(D152*Vendas!$U$30),IF(A152=$X$35,K152/(D152*Vendas!$U$31),IF(A152=$X$36,K152/(D152*Vendas!$U$32),0))))))))</f>
        <v>1.4412073446752891</v>
      </c>
      <c r="Q152" s="170">
        <f>IF(A152=$X$29,K152/(D152*Vendas!$U$25),IF(A152=$X$30,K152/(D152*Vendas!$U$26),IF(A152=$X$31,K152/(D152*Vendas!$U$27),IF(A152=$X$32,K152/(D152*Vendas!$U$28),IF(A152=$X$33,K152/(D152*Vendas!$U$29),IF(A152=$X$34,K152/(D152*Vendas!$U$30),IF(A152=$X$35,K152/(D152*Vendas!$U$31),IF(A152=$X$36,K152/(D152*Vendas!$U$32),0))))))))</f>
        <v>1.4412073446752891</v>
      </c>
    </row>
    <row r="153" spans="1:17">
      <c r="A153" s="263" t="s">
        <v>38</v>
      </c>
      <c r="B153" s="337" t="s">
        <v>1077</v>
      </c>
      <c r="C153" s="73">
        <v>1</v>
      </c>
      <c r="D153" s="315">
        <v>255.38</v>
      </c>
      <c r="E153" s="166">
        <v>4360</v>
      </c>
      <c r="F153" s="74" t="s">
        <v>375</v>
      </c>
      <c r="G153" s="34" t="str">
        <f t="shared" si="12"/>
        <v>XVIII - A1MOYSES DO LAGO</v>
      </c>
      <c r="H153" s="40">
        <v>42015</v>
      </c>
      <c r="I153" s="35">
        <v>109600.16</v>
      </c>
      <c r="J153" s="35" t="s">
        <v>1250</v>
      </c>
      <c r="K153" s="35">
        <v>263032.44</v>
      </c>
      <c r="L153" s="170">
        <f t="shared" si="13"/>
        <v>2.3999275183539877</v>
      </c>
      <c r="M153" s="154">
        <v>280873.85000000003</v>
      </c>
      <c r="N153" s="170">
        <f t="shared" si="14"/>
        <v>0.93647892105299224</v>
      </c>
      <c r="O153" s="170">
        <f t="shared" si="15"/>
        <v>1.7201460815868328</v>
      </c>
      <c r="P153" s="170">
        <f>IF(A153=$X$29,K153/(D153*Vendas!$U$25),IF(A153=$X$30,K153/(D153*Vendas!$U$26),IF(A153=$X$31,K153/(D153*Vendas!$U$27),IF(A153=$X$32,K153/(D153*Vendas!$U$28),IF(A153=$X$33,K153/(D153*Vendas!$U$29),IF(A153=$X$34,K153/(D153*Vendas!$U$30),IF(A153=$X$35,K153/(D153*Vendas!$U$31),IF(A153=$X$36,K153/(D153*Vendas!$U$32),0))))))))</f>
        <v>1.6572368612487998</v>
      </c>
      <c r="Q153" s="170">
        <f>IF(A153=$X$29,K153/(D153*Vendas!$U$25),IF(A153=$X$30,K153/(D153*Vendas!$U$26),IF(A153=$X$31,K153/(D153*Vendas!$U$27),IF(A153=$X$32,K153/(D153*Vendas!$U$28),IF(A153=$X$33,K153/(D153*Vendas!$U$29),IF(A153=$X$34,K153/(D153*Vendas!$U$30),IF(A153=$X$35,K153/(D153*Vendas!$U$31),IF(A153=$X$36,K153/(D153*Vendas!$U$32),0))))))))</f>
        <v>1.6572368612487998</v>
      </c>
    </row>
    <row r="154" spans="1:17">
      <c r="A154" s="263" t="s">
        <v>38</v>
      </c>
      <c r="B154" s="337" t="s">
        <v>1077</v>
      </c>
      <c r="C154" s="166">
        <v>2</v>
      </c>
      <c r="D154" s="197">
        <v>253.59</v>
      </c>
      <c r="E154" s="166"/>
      <c r="F154" s="338" t="s">
        <v>122</v>
      </c>
      <c r="G154" s="34" t="str">
        <f t="shared" si="12"/>
        <v>XVIII - A2DALMO CORREIA</v>
      </c>
      <c r="H154" s="40">
        <v>43426</v>
      </c>
      <c r="I154" s="35">
        <v>79900.100000000006</v>
      </c>
      <c r="J154" s="35" t="s">
        <v>1249</v>
      </c>
      <c r="K154" s="35">
        <v>16532.11</v>
      </c>
      <c r="L154" s="170">
        <f t="shared" si="13"/>
        <v>0.2069097535547515</v>
      </c>
      <c r="M154" s="154">
        <v>99148.33</v>
      </c>
      <c r="N154" s="170">
        <f t="shared" si="14"/>
        <v>0.16674118464728555</v>
      </c>
      <c r="O154" s="170">
        <f t="shared" si="15"/>
        <v>0.1088777310963423</v>
      </c>
      <c r="P154" s="170">
        <f>IF(A154=$X$29,K154/(D154*Vendas!$U$25),IF(A154=$X$30,K154/(D154*Vendas!$U$26),IF(A154=$X$31,K154/(D154*Vendas!$U$27),IF(A154=$X$32,K154/(D154*Vendas!$U$28),IF(A154=$X$33,K154/(D154*Vendas!$U$29),IF(A154=$X$34,K154/(D154*Vendas!$U$30),IF(A154=$X$35,K154/(D154*Vendas!$U$31),IF(A154=$X$36,K154/(D154*Vendas!$U$32),0))))))))</f>
        <v>0.10489585231943847</v>
      </c>
      <c r="Q154" s="170">
        <f>IF(A154=$X$29,K154/(D154*Vendas!$U$25),IF(A154=$X$30,K154/(D154*Vendas!$U$26),IF(A154=$X$31,K154/(D154*Vendas!$U$27),IF(A154=$X$32,K154/(D154*Vendas!$U$28),IF(A154=$X$33,K154/(D154*Vendas!$U$29),IF(A154=$X$34,K154/(D154*Vendas!$U$30),IF(A154=$X$35,K154/(D154*Vendas!$U$31),IF(A154=$X$36,K154/(D154*Vendas!$U$32),0))))))))</f>
        <v>0.10489585231943847</v>
      </c>
    </row>
    <row r="155" spans="1:17">
      <c r="A155" s="263" t="s">
        <v>38</v>
      </c>
      <c r="B155" s="337" t="s">
        <v>1077</v>
      </c>
      <c r="C155" s="73">
        <v>3</v>
      </c>
      <c r="D155" s="315">
        <v>253.59</v>
      </c>
      <c r="E155" s="166">
        <v>5299</v>
      </c>
      <c r="F155" s="74" t="s">
        <v>140</v>
      </c>
      <c r="G155" s="34" t="str">
        <f t="shared" si="12"/>
        <v>XVIII - A3DENISE APARECIDA BALZER</v>
      </c>
      <c r="H155" s="40">
        <v>42628</v>
      </c>
      <c r="I155" s="35">
        <v>122959.95</v>
      </c>
      <c r="J155" s="35" t="s">
        <v>834</v>
      </c>
      <c r="K155" s="35">
        <v>121003.89</v>
      </c>
      <c r="L155" s="170">
        <f t="shared" si="13"/>
        <v>0.98409189333600089</v>
      </c>
      <c r="M155" s="154">
        <v>185596.51</v>
      </c>
      <c r="N155" s="170">
        <f t="shared" si="14"/>
        <v>0.65197287384337121</v>
      </c>
      <c r="O155" s="170">
        <f t="shared" si="15"/>
        <v>0.79691152533048615</v>
      </c>
      <c r="P155" s="170">
        <f>IF(A155=$X$29,K155/(D155*Vendas!$U$25),IF(A155=$X$30,K155/(D155*Vendas!$U$26),IF(A155=$X$31,K155/(D155*Vendas!$U$27),IF(A155=$X$32,K155/(D155*Vendas!$U$28),IF(A155=$X$33,K155/(D155*Vendas!$U$29),IF(A155=$X$34,K155/(D155*Vendas!$U$30),IF(A155=$X$35,K155/(D155*Vendas!$U$31),IF(A155=$X$36,K155/(D155*Vendas!$U$32),0))))))))</f>
        <v>0.76776685949449752</v>
      </c>
      <c r="Q155" s="170">
        <f>IF(A155=$X$29,K155/(D155*Vendas!$U$25),IF(A155=$X$30,K155/(D155*Vendas!$U$26),IF(A155=$X$31,K155/(D155*Vendas!$U$27),IF(A155=$X$32,K155/(D155*Vendas!$U$28),IF(A155=$X$33,K155/(D155*Vendas!$U$29),IF(A155=$X$34,K155/(D155*Vendas!$U$30),IF(A155=$X$35,K155/(D155*Vendas!$U$31),IF(A155=$X$36,K155/(D155*Vendas!$U$32),0))))))))</f>
        <v>0.76776685949449752</v>
      </c>
    </row>
    <row r="156" spans="1:17">
      <c r="A156" s="263" t="s">
        <v>38</v>
      </c>
      <c r="B156" s="337" t="s">
        <v>1078</v>
      </c>
      <c r="C156" s="166">
        <v>1</v>
      </c>
      <c r="D156" s="197">
        <v>256.08</v>
      </c>
      <c r="E156" s="166">
        <v>2664</v>
      </c>
      <c r="F156" s="338" t="s">
        <v>487</v>
      </c>
      <c r="G156" s="34" t="str">
        <f t="shared" si="12"/>
        <v>XVIII - B1YASMIN ADRIANA DA SILVA ALVES</v>
      </c>
      <c r="H156" s="40">
        <v>41464</v>
      </c>
      <c r="I156" s="35">
        <v>81843.17</v>
      </c>
      <c r="J156" s="35" t="s">
        <v>834</v>
      </c>
      <c r="K156" s="35">
        <v>83190.680000000008</v>
      </c>
      <c r="L156" s="170">
        <f t="shared" si="13"/>
        <v>1.0164645382137569</v>
      </c>
      <c r="M156" s="154">
        <v>165439.11000000002</v>
      </c>
      <c r="N156" s="170">
        <f t="shared" si="14"/>
        <v>0.50284772445886583</v>
      </c>
      <c r="O156" s="170">
        <f t="shared" si="15"/>
        <v>0.54255267931806228</v>
      </c>
      <c r="P156" s="170">
        <f>IF(A156=$X$29,K156/(D156*Vendas!$U$25),IF(A156=$X$30,K156/(D156*Vendas!$U$26),IF(A156=$X$31,K156/(D156*Vendas!$U$27),IF(A156=$X$32,K156/(D156*Vendas!$U$28),IF(A156=$X$33,K156/(D156*Vendas!$U$29),IF(A156=$X$34,K156/(D156*Vendas!$U$30),IF(A156=$X$35,K156/(D156*Vendas!$U$31),IF(A156=$X$36,K156/(D156*Vendas!$U$32),0))))))))</f>
        <v>0.52271043079419044</v>
      </c>
      <c r="Q156" s="170">
        <f>IF(A156=$X$29,K156/(D156*Vendas!$U$25),IF(A156=$X$30,K156/(D156*Vendas!$U$26),IF(A156=$X$31,K156/(D156*Vendas!$U$27),IF(A156=$X$32,K156/(D156*Vendas!$U$28),IF(A156=$X$33,K156/(D156*Vendas!$U$29),IF(A156=$X$34,K156/(D156*Vendas!$U$30),IF(A156=$X$35,K156/(D156*Vendas!$U$31),IF(A156=$X$36,K156/(D156*Vendas!$U$32),0))))))))</f>
        <v>0.52271043079419044</v>
      </c>
    </row>
    <row r="157" spans="1:17">
      <c r="A157" s="263" t="s">
        <v>38</v>
      </c>
      <c r="B157" s="337" t="s">
        <v>1078</v>
      </c>
      <c r="C157" s="73">
        <v>2</v>
      </c>
      <c r="D157" s="315">
        <v>256.08</v>
      </c>
      <c r="E157" s="166">
        <v>6455</v>
      </c>
      <c r="F157" s="74" t="s">
        <v>638</v>
      </c>
      <c r="G157" s="34" t="str">
        <f t="shared" si="12"/>
        <v>XVIII - B2JOSE DONIZETE PIANISSOLA</v>
      </c>
      <c r="H157" s="40">
        <v>43255</v>
      </c>
      <c r="I157" s="35">
        <v>103400</v>
      </c>
      <c r="J157" s="35" t="s">
        <v>834</v>
      </c>
      <c r="K157" s="35">
        <v>107025.38</v>
      </c>
      <c r="L157" s="170">
        <f t="shared" si="13"/>
        <v>1.0350617021276596</v>
      </c>
      <c r="M157" s="154">
        <v>150270.51999999999</v>
      </c>
      <c r="N157" s="170">
        <f t="shared" si="14"/>
        <v>0.71221807178147789</v>
      </c>
      <c r="O157" s="170">
        <f t="shared" si="15"/>
        <v>0.69799774054057206</v>
      </c>
      <c r="P157" s="170">
        <f>IF(A157=$X$29,K157/(D157*Vendas!$U$25),IF(A157=$X$30,K157/(D157*Vendas!$U$26),IF(A157=$X$31,K157/(D157*Vendas!$U$27),IF(A157=$X$32,K157/(D157*Vendas!$U$28),IF(A157=$X$33,K157/(D157*Vendas!$U$29),IF(A157=$X$34,K157/(D157*Vendas!$U$30),IF(A157=$X$35,K157/(D157*Vendas!$U$31),IF(A157=$X$36,K157/(D157*Vendas!$U$32),0))))))))</f>
        <v>0.67247055181796733</v>
      </c>
      <c r="Q157" s="170">
        <f>IF(A157=$X$29,K157/(D157*Vendas!$U$25),IF(A157=$X$30,K157/(D157*Vendas!$U$26),IF(A157=$X$31,K157/(D157*Vendas!$U$27),IF(A157=$X$32,K157/(D157*Vendas!$U$28),IF(A157=$X$33,K157/(D157*Vendas!$U$29),IF(A157=$X$34,K157/(D157*Vendas!$U$30),IF(A157=$X$35,K157/(D157*Vendas!$U$31),IF(A157=$X$36,K157/(D157*Vendas!$U$32),0))))))))</f>
        <v>0.67247055181796733</v>
      </c>
    </row>
    <row r="158" spans="1:17">
      <c r="A158" s="263" t="s">
        <v>38</v>
      </c>
      <c r="B158" s="337" t="s">
        <v>1078</v>
      </c>
      <c r="C158" s="166">
        <v>3</v>
      </c>
      <c r="D158" s="197">
        <v>257.87</v>
      </c>
      <c r="E158" s="166">
        <v>5158</v>
      </c>
      <c r="F158" s="338" t="s">
        <v>151</v>
      </c>
      <c r="G158" s="34" t="str">
        <f t="shared" si="12"/>
        <v>XVIII - B3DYESSICA YENDIS RIAN MIRANDA</v>
      </c>
      <c r="H158" s="40">
        <v>42447</v>
      </c>
      <c r="I158" s="35">
        <v>108152.67</v>
      </c>
      <c r="J158" s="35" t="s">
        <v>834</v>
      </c>
      <c r="K158" s="35">
        <v>121146.11</v>
      </c>
      <c r="L158" s="170">
        <f t="shared" si="13"/>
        <v>1.1201397986753356</v>
      </c>
      <c r="M158" s="154">
        <v>201326.37</v>
      </c>
      <c r="N158" s="170">
        <f t="shared" si="14"/>
        <v>0.60173990123598808</v>
      </c>
      <c r="O158" s="170">
        <f t="shared" si="15"/>
        <v>0.78460586947734057</v>
      </c>
      <c r="P158" s="170">
        <f>IF(A158=$X$29,K158/(D158*Vendas!$U$25),IF(A158=$X$30,K158/(D158*Vendas!$U$26),IF(A158=$X$31,K158/(D158*Vendas!$U$27),IF(A158=$X$32,K158/(D158*Vendas!$U$28),IF(A158=$X$33,K158/(D158*Vendas!$U$29),IF(A158=$X$34,K158/(D158*Vendas!$U$30),IF(A158=$X$35,K158/(D158*Vendas!$U$31),IF(A158=$X$36,K158/(D158*Vendas!$U$32),0))))))))</f>
        <v>0.7559112463579305</v>
      </c>
      <c r="Q158" s="170">
        <f>IF(A158=$X$29,K158/(D158*Vendas!$U$25),IF(A158=$X$30,K158/(D158*Vendas!$U$26),IF(A158=$X$31,K158/(D158*Vendas!$U$27),IF(A158=$X$32,K158/(D158*Vendas!$U$28),IF(A158=$X$33,K158/(D158*Vendas!$U$29),IF(A158=$X$34,K158/(D158*Vendas!$U$30),IF(A158=$X$35,K158/(D158*Vendas!$U$31),IF(A158=$X$36,K158/(D158*Vendas!$U$32),0))))))))</f>
        <v>0.7559112463579305</v>
      </c>
    </row>
    <row r="159" spans="1:17">
      <c r="A159" s="263" t="s">
        <v>35</v>
      </c>
      <c r="B159" s="337" t="s">
        <v>513</v>
      </c>
      <c r="C159" s="73">
        <v>14</v>
      </c>
      <c r="D159" s="315">
        <v>257.86</v>
      </c>
      <c r="E159" s="166">
        <v>6618</v>
      </c>
      <c r="F159" s="74" t="s">
        <v>808</v>
      </c>
      <c r="G159" s="34" t="str">
        <f t="shared" si="12"/>
        <v>XXIX14BILL ANDERSON DA SILVA FRANCISCO</v>
      </c>
      <c r="H159" s="40">
        <v>43344</v>
      </c>
      <c r="I159" s="35">
        <v>159354.03</v>
      </c>
      <c r="J159" s="35" t="s">
        <v>834</v>
      </c>
      <c r="K159" s="35">
        <v>162026.03</v>
      </c>
      <c r="L159" s="170">
        <f t="shared" si="13"/>
        <v>1.0167676964303947</v>
      </c>
      <c r="M159" s="154">
        <v>221787.21</v>
      </c>
      <c r="N159" s="170">
        <f t="shared" si="14"/>
        <v>0.73054722136592098</v>
      </c>
      <c r="O159" s="170">
        <f t="shared" si="15"/>
        <v>1.0494064085750159</v>
      </c>
      <c r="P159" s="170" t="e">
        <f>IF(A159=$X$29,K159/(D159*Vendas!$U$25),IF(A159=$X$30,K159/(D159*Vendas!$U$26),IF(A159=$X$31,K159/(D159*Vendas!$U$27),IF(A159=$X$32,K159/(D159*Vendas!$U$28),IF(A159=$X$33,K159/(D159*Vendas!$U$29),IF(A159=$X$34,K159/(D159*Vendas!$U$30),IF(A159=$X$35,K159/(D159*Vendas!$U$31),IF(A159=$X$36,K159/(D159*Vendas!$U$32),0))))))))</f>
        <v>#DIV/0!</v>
      </c>
      <c r="Q159" s="170" t="e">
        <f>IF(A159=$X$29,K159/(D159*Vendas!$U$25),IF(A159=$X$30,K159/(D159*Vendas!$U$26),IF(A159=$X$31,K159/(D159*Vendas!$U$27),IF(A159=$X$32,K159/(D159*Vendas!$U$28),IF(A159=$X$33,K159/(D159*Vendas!$U$29),IF(A159=$X$34,K159/(D159*Vendas!$U$30),IF(A159=$X$35,K159/(D159*Vendas!$U$31),IF(A159=$X$36,K159/(D159*Vendas!$U$32),0))))))))</f>
        <v>#DIV/0!</v>
      </c>
    </row>
    <row r="160" spans="1:17">
      <c r="A160" s="263" t="s">
        <v>35</v>
      </c>
      <c r="B160" s="337" t="s">
        <v>513</v>
      </c>
      <c r="C160" s="166">
        <v>23</v>
      </c>
      <c r="D160" s="197">
        <v>355.37</v>
      </c>
      <c r="E160" s="166">
        <v>4926</v>
      </c>
      <c r="F160" s="338" t="s">
        <v>1387</v>
      </c>
      <c r="G160" s="34" t="str">
        <f t="shared" si="12"/>
        <v>XXIX23FABIANA BARBOSA DOS SANTOS</v>
      </c>
      <c r="H160" s="40">
        <v>44176</v>
      </c>
      <c r="I160" s="35">
        <v>235000</v>
      </c>
      <c r="J160" s="35" t="s">
        <v>834</v>
      </c>
      <c r="K160" s="35">
        <v>228102.38</v>
      </c>
      <c r="L160" s="170">
        <f t="shared" si="13"/>
        <v>0.97064842553191488</v>
      </c>
      <c r="M160" s="154">
        <v>248968.28</v>
      </c>
      <c r="N160" s="170">
        <f t="shared" si="14"/>
        <v>0.9161905283677102</v>
      </c>
      <c r="O160" s="170">
        <f t="shared" si="15"/>
        <v>1.0719930107668796</v>
      </c>
      <c r="P160" s="170" t="e">
        <f>IF(A160=$X$29,K160/(D160*Vendas!$U$25),IF(A160=$X$30,K160/(D160*Vendas!$U$26),IF(A160=$X$31,K160/(D160*Vendas!$U$27),IF(A160=$X$32,K160/(D160*Vendas!$U$28),IF(A160=$X$33,K160/(D160*Vendas!$U$29),IF(A160=$X$34,K160/(D160*Vendas!$U$30),IF(A160=$X$35,K160/(D160*Vendas!$U$31),IF(A160=$X$36,K160/(D160*Vendas!$U$32),0))))))))</f>
        <v>#DIV/0!</v>
      </c>
      <c r="Q160" s="170" t="e">
        <f>IF(A160=$X$29,K160/(D160*Vendas!$U$25),IF(A160=$X$30,K160/(D160*Vendas!$U$26),IF(A160=$X$31,K160/(D160*Vendas!$U$27),IF(A160=$X$32,K160/(D160*Vendas!$U$28),IF(A160=$X$33,K160/(D160*Vendas!$U$29),IF(A160=$X$34,K160/(D160*Vendas!$U$30),IF(A160=$X$35,K160/(D160*Vendas!$U$31),IF(A160=$X$36,K160/(D160*Vendas!$U$32),0))))))))</f>
        <v>#DIV/0!</v>
      </c>
    </row>
    <row r="161" spans="1:17">
      <c r="A161" s="263" t="s">
        <v>35</v>
      </c>
      <c r="B161" s="337" t="s">
        <v>513</v>
      </c>
      <c r="C161" s="73">
        <v>33</v>
      </c>
      <c r="D161" s="315">
        <v>273.55</v>
      </c>
      <c r="E161" s="166">
        <v>4504</v>
      </c>
      <c r="F161" s="74" t="s">
        <v>416</v>
      </c>
      <c r="G161" s="34" t="str">
        <f t="shared" si="12"/>
        <v>XXIX33ROBERTO MARTINS</v>
      </c>
      <c r="H161" s="40">
        <v>42076</v>
      </c>
      <c r="I161" s="35">
        <v>140633.82</v>
      </c>
      <c r="J161" s="35" t="s">
        <v>834</v>
      </c>
      <c r="K161" s="35">
        <v>133661.78</v>
      </c>
      <c r="L161" s="170">
        <f t="shared" si="13"/>
        <v>0.95042415828568116</v>
      </c>
      <c r="M161" s="154">
        <v>219539.38</v>
      </c>
      <c r="N161" s="170">
        <f t="shared" si="14"/>
        <v>0.60882826579905613</v>
      </c>
      <c r="O161" s="170">
        <f t="shared" si="15"/>
        <v>0.81604370830649475</v>
      </c>
      <c r="P161" s="170" t="e">
        <f>IF(A161=$X$29,K161/(D161*Vendas!$U$25),IF(A161=$X$30,K161/(D161*Vendas!$U$26),IF(A161=$X$31,K161/(D161*Vendas!$U$27),IF(A161=$X$32,K161/(D161*Vendas!$U$28),IF(A161=$X$33,K161/(D161*Vendas!$U$29),IF(A161=$X$34,K161/(D161*Vendas!$U$30),IF(A161=$X$35,K161/(D161*Vendas!$U$31),IF(A161=$X$36,K161/(D161*Vendas!$U$32),0))))))))</f>
        <v>#DIV/0!</v>
      </c>
      <c r="Q161" s="170" t="e">
        <f>IF(A161=$X$29,K161/(D161*Vendas!$U$25),IF(A161=$X$30,K161/(D161*Vendas!$U$26),IF(A161=$X$31,K161/(D161*Vendas!$U$27),IF(A161=$X$32,K161/(D161*Vendas!$U$28),IF(A161=$X$33,K161/(D161*Vendas!$U$29),IF(A161=$X$34,K161/(D161*Vendas!$U$30),IF(A161=$X$35,K161/(D161*Vendas!$U$31),IF(A161=$X$36,K161/(D161*Vendas!$U$32),0))))))))</f>
        <v>#DIV/0!</v>
      </c>
    </row>
    <row r="162" spans="1:17">
      <c r="A162" s="263" t="s">
        <v>35</v>
      </c>
      <c r="B162" s="337" t="s">
        <v>513</v>
      </c>
      <c r="C162" s="166">
        <v>41</v>
      </c>
      <c r="D162" s="197">
        <v>258.7</v>
      </c>
      <c r="E162" s="166">
        <v>2553</v>
      </c>
      <c r="F162" s="338" t="s">
        <v>85</v>
      </c>
      <c r="G162" s="34" t="str">
        <f t="shared" si="12"/>
        <v>XXIX41AUREO SILVA CASTRO</v>
      </c>
      <c r="H162" s="40">
        <v>41445</v>
      </c>
      <c r="I162" s="35">
        <v>94839.42</v>
      </c>
      <c r="J162" s="35" t="s">
        <v>1250</v>
      </c>
      <c r="K162" s="35">
        <v>176340.32</v>
      </c>
      <c r="L162" s="170">
        <f t="shared" si="13"/>
        <v>1.8593567948855023</v>
      </c>
      <c r="M162" s="154">
        <v>210144.33000000002</v>
      </c>
      <c r="N162" s="170">
        <f t="shared" si="14"/>
        <v>0.83913908122098746</v>
      </c>
      <c r="O162" s="170">
        <f t="shared" si="15"/>
        <v>1.1384084095508378</v>
      </c>
      <c r="P162" s="170" t="e">
        <f>IF(A162=$X$29,K162/(D162*Vendas!$U$25),IF(A162=$X$30,K162/(D162*Vendas!$U$26),IF(A162=$X$31,K162/(D162*Vendas!$U$27),IF(A162=$X$32,K162/(D162*Vendas!$U$28),IF(A162=$X$33,K162/(D162*Vendas!$U$29),IF(A162=$X$34,K162/(D162*Vendas!$U$30),IF(A162=$X$35,K162/(D162*Vendas!$U$31),IF(A162=$X$36,K162/(D162*Vendas!$U$32),0))))))))</f>
        <v>#DIV/0!</v>
      </c>
      <c r="Q162" s="170" t="e">
        <f>IF(A162=$X$29,K162/(D162*Vendas!$U$25),IF(A162=$X$30,K162/(D162*Vendas!$U$26),IF(A162=$X$31,K162/(D162*Vendas!$U$27),IF(A162=$X$32,K162/(D162*Vendas!$U$28),IF(A162=$X$33,K162/(D162*Vendas!$U$29),IF(A162=$X$34,K162/(D162*Vendas!$U$30),IF(A162=$X$35,K162/(D162*Vendas!$U$31),IF(A162=$X$36,K162/(D162*Vendas!$U$32),0))))))))</f>
        <v>#DIV/0!</v>
      </c>
    </row>
    <row r="163" spans="1:17">
      <c r="A163" s="263" t="s">
        <v>35</v>
      </c>
      <c r="B163" s="337" t="s">
        <v>513</v>
      </c>
      <c r="C163" s="73">
        <v>43</v>
      </c>
      <c r="D163" s="315">
        <v>258.7</v>
      </c>
      <c r="E163" s="166">
        <v>2672</v>
      </c>
      <c r="F163" s="74" t="s">
        <v>915</v>
      </c>
      <c r="G163" s="34" t="str">
        <f t="shared" si="12"/>
        <v>XXIX43RODRIGO CHANAN LOPES DE JESUS</v>
      </c>
      <c r="H163" s="40">
        <v>41436</v>
      </c>
      <c r="I163" s="35">
        <v>94839.42</v>
      </c>
      <c r="J163" s="35" t="s">
        <v>834</v>
      </c>
      <c r="K163" s="35">
        <v>46835.58</v>
      </c>
      <c r="L163" s="170">
        <f t="shared" si="13"/>
        <v>0.49384085225320867</v>
      </c>
      <c r="M163" s="154">
        <v>172015.29</v>
      </c>
      <c r="N163" s="170">
        <f t="shared" si="14"/>
        <v>0.27227567967940525</v>
      </c>
      <c r="O163" s="170">
        <f t="shared" si="15"/>
        <v>0.30235863322801632</v>
      </c>
      <c r="P163" s="170" t="e">
        <f>IF(A163=$X$29,K163/(D163*Vendas!$U$25),IF(A163=$X$30,K163/(D163*Vendas!$U$26),IF(A163=$X$31,K163/(D163*Vendas!$U$27),IF(A163=$X$32,K163/(D163*Vendas!$U$28),IF(A163=$X$33,K163/(D163*Vendas!$U$29),IF(A163=$X$34,K163/(D163*Vendas!$U$30),IF(A163=$X$35,K163/(D163*Vendas!$U$31),IF(A163=$X$36,K163/(D163*Vendas!$U$32),0))))))))</f>
        <v>#DIV/0!</v>
      </c>
      <c r="Q163" s="170" t="e">
        <f>IF(A163=$X$29,K163/(D163*Vendas!$U$25),IF(A163=$X$30,K163/(D163*Vendas!$U$26),IF(A163=$X$31,K163/(D163*Vendas!$U$27),IF(A163=$X$32,K163/(D163*Vendas!$U$28),IF(A163=$X$33,K163/(D163*Vendas!$U$29),IF(A163=$X$34,K163/(D163*Vendas!$U$30),IF(A163=$X$35,K163/(D163*Vendas!$U$31),IF(A163=$X$36,K163/(D163*Vendas!$U$32),0))))))))</f>
        <v>#DIV/0!</v>
      </c>
    </row>
    <row r="164" spans="1:17">
      <c r="A164" s="263" t="s">
        <v>35</v>
      </c>
      <c r="B164" s="337" t="s">
        <v>513</v>
      </c>
      <c r="C164" s="166">
        <v>45</v>
      </c>
      <c r="D164" s="197">
        <v>258.7</v>
      </c>
      <c r="E164" s="166">
        <v>7131</v>
      </c>
      <c r="F164" s="338" t="s">
        <v>950</v>
      </c>
      <c r="G164" s="34" t="str">
        <f t="shared" si="12"/>
        <v>XXIX45LAIARA MARTINS BRASIL</v>
      </c>
      <c r="H164" s="40">
        <v>43560</v>
      </c>
      <c r="I164" s="35">
        <v>141000</v>
      </c>
      <c r="J164" s="35" t="s">
        <v>834</v>
      </c>
      <c r="K164" s="35">
        <v>36002.32</v>
      </c>
      <c r="L164" s="170">
        <f t="shared" si="13"/>
        <v>0.25533560283687945</v>
      </c>
      <c r="M164" s="154">
        <v>146998.6</v>
      </c>
      <c r="N164" s="170">
        <f t="shared" si="14"/>
        <v>0.244916074030637</v>
      </c>
      <c r="O164" s="170">
        <f t="shared" si="15"/>
        <v>0.23242185253684647</v>
      </c>
      <c r="P164" s="170" t="e">
        <f>IF(A164=$X$29,K164/(D164*Vendas!$U$25),IF(A164=$X$30,K164/(D164*Vendas!$U$26),IF(A164=$X$31,K164/(D164*Vendas!$U$27),IF(A164=$X$32,K164/(D164*Vendas!$U$28),IF(A164=$X$33,K164/(D164*Vendas!$U$29),IF(A164=$X$34,K164/(D164*Vendas!$U$30),IF(A164=$X$35,K164/(D164*Vendas!$U$31),IF(A164=$X$36,K164/(D164*Vendas!$U$32),0))))))))</f>
        <v>#DIV/0!</v>
      </c>
      <c r="Q164" s="170" t="e">
        <f>IF(A164=$X$29,K164/(D164*Vendas!$U$25),IF(A164=$X$30,K164/(D164*Vendas!$U$26),IF(A164=$X$31,K164/(D164*Vendas!$U$27),IF(A164=$X$32,K164/(D164*Vendas!$U$28),IF(A164=$X$33,K164/(D164*Vendas!$U$29),IF(A164=$X$34,K164/(D164*Vendas!$U$30),IF(A164=$X$35,K164/(D164*Vendas!$U$31),IF(A164=$X$36,K164/(D164*Vendas!$U$32),0))))))))</f>
        <v>#DIV/0!</v>
      </c>
    </row>
    <row r="165" spans="1:17">
      <c r="A165" s="263" t="s">
        <v>35</v>
      </c>
      <c r="B165" s="337" t="s">
        <v>514</v>
      </c>
      <c r="C165" s="73">
        <v>2</v>
      </c>
      <c r="D165" s="315">
        <v>253.02</v>
      </c>
      <c r="E165" s="166">
        <v>2421</v>
      </c>
      <c r="F165" s="74" t="s">
        <v>470</v>
      </c>
      <c r="G165" s="34" t="str">
        <f t="shared" si="12"/>
        <v>XXVI2VERA LUCIA GOMES MAGALHAES</v>
      </c>
      <c r="H165" s="40">
        <v>41441</v>
      </c>
      <c r="I165" s="35">
        <v>91567.94</v>
      </c>
      <c r="J165" s="35" t="s">
        <v>834</v>
      </c>
      <c r="K165" s="35">
        <v>66593.08</v>
      </c>
      <c r="L165" s="170">
        <f t="shared" si="13"/>
        <v>0.72725322858633712</v>
      </c>
      <c r="M165" s="154">
        <v>163156.76</v>
      </c>
      <c r="N165" s="170">
        <f t="shared" si="14"/>
        <v>0.40815397412892973</v>
      </c>
      <c r="O165" s="170">
        <f t="shared" si="15"/>
        <v>0.43955897294844898</v>
      </c>
      <c r="P165" s="170" t="e">
        <f>IF(A165=$X$29,K165/(D165*Vendas!$U$25),IF(A165=$X$30,K165/(D165*Vendas!$U$26),IF(A165=$X$31,K165/(D165*Vendas!$U$27),IF(A165=$X$32,K165/(D165*Vendas!$U$28),IF(A165=$X$33,K165/(D165*Vendas!$U$29),IF(A165=$X$34,K165/(D165*Vendas!$U$30),IF(A165=$X$35,K165/(D165*Vendas!$U$31),IF(A165=$X$36,K165/(D165*Vendas!$U$32),0))))))))</f>
        <v>#DIV/0!</v>
      </c>
      <c r="Q165" s="170" t="e">
        <f>IF(A165=$X$29,K165/(D165*Vendas!$U$25),IF(A165=$X$30,K165/(D165*Vendas!$U$26),IF(A165=$X$31,K165/(D165*Vendas!$U$27),IF(A165=$X$32,K165/(D165*Vendas!$U$28),IF(A165=$X$33,K165/(D165*Vendas!$U$29),IF(A165=$X$34,K165/(D165*Vendas!$U$30),IF(A165=$X$35,K165/(D165*Vendas!$U$31),IF(A165=$X$36,K165/(D165*Vendas!$U$32),0))))))))</f>
        <v>#DIV/0!</v>
      </c>
    </row>
    <row r="166" spans="1:17">
      <c r="A166" s="263" t="s">
        <v>35</v>
      </c>
      <c r="B166" s="337" t="s">
        <v>514</v>
      </c>
      <c r="C166" s="166">
        <v>9</v>
      </c>
      <c r="D166" s="197">
        <v>262.81</v>
      </c>
      <c r="E166" s="166">
        <v>3456</v>
      </c>
      <c r="F166" s="338" t="s">
        <v>1114</v>
      </c>
      <c r="G166" s="34" t="str">
        <f t="shared" si="12"/>
        <v>XXVI9MARCELO BUOSI BRIANEZI</v>
      </c>
      <c r="H166" s="40">
        <v>43803</v>
      </c>
      <c r="I166" s="35">
        <v>161680</v>
      </c>
      <c r="J166" s="35" t="s">
        <v>834</v>
      </c>
      <c r="K166" s="35">
        <v>56668.51</v>
      </c>
      <c r="L166" s="170">
        <f t="shared" si="13"/>
        <v>0.35049795893122215</v>
      </c>
      <c r="M166" s="154">
        <v>166233.97</v>
      </c>
      <c r="N166" s="170">
        <f t="shared" si="14"/>
        <v>0.34089608760471762</v>
      </c>
      <c r="O166" s="170">
        <f t="shared" si="15"/>
        <v>0.36011632289162393</v>
      </c>
      <c r="P166" s="170" t="e">
        <f>IF(A166=$X$29,K166/(D166*Vendas!$U$25),IF(A166=$X$30,K166/(D166*Vendas!$U$26),IF(A166=$X$31,K166/(D166*Vendas!$U$27),IF(A166=$X$32,K166/(D166*Vendas!$U$28),IF(A166=$X$33,K166/(D166*Vendas!$U$29),IF(A166=$X$34,K166/(D166*Vendas!$U$30),IF(A166=$X$35,K166/(D166*Vendas!$U$31),IF(A166=$X$36,K166/(D166*Vendas!$U$32),0))))))))</f>
        <v>#DIV/0!</v>
      </c>
      <c r="Q166" s="170" t="e">
        <f>IF(A166=$X$29,K166/(D166*Vendas!$U$25),IF(A166=$X$30,K166/(D166*Vendas!$U$26),IF(A166=$X$31,K166/(D166*Vendas!$U$27),IF(A166=$X$32,K166/(D166*Vendas!$U$28),IF(A166=$X$33,K166/(D166*Vendas!$U$29),IF(A166=$X$34,K166/(D166*Vendas!$U$30),IF(A166=$X$35,K166/(D166*Vendas!$U$31),IF(A166=$X$36,K166/(D166*Vendas!$U$32),0))))))))</f>
        <v>#DIV/0!</v>
      </c>
    </row>
    <row r="167" spans="1:17">
      <c r="A167" s="263" t="s">
        <v>35</v>
      </c>
      <c r="B167" s="337" t="s">
        <v>515</v>
      </c>
      <c r="C167" s="73">
        <v>5</v>
      </c>
      <c r="D167" s="315">
        <v>262.25</v>
      </c>
      <c r="E167" s="166">
        <v>2645</v>
      </c>
      <c r="F167" s="74" t="s">
        <v>112</v>
      </c>
      <c r="G167" s="34" t="str">
        <f t="shared" si="12"/>
        <v>XXVII5CLAUDIA THAIS BERA</v>
      </c>
      <c r="H167" s="40">
        <v>41454</v>
      </c>
      <c r="I167" s="35">
        <v>96140.85</v>
      </c>
      <c r="J167" s="35" t="s">
        <v>1249</v>
      </c>
      <c r="K167" s="35">
        <v>98044.87</v>
      </c>
      <c r="L167" s="170">
        <f t="shared" si="13"/>
        <v>1.0198044847741619</v>
      </c>
      <c r="M167" s="154">
        <v>192451.59</v>
      </c>
      <c r="N167" s="170">
        <f t="shared" si="14"/>
        <v>0.5094521172831048</v>
      </c>
      <c r="O167" s="170">
        <f t="shared" si="15"/>
        <v>0.62438473603236333</v>
      </c>
      <c r="P167" s="170" t="e">
        <f>IF(A167=$X$29,K167/(D167*Vendas!$U$25),IF(A167=$X$30,K167/(D167*Vendas!$U$26),IF(A167=$X$31,K167/(D167*Vendas!$U$27),IF(A167=$X$32,K167/(D167*Vendas!$U$28),IF(A167=$X$33,K167/(D167*Vendas!$U$29),IF(A167=$X$34,K167/(D167*Vendas!$U$30),IF(A167=$X$35,K167/(D167*Vendas!$U$31),IF(A167=$X$36,K167/(D167*Vendas!$U$32),0))))))))</f>
        <v>#DIV/0!</v>
      </c>
      <c r="Q167" s="170" t="e">
        <f>IF(A167=$X$29,K167/(D167*Vendas!$U$25),IF(A167=$X$30,K167/(D167*Vendas!$U$26),IF(A167=$X$31,K167/(D167*Vendas!$U$27),IF(A167=$X$32,K167/(D167*Vendas!$U$28),IF(A167=$X$33,K167/(D167*Vendas!$U$29),IF(A167=$X$34,K167/(D167*Vendas!$U$30),IF(A167=$X$35,K167/(D167*Vendas!$U$31),IF(A167=$X$36,K167/(D167*Vendas!$U$32),0))))))))</f>
        <v>#DIV/0!</v>
      </c>
    </row>
    <row r="168" spans="1:17">
      <c r="A168" s="263" t="s">
        <v>35</v>
      </c>
      <c r="B168" s="337" t="s">
        <v>515</v>
      </c>
      <c r="C168" s="166">
        <v>6</v>
      </c>
      <c r="D168" s="197">
        <v>262.25</v>
      </c>
      <c r="E168" s="166">
        <v>2699</v>
      </c>
      <c r="F168" s="338" t="s">
        <v>122</v>
      </c>
      <c r="G168" s="34" t="str">
        <f t="shared" si="12"/>
        <v>XXVII6DALMO CORREIA</v>
      </c>
      <c r="H168" s="40">
        <v>41467</v>
      </c>
      <c r="I168" s="35">
        <v>96140.85</v>
      </c>
      <c r="J168" s="35" t="s">
        <v>834</v>
      </c>
      <c r="K168" s="35">
        <v>50894.69</v>
      </c>
      <c r="L168" s="170">
        <f t="shared" si="13"/>
        <v>0.52937632650429034</v>
      </c>
      <c r="M168" s="154">
        <v>206336.98</v>
      </c>
      <c r="N168" s="170">
        <f t="shared" si="14"/>
        <v>0.24665811237520294</v>
      </c>
      <c r="O168" s="170">
        <f t="shared" si="15"/>
        <v>0.32411555628661615</v>
      </c>
      <c r="P168" s="170" t="e">
        <f>IF(A168=$X$29,K168/(D168*Vendas!$U$25),IF(A168=$X$30,K168/(D168*Vendas!$U$26),IF(A168=$X$31,K168/(D168*Vendas!$U$27),IF(A168=$X$32,K168/(D168*Vendas!$U$28),IF(A168=$X$33,K168/(D168*Vendas!$U$29),IF(A168=$X$34,K168/(D168*Vendas!$U$30),IF(A168=$X$35,K168/(D168*Vendas!$U$31),IF(A168=$X$36,K168/(D168*Vendas!$U$32),0))))))))</f>
        <v>#DIV/0!</v>
      </c>
      <c r="Q168" s="170" t="e">
        <f>IF(A168=$X$29,K168/(D168*Vendas!$U$25),IF(A168=$X$30,K168/(D168*Vendas!$U$26),IF(A168=$X$31,K168/(D168*Vendas!$U$27),IF(A168=$X$32,K168/(D168*Vendas!$U$28),IF(A168=$X$33,K168/(D168*Vendas!$U$29),IF(A168=$X$34,K168/(D168*Vendas!$U$30),IF(A168=$X$35,K168/(D168*Vendas!$U$31),IF(A168=$X$36,K168/(D168*Vendas!$U$32),0))))))))</f>
        <v>#DIV/0!</v>
      </c>
    </row>
    <row r="169" spans="1:17">
      <c r="A169" s="263" t="s">
        <v>35</v>
      </c>
      <c r="B169" s="337" t="s">
        <v>515</v>
      </c>
      <c r="C169" s="73">
        <v>7</v>
      </c>
      <c r="D169" s="315">
        <v>262.25</v>
      </c>
      <c r="E169" s="166">
        <v>2740</v>
      </c>
      <c r="F169" s="74" t="s">
        <v>641</v>
      </c>
      <c r="G169" s="34" t="str">
        <f t="shared" si="12"/>
        <v>XXVII7CARLOS HENRIQUE NAVARRO MAZZEO</v>
      </c>
      <c r="H169" s="40">
        <v>41472</v>
      </c>
      <c r="I169" s="35">
        <v>96140.85</v>
      </c>
      <c r="J169" s="35" t="s">
        <v>1250</v>
      </c>
      <c r="K169" s="35">
        <v>164350.48000000001</v>
      </c>
      <c r="L169" s="170">
        <f t="shared" si="13"/>
        <v>1.7094760447822128</v>
      </c>
      <c r="M169" s="154">
        <v>198341.05000000002</v>
      </c>
      <c r="N169" s="170">
        <f t="shared" si="14"/>
        <v>0.82862564254852944</v>
      </c>
      <c r="O169" s="170">
        <f t="shared" si="15"/>
        <v>1.0466425328688</v>
      </c>
      <c r="P169" s="170" t="e">
        <f>IF(A169=$X$29,K169/(D169*Vendas!$U$25),IF(A169=$X$30,K169/(D169*Vendas!$U$26),IF(A169=$X$31,K169/(D169*Vendas!$U$27),IF(A169=$X$32,K169/(D169*Vendas!$U$28),IF(A169=$X$33,K169/(D169*Vendas!$U$29),IF(A169=$X$34,K169/(D169*Vendas!$U$30),IF(A169=$X$35,K169/(D169*Vendas!$U$31),IF(A169=$X$36,K169/(D169*Vendas!$U$32),0))))))))</f>
        <v>#DIV/0!</v>
      </c>
      <c r="Q169" s="170" t="e">
        <f>IF(A169=$X$29,K169/(D169*Vendas!$U$25),IF(A169=$X$30,K169/(D169*Vendas!$U$26),IF(A169=$X$31,K169/(D169*Vendas!$U$27),IF(A169=$X$32,K169/(D169*Vendas!$U$28),IF(A169=$X$33,K169/(D169*Vendas!$U$29),IF(A169=$X$34,K169/(D169*Vendas!$U$30),IF(A169=$X$35,K169/(D169*Vendas!$U$31),IF(A169=$X$36,K169/(D169*Vendas!$U$32),0))))))))</f>
        <v>#DIV/0!</v>
      </c>
    </row>
    <row r="170" spans="1:17">
      <c r="A170" s="263" t="s">
        <v>35</v>
      </c>
      <c r="B170" s="337" t="s">
        <v>515</v>
      </c>
      <c r="C170" s="166">
        <v>8</v>
      </c>
      <c r="D170" s="197">
        <v>262.25</v>
      </c>
      <c r="E170" s="166">
        <v>2714</v>
      </c>
      <c r="F170" s="338" t="s">
        <v>224</v>
      </c>
      <c r="G170" s="34" t="str">
        <f t="shared" si="12"/>
        <v>XXVII8GILDETE RODRIGUES DA CRUZ</v>
      </c>
      <c r="H170" s="40">
        <v>41468</v>
      </c>
      <c r="I170" s="35">
        <v>96140.85</v>
      </c>
      <c r="J170" s="35" t="s">
        <v>1250</v>
      </c>
      <c r="K170" s="35">
        <v>161446.56</v>
      </c>
      <c r="L170" s="170">
        <f t="shared" si="13"/>
        <v>1.6792711942946208</v>
      </c>
      <c r="M170" s="154">
        <v>197051.17</v>
      </c>
      <c r="N170" s="170">
        <f t="shared" si="14"/>
        <v>0.81931287187992841</v>
      </c>
      <c r="O170" s="170">
        <f t="shared" si="15"/>
        <v>1.0281493335544543</v>
      </c>
      <c r="P170" s="170" t="e">
        <f>IF(A170=$X$29,K170/(D170*Vendas!$U$25),IF(A170=$X$30,K170/(D170*Vendas!$U$26),IF(A170=$X$31,K170/(D170*Vendas!$U$27),IF(A170=$X$32,K170/(D170*Vendas!$U$28),IF(A170=$X$33,K170/(D170*Vendas!$U$29),IF(A170=$X$34,K170/(D170*Vendas!$U$30),IF(A170=$X$35,K170/(D170*Vendas!$U$31),IF(A170=$X$36,K170/(D170*Vendas!$U$32),0))))))))</f>
        <v>#DIV/0!</v>
      </c>
      <c r="Q170" s="170" t="e">
        <f>IF(A170=$X$29,K170/(D170*Vendas!$U$25),IF(A170=$X$30,K170/(D170*Vendas!$U$26),IF(A170=$X$31,K170/(D170*Vendas!$U$27),IF(A170=$X$32,K170/(D170*Vendas!$U$28),IF(A170=$X$33,K170/(D170*Vendas!$U$29),IF(A170=$X$34,K170/(D170*Vendas!$U$30),IF(A170=$X$35,K170/(D170*Vendas!$U$31),IF(A170=$X$36,K170/(D170*Vendas!$U$32),0))))))))</f>
        <v>#DIV/0!</v>
      </c>
    </row>
    <row r="171" spans="1:17">
      <c r="A171" s="263" t="s">
        <v>35</v>
      </c>
      <c r="B171" s="337" t="s">
        <v>515</v>
      </c>
      <c r="C171" s="73">
        <v>11</v>
      </c>
      <c r="D171" s="315">
        <v>262.25</v>
      </c>
      <c r="E171" s="166">
        <v>2324</v>
      </c>
      <c r="F171" s="74" t="s">
        <v>204</v>
      </c>
      <c r="G171" s="34" t="str">
        <f t="shared" si="12"/>
        <v>XXVII11FABIO AUGUSTO GUIRARDELLI</v>
      </c>
      <c r="H171" s="40">
        <v>41445</v>
      </c>
      <c r="I171" s="35">
        <v>96140.85</v>
      </c>
      <c r="J171" s="35" t="s">
        <v>834</v>
      </c>
      <c r="K171" s="35">
        <v>86763.64</v>
      </c>
      <c r="L171" s="170">
        <f t="shared" si="13"/>
        <v>0.90246383301166977</v>
      </c>
      <c r="M171" s="154">
        <v>176657.78</v>
      </c>
      <c r="N171" s="170">
        <f t="shared" si="14"/>
        <v>0.49113964864723197</v>
      </c>
      <c r="O171" s="170">
        <f t="shared" si="15"/>
        <v>0.55254183577995464</v>
      </c>
      <c r="P171" s="170" t="e">
        <f>IF(A171=$X$29,K171/(D171*Vendas!$U$25),IF(A171=$X$30,K171/(D171*Vendas!$U$26),IF(A171=$X$31,K171/(D171*Vendas!$U$27),IF(A171=$X$32,K171/(D171*Vendas!$U$28),IF(A171=$X$33,K171/(D171*Vendas!$U$29),IF(A171=$X$34,K171/(D171*Vendas!$U$30),IF(A171=$X$35,K171/(D171*Vendas!$U$31),IF(A171=$X$36,K171/(D171*Vendas!$U$32),0))))))))</f>
        <v>#DIV/0!</v>
      </c>
      <c r="Q171" s="170" t="e">
        <f>IF(A171=$X$29,K171/(D171*Vendas!$U$25),IF(A171=$X$30,K171/(D171*Vendas!$U$26),IF(A171=$X$31,K171/(D171*Vendas!$U$27),IF(A171=$X$32,K171/(D171*Vendas!$U$28),IF(A171=$X$33,K171/(D171*Vendas!$U$29),IF(A171=$X$34,K171/(D171*Vendas!$U$30),IF(A171=$X$35,K171/(D171*Vendas!$U$31),IF(A171=$X$36,K171/(D171*Vendas!$U$32),0))))))))</f>
        <v>#DIV/0!</v>
      </c>
    </row>
    <row r="172" spans="1:17">
      <c r="A172" s="263" t="s">
        <v>35</v>
      </c>
      <c r="B172" s="337" t="s">
        <v>515</v>
      </c>
      <c r="C172" s="166">
        <v>13</v>
      </c>
      <c r="D172" s="197">
        <v>262.25</v>
      </c>
      <c r="E172" s="166">
        <v>2619</v>
      </c>
      <c r="F172" s="338" t="s">
        <v>290</v>
      </c>
      <c r="G172" s="34" t="str">
        <f t="shared" si="12"/>
        <v>XXVII13JULIANO CEZARIO BORTOLASSI</v>
      </c>
      <c r="H172" s="40">
        <v>41461</v>
      </c>
      <c r="I172" s="35">
        <v>99838.57</v>
      </c>
      <c r="J172" s="35" t="s">
        <v>1249</v>
      </c>
      <c r="K172" s="35">
        <v>37464.75</v>
      </c>
      <c r="L172" s="170">
        <f t="shared" si="13"/>
        <v>0.37525327135594988</v>
      </c>
      <c r="M172" s="154">
        <v>151618.48000000001</v>
      </c>
      <c r="N172" s="170">
        <f t="shared" si="14"/>
        <v>0.2470988365006693</v>
      </c>
      <c r="O172" s="170">
        <f t="shared" si="15"/>
        <v>0.23858890362411095</v>
      </c>
      <c r="P172" s="170" t="e">
        <f>IF(A172=$X$29,K172/(D172*Vendas!$U$25),IF(A172=$X$30,K172/(D172*Vendas!$U$26),IF(A172=$X$31,K172/(D172*Vendas!$U$27),IF(A172=$X$32,K172/(D172*Vendas!$U$28),IF(A172=$X$33,K172/(D172*Vendas!$U$29),IF(A172=$X$34,K172/(D172*Vendas!$U$30),IF(A172=$X$35,K172/(D172*Vendas!$U$31),IF(A172=$X$36,K172/(D172*Vendas!$U$32),0))))))))</f>
        <v>#DIV/0!</v>
      </c>
      <c r="Q172" s="170" t="e">
        <f>IF(A172=$X$29,K172/(D172*Vendas!$U$25),IF(A172=$X$30,K172/(D172*Vendas!$U$26),IF(A172=$X$31,K172/(D172*Vendas!$U$27),IF(A172=$X$32,K172/(D172*Vendas!$U$28),IF(A172=$X$33,K172/(D172*Vendas!$U$29),IF(A172=$X$34,K172/(D172*Vendas!$U$30),IF(A172=$X$35,K172/(D172*Vendas!$U$31),IF(A172=$X$36,K172/(D172*Vendas!$U$32),0))))))))</f>
        <v>#DIV/0!</v>
      </c>
    </row>
    <row r="173" spans="1:17">
      <c r="A173" s="263" t="s">
        <v>35</v>
      </c>
      <c r="B173" s="337" t="s">
        <v>515</v>
      </c>
      <c r="C173" s="73">
        <v>16</v>
      </c>
      <c r="D173" s="315">
        <v>262.25</v>
      </c>
      <c r="E173" s="166">
        <v>2333</v>
      </c>
      <c r="F173" s="74" t="s">
        <v>320</v>
      </c>
      <c r="G173" s="34" t="str">
        <f t="shared" si="12"/>
        <v>XXVII16LUIZ FERNANDO PERISOTTO TEXEIRA</v>
      </c>
      <c r="H173" s="40">
        <v>41446</v>
      </c>
      <c r="I173" s="35">
        <v>99838.57</v>
      </c>
      <c r="J173" s="35" t="s">
        <v>834</v>
      </c>
      <c r="K173" s="35">
        <v>67109.77</v>
      </c>
      <c r="L173" s="170">
        <f t="shared" si="13"/>
        <v>0.67218280470162983</v>
      </c>
      <c r="M173" s="154">
        <v>180205.44</v>
      </c>
      <c r="N173" s="170">
        <f t="shared" si="14"/>
        <v>0.37240701501575091</v>
      </c>
      <c r="O173" s="170">
        <f t="shared" si="15"/>
        <v>0.42737897481676113</v>
      </c>
      <c r="P173" s="170" t="e">
        <f>IF(A173=$X$29,K173/(D173*Vendas!$U$25),IF(A173=$X$30,K173/(D173*Vendas!$U$26),IF(A173=$X$31,K173/(D173*Vendas!$U$27),IF(A173=$X$32,K173/(D173*Vendas!$U$28),IF(A173=$X$33,K173/(D173*Vendas!$U$29),IF(A173=$X$34,K173/(D173*Vendas!$U$30),IF(A173=$X$35,K173/(D173*Vendas!$U$31),IF(A173=$X$36,K173/(D173*Vendas!$U$32),0))))))))</f>
        <v>#DIV/0!</v>
      </c>
      <c r="Q173" s="170" t="e">
        <f>IF(A173=$X$29,K173/(D173*Vendas!$U$25),IF(A173=$X$30,K173/(D173*Vendas!$U$26),IF(A173=$X$31,K173/(D173*Vendas!$U$27),IF(A173=$X$32,K173/(D173*Vendas!$U$28),IF(A173=$X$33,K173/(D173*Vendas!$U$29),IF(A173=$X$34,K173/(D173*Vendas!$U$30),IF(A173=$X$35,K173/(D173*Vendas!$U$31),IF(A173=$X$36,K173/(D173*Vendas!$U$32),0))))))))</f>
        <v>#DIV/0!</v>
      </c>
    </row>
    <row r="174" spans="1:17">
      <c r="A174" s="263" t="s">
        <v>35</v>
      </c>
      <c r="B174" s="337" t="s">
        <v>515</v>
      </c>
      <c r="C174" s="166">
        <v>17</v>
      </c>
      <c r="D174" s="197">
        <v>262.25</v>
      </c>
      <c r="E174" s="166">
        <v>2331</v>
      </c>
      <c r="F174" s="338" t="s">
        <v>320</v>
      </c>
      <c r="G174" s="34" t="str">
        <f t="shared" si="12"/>
        <v>XXVII17LUIZ FERNANDO PERISOTTO TEXEIRA</v>
      </c>
      <c r="H174" s="40">
        <v>41445</v>
      </c>
      <c r="I174" s="35">
        <v>99838.57</v>
      </c>
      <c r="J174" s="35" t="s">
        <v>834</v>
      </c>
      <c r="K174" s="35">
        <v>71578.86</v>
      </c>
      <c r="L174" s="170">
        <f t="shared" si="13"/>
        <v>0.71694596587270831</v>
      </c>
      <c r="M174" s="154">
        <v>183541.33000000002</v>
      </c>
      <c r="N174" s="170">
        <f t="shared" si="14"/>
        <v>0.38998769377992409</v>
      </c>
      <c r="O174" s="170">
        <f t="shared" si="15"/>
        <v>0.45583973548639001</v>
      </c>
      <c r="P174" s="170" t="e">
        <f>IF(A174=$X$29,K174/(D174*Vendas!$U$25),IF(A174=$X$30,K174/(D174*Vendas!$U$26),IF(A174=$X$31,K174/(D174*Vendas!$U$27),IF(A174=$X$32,K174/(D174*Vendas!$U$28),IF(A174=$X$33,K174/(D174*Vendas!$U$29),IF(A174=$X$34,K174/(D174*Vendas!$U$30),IF(A174=$X$35,K174/(D174*Vendas!$U$31),IF(A174=$X$36,K174/(D174*Vendas!$U$32),0))))))))</f>
        <v>#DIV/0!</v>
      </c>
      <c r="Q174" s="170" t="e">
        <f>IF(A174=$X$29,K174/(D174*Vendas!$U$25),IF(A174=$X$30,K174/(D174*Vendas!$U$26),IF(A174=$X$31,K174/(D174*Vendas!$U$27),IF(A174=$X$32,K174/(D174*Vendas!$U$28),IF(A174=$X$33,K174/(D174*Vendas!$U$29),IF(A174=$X$34,K174/(D174*Vendas!$U$30),IF(A174=$X$35,K174/(D174*Vendas!$U$31),IF(A174=$X$36,K174/(D174*Vendas!$U$32),0))))))))</f>
        <v>#DIV/0!</v>
      </c>
    </row>
    <row r="175" spans="1:17">
      <c r="A175" s="263" t="s">
        <v>35</v>
      </c>
      <c r="B175" s="337" t="s">
        <v>516</v>
      </c>
      <c r="C175" s="73">
        <v>8</v>
      </c>
      <c r="D175" s="315">
        <v>331.75</v>
      </c>
      <c r="E175" s="166">
        <v>2587</v>
      </c>
      <c r="F175" s="74" t="s">
        <v>364</v>
      </c>
      <c r="G175" s="34" t="str">
        <f t="shared" si="12"/>
        <v>XXVIII8MARLY APARECIDA BORGES KOTINDA</v>
      </c>
      <c r="H175" s="40">
        <v>41436</v>
      </c>
      <c r="I175" s="35">
        <v>124738</v>
      </c>
      <c r="J175" s="35" t="s">
        <v>834</v>
      </c>
      <c r="K175" s="35">
        <v>112156.8</v>
      </c>
      <c r="L175" s="170">
        <f t="shared" si="13"/>
        <v>0.89913899533422059</v>
      </c>
      <c r="M175" s="154">
        <v>200431.6</v>
      </c>
      <c r="N175" s="170">
        <f t="shared" si="14"/>
        <v>0.55957643405530866</v>
      </c>
      <c r="O175" s="170">
        <f t="shared" si="15"/>
        <v>0.56462171603512035</v>
      </c>
      <c r="P175" s="170" t="e">
        <f>IF(A175=$X$29,K175/(D175*Vendas!$U$25),IF(A175=$X$30,K175/(D175*Vendas!$U$26),IF(A175=$X$31,K175/(D175*Vendas!$U$27),IF(A175=$X$32,K175/(D175*Vendas!$U$28),IF(A175=$X$33,K175/(D175*Vendas!$U$29),IF(A175=$X$34,K175/(D175*Vendas!$U$30),IF(A175=$X$35,K175/(D175*Vendas!$U$31),IF(A175=$X$36,K175/(D175*Vendas!$U$32),0))))))))</f>
        <v>#DIV/0!</v>
      </c>
      <c r="Q175" s="170" t="e">
        <f>IF(A175=$X$29,K175/(D175*Vendas!$U$25),IF(A175=$X$30,K175/(D175*Vendas!$U$26),IF(A175=$X$31,K175/(D175*Vendas!$U$27),IF(A175=$X$32,K175/(D175*Vendas!$U$28),IF(A175=$X$33,K175/(D175*Vendas!$U$29),IF(A175=$X$34,K175/(D175*Vendas!$U$30),IF(A175=$X$35,K175/(D175*Vendas!$U$31),IF(A175=$X$36,K175/(D175*Vendas!$U$32),0))))))))</f>
        <v>#DIV/0!</v>
      </c>
    </row>
    <row r="176" spans="1:17">
      <c r="A176" s="263" t="s">
        <v>35</v>
      </c>
      <c r="B176" s="337" t="s">
        <v>516</v>
      </c>
      <c r="C176" s="166">
        <v>10</v>
      </c>
      <c r="D176" s="197">
        <v>280.05</v>
      </c>
      <c r="E176" s="166">
        <v>2615</v>
      </c>
      <c r="F176" s="338" t="s">
        <v>110</v>
      </c>
      <c r="G176" s="34" t="str">
        <f t="shared" si="12"/>
        <v>XXVIII10CILAS FONSECA VIANNA</v>
      </c>
      <c r="H176" s="40">
        <v>41442</v>
      </c>
      <c r="I176" s="35">
        <v>105298.8</v>
      </c>
      <c r="J176" s="35" t="s">
        <v>834</v>
      </c>
      <c r="K176" s="35">
        <v>106778.73</v>
      </c>
      <c r="L176" s="170">
        <f t="shared" si="13"/>
        <v>1.0140545761205255</v>
      </c>
      <c r="M176" s="154">
        <v>205981.91</v>
      </c>
      <c r="N176" s="170">
        <f t="shared" si="14"/>
        <v>0.51838887211017703</v>
      </c>
      <c r="O176" s="170">
        <f t="shared" si="15"/>
        <v>0.63678389870034657</v>
      </c>
      <c r="P176" s="170" t="e">
        <f>IF(A176=$X$29,K176/(D176*Vendas!$U$25),IF(A176=$X$30,K176/(D176*Vendas!$U$26),IF(A176=$X$31,K176/(D176*Vendas!$U$27),IF(A176=$X$32,K176/(D176*Vendas!$U$28),IF(A176=$X$33,K176/(D176*Vendas!$U$29),IF(A176=$X$34,K176/(D176*Vendas!$U$30),IF(A176=$X$35,K176/(D176*Vendas!$U$31),IF(A176=$X$36,K176/(D176*Vendas!$U$32),0))))))))</f>
        <v>#DIV/0!</v>
      </c>
      <c r="Q176" s="170" t="e">
        <f>IF(A176=$X$29,K176/(D176*Vendas!$U$25),IF(A176=$X$30,K176/(D176*Vendas!$U$26),IF(A176=$X$31,K176/(D176*Vendas!$U$27),IF(A176=$X$32,K176/(D176*Vendas!$U$28),IF(A176=$X$33,K176/(D176*Vendas!$U$29),IF(A176=$X$34,K176/(D176*Vendas!$U$30),IF(A176=$X$35,K176/(D176*Vendas!$U$31),IF(A176=$X$36,K176/(D176*Vendas!$U$32),0))))))))</f>
        <v>#DIV/0!</v>
      </c>
    </row>
    <row r="177" spans="1:17">
      <c r="A177" s="263" t="s">
        <v>35</v>
      </c>
      <c r="B177" s="337" t="s">
        <v>517</v>
      </c>
      <c r="C177" s="73">
        <v>1</v>
      </c>
      <c r="D177" s="315">
        <v>317.64</v>
      </c>
      <c r="E177" s="166">
        <v>2605</v>
      </c>
      <c r="F177" s="74" t="s">
        <v>219</v>
      </c>
      <c r="G177" s="34" t="str">
        <f t="shared" si="12"/>
        <v>XXX1GABRIEL GARCIA BOGO</v>
      </c>
      <c r="H177" s="40">
        <v>41449</v>
      </c>
      <c r="I177" s="35">
        <v>116446.82</v>
      </c>
      <c r="J177" s="35" t="s">
        <v>834</v>
      </c>
      <c r="K177" s="35">
        <v>192525.72</v>
      </c>
      <c r="L177" s="170">
        <f t="shared" si="13"/>
        <v>1.6533360035078672</v>
      </c>
      <c r="M177" s="154">
        <v>236223.76</v>
      </c>
      <c r="N177" s="170">
        <f t="shared" si="14"/>
        <v>0.81501420517563516</v>
      </c>
      <c r="O177" s="170">
        <f t="shared" si="15"/>
        <v>1.0122702381438327</v>
      </c>
      <c r="P177" s="170" t="e">
        <f>IF(A177=$X$29,K177/(D177*Vendas!$U$25),IF(A177=$X$30,K177/(D177*Vendas!$U$26),IF(A177=$X$31,K177/(D177*Vendas!$U$27),IF(A177=$X$32,K177/(D177*Vendas!$U$28),IF(A177=$X$33,K177/(D177*Vendas!$U$29),IF(A177=$X$34,K177/(D177*Vendas!$U$30),IF(A177=$X$35,K177/(D177*Vendas!$U$31),IF(A177=$X$36,K177/(D177*Vendas!$U$32),0))))))))</f>
        <v>#DIV/0!</v>
      </c>
      <c r="Q177" s="170" t="e">
        <f>IF(A177=$X$29,K177/(D177*Vendas!$U$25),IF(A177=$X$30,K177/(D177*Vendas!$U$26),IF(A177=$X$31,K177/(D177*Vendas!$U$27),IF(A177=$X$32,K177/(D177*Vendas!$U$28),IF(A177=$X$33,K177/(D177*Vendas!$U$29),IF(A177=$X$34,K177/(D177*Vendas!$U$30),IF(A177=$X$35,K177/(D177*Vendas!$U$31),IF(A177=$X$36,K177/(D177*Vendas!$U$32),0))))))))</f>
        <v>#DIV/0!</v>
      </c>
    </row>
    <row r="178" spans="1:17">
      <c r="A178" s="263" t="s">
        <v>35</v>
      </c>
      <c r="B178" s="337" t="s">
        <v>517</v>
      </c>
      <c r="C178" s="166">
        <v>2</v>
      </c>
      <c r="D178" s="197">
        <v>259.51</v>
      </c>
      <c r="E178" s="166">
        <v>2539</v>
      </c>
      <c r="F178" s="338" t="s">
        <v>419</v>
      </c>
      <c r="G178" s="34" t="str">
        <f t="shared" si="12"/>
        <v>XXX2ROBSON CAMILLO DE SOUZA</v>
      </c>
      <c r="H178" s="40">
        <v>41453</v>
      </c>
      <c r="I178" s="35">
        <v>95136.37</v>
      </c>
      <c r="J178" s="35" t="s">
        <v>834</v>
      </c>
      <c r="K178" s="35">
        <v>96315.35</v>
      </c>
      <c r="L178" s="170">
        <f t="shared" si="13"/>
        <v>1.012392526643596</v>
      </c>
      <c r="M178" s="154">
        <v>186484.94</v>
      </c>
      <c r="N178" s="170">
        <f t="shared" si="14"/>
        <v>0.51647789896599694</v>
      </c>
      <c r="O178" s="170">
        <f t="shared" si="15"/>
        <v>0.61984672211655889</v>
      </c>
      <c r="P178" s="170" t="e">
        <f>IF(A178=$X$29,K178/(D178*Vendas!$U$25),IF(A178=$X$30,K178/(D178*Vendas!$U$26),IF(A178=$X$31,K178/(D178*Vendas!$U$27),IF(A178=$X$32,K178/(D178*Vendas!$U$28),IF(A178=$X$33,K178/(D178*Vendas!$U$29),IF(A178=$X$34,K178/(D178*Vendas!$U$30),IF(A178=$X$35,K178/(D178*Vendas!$U$31),IF(A178=$X$36,K178/(D178*Vendas!$U$32),0))))))))</f>
        <v>#DIV/0!</v>
      </c>
      <c r="Q178" s="170" t="e">
        <f>IF(A178=$X$29,K178/(D178*Vendas!$U$25),IF(A178=$X$30,K178/(D178*Vendas!$U$26),IF(A178=$X$31,K178/(D178*Vendas!$U$27),IF(A178=$X$32,K178/(D178*Vendas!$U$28),IF(A178=$X$33,K178/(D178*Vendas!$U$29),IF(A178=$X$34,K178/(D178*Vendas!$U$30),IF(A178=$X$35,K178/(D178*Vendas!$U$31),IF(A178=$X$36,K178/(D178*Vendas!$U$32),0))))))))</f>
        <v>#DIV/0!</v>
      </c>
    </row>
    <row r="179" spans="1:17">
      <c r="A179" s="263" t="s">
        <v>35</v>
      </c>
      <c r="B179" s="337" t="s">
        <v>517</v>
      </c>
      <c r="C179" s="73">
        <v>3</v>
      </c>
      <c r="D179" s="315">
        <v>259.51</v>
      </c>
      <c r="E179" s="166">
        <v>2465</v>
      </c>
      <c r="F179" s="74" t="s">
        <v>184</v>
      </c>
      <c r="G179" s="34" t="str">
        <f t="shared" si="12"/>
        <v>XXX3ELOUISE BATISTI DE SOUZA</v>
      </c>
      <c r="H179" s="40">
        <v>41452</v>
      </c>
      <c r="I179" s="35">
        <v>95136.37</v>
      </c>
      <c r="J179" s="35" t="s">
        <v>834</v>
      </c>
      <c r="K179" s="35">
        <v>96315.35</v>
      </c>
      <c r="L179" s="170">
        <f t="shared" si="13"/>
        <v>1.012392526643596</v>
      </c>
      <c r="M179" s="154">
        <v>186406.21</v>
      </c>
      <c r="N179" s="170">
        <f t="shared" si="14"/>
        <v>0.51669603711163925</v>
      </c>
      <c r="O179" s="170">
        <f t="shared" si="15"/>
        <v>0.61984672211655889</v>
      </c>
      <c r="P179" s="170" t="e">
        <f>IF(A179=$X$29,K179/(D179*Vendas!$U$25),IF(A179=$X$30,K179/(D179*Vendas!$U$26),IF(A179=$X$31,K179/(D179*Vendas!$U$27),IF(A179=$X$32,K179/(D179*Vendas!$U$28),IF(A179=$X$33,K179/(D179*Vendas!$U$29),IF(A179=$X$34,K179/(D179*Vendas!$U$30),IF(A179=$X$35,K179/(D179*Vendas!$U$31),IF(A179=$X$36,K179/(D179*Vendas!$U$32),0))))))))</f>
        <v>#DIV/0!</v>
      </c>
      <c r="Q179" s="170" t="e">
        <f>IF(A179=$X$29,K179/(D179*Vendas!$U$25),IF(A179=$X$30,K179/(D179*Vendas!$U$26),IF(A179=$X$31,K179/(D179*Vendas!$U$27),IF(A179=$X$32,K179/(D179*Vendas!$U$28),IF(A179=$X$33,K179/(D179*Vendas!$U$29),IF(A179=$X$34,K179/(D179*Vendas!$U$30),IF(A179=$X$35,K179/(D179*Vendas!$U$31),IF(A179=$X$36,K179/(D179*Vendas!$U$32),0))))))))</f>
        <v>#DIV/0!</v>
      </c>
    </row>
    <row r="180" spans="1:17">
      <c r="A180" s="263" t="s">
        <v>35</v>
      </c>
      <c r="B180" s="337" t="s">
        <v>517</v>
      </c>
      <c r="C180" s="166">
        <v>5</v>
      </c>
      <c r="D180" s="197">
        <v>259.51</v>
      </c>
      <c r="E180" s="166">
        <v>2766</v>
      </c>
      <c r="F180" s="338" t="s">
        <v>478</v>
      </c>
      <c r="G180" s="34" t="str">
        <f t="shared" si="12"/>
        <v>XXX5WANDERSON GERALDO GLATZ</v>
      </c>
      <c r="H180" s="40">
        <v>41498</v>
      </c>
      <c r="I180" s="35">
        <v>95136.37</v>
      </c>
      <c r="J180" s="35" t="s">
        <v>834</v>
      </c>
      <c r="K180" s="35">
        <v>61177.599999999999</v>
      </c>
      <c r="L180" s="170">
        <f t="shared" si="13"/>
        <v>0.6430516531164685</v>
      </c>
      <c r="M180" s="154">
        <v>192106.99</v>
      </c>
      <c r="N180" s="170">
        <f t="shared" si="14"/>
        <v>0.31845587711306078</v>
      </c>
      <c r="O180" s="170">
        <f t="shared" si="15"/>
        <v>0.39371434383987586</v>
      </c>
      <c r="P180" s="170" t="e">
        <f>IF(A180=$X$29,K180/(D180*Vendas!$U$25),IF(A180=$X$30,K180/(D180*Vendas!$U$26),IF(A180=$X$31,K180/(D180*Vendas!$U$27),IF(A180=$X$32,K180/(D180*Vendas!$U$28),IF(A180=$X$33,K180/(D180*Vendas!$U$29),IF(A180=$X$34,K180/(D180*Vendas!$U$30),IF(A180=$X$35,K180/(D180*Vendas!$U$31),IF(A180=$X$36,K180/(D180*Vendas!$U$32),0))))))))</f>
        <v>#DIV/0!</v>
      </c>
      <c r="Q180" s="170" t="e">
        <f>IF(A180=$X$29,K180/(D180*Vendas!$U$25),IF(A180=$X$30,K180/(D180*Vendas!$U$26),IF(A180=$X$31,K180/(D180*Vendas!$U$27),IF(A180=$X$32,K180/(D180*Vendas!$U$28),IF(A180=$X$33,K180/(D180*Vendas!$U$29),IF(A180=$X$34,K180/(D180*Vendas!$U$30),IF(A180=$X$35,K180/(D180*Vendas!$U$31),IF(A180=$X$36,K180/(D180*Vendas!$U$32),0))))))))</f>
        <v>#DIV/0!</v>
      </c>
    </row>
    <row r="181" spans="1:17">
      <c r="A181" s="263" t="s">
        <v>35</v>
      </c>
      <c r="B181" s="337" t="s">
        <v>517</v>
      </c>
      <c r="C181" s="73">
        <v>20</v>
      </c>
      <c r="D181" s="315">
        <v>277.73</v>
      </c>
      <c r="E181" s="166">
        <v>3520</v>
      </c>
      <c r="F181" s="74" t="s">
        <v>434</v>
      </c>
      <c r="G181" s="34" t="str">
        <f t="shared" si="12"/>
        <v>XXX20SELMA ROSA DA SILVA</v>
      </c>
      <c r="H181" s="40">
        <v>41648</v>
      </c>
      <c r="I181" s="35">
        <v>106775.67999999999</v>
      </c>
      <c r="J181" s="35" t="s">
        <v>1250</v>
      </c>
      <c r="K181" s="35">
        <v>137345.29</v>
      </c>
      <c r="L181" s="170">
        <f t="shared" si="13"/>
        <v>1.2862974977073434</v>
      </c>
      <c r="M181" s="154">
        <v>204458.34</v>
      </c>
      <c r="N181" s="170">
        <f t="shared" si="14"/>
        <v>0.67175195690232059</v>
      </c>
      <c r="O181" s="170">
        <f t="shared" si="15"/>
        <v>0.82591218973738456</v>
      </c>
      <c r="P181" s="170" t="e">
        <f>IF(A181=$X$29,K181/(D181*Vendas!$U$25),IF(A181=$X$30,K181/(D181*Vendas!$U$26),IF(A181=$X$31,K181/(D181*Vendas!$U$27),IF(A181=$X$32,K181/(D181*Vendas!$U$28),IF(A181=$X$33,K181/(D181*Vendas!$U$29),IF(A181=$X$34,K181/(D181*Vendas!$U$30),IF(A181=$X$35,K181/(D181*Vendas!$U$31),IF(A181=$X$36,K181/(D181*Vendas!$U$32),0))))))))</f>
        <v>#DIV/0!</v>
      </c>
      <c r="Q181" s="170" t="e">
        <f>IF(A181=$X$29,K181/(D181*Vendas!$U$25),IF(A181=$X$30,K181/(D181*Vendas!$U$26),IF(A181=$X$31,K181/(D181*Vendas!$U$27),IF(A181=$X$32,K181/(D181*Vendas!$U$28),IF(A181=$X$33,K181/(D181*Vendas!$U$29),IF(A181=$X$34,K181/(D181*Vendas!$U$30),IF(A181=$X$35,K181/(D181*Vendas!$U$31),IF(A181=$X$36,K181/(D181*Vendas!$U$32),0))))))))</f>
        <v>#DIV/0!</v>
      </c>
    </row>
    <row r="182" spans="1:17">
      <c r="A182" s="263" t="s">
        <v>35</v>
      </c>
      <c r="B182" s="337" t="s">
        <v>517</v>
      </c>
      <c r="C182" s="166">
        <v>32</v>
      </c>
      <c r="D182" s="197">
        <v>263.51</v>
      </c>
      <c r="E182" s="166">
        <v>3541</v>
      </c>
      <c r="F182" s="338" t="s">
        <v>252</v>
      </c>
      <c r="G182" s="34" t="str">
        <f t="shared" si="12"/>
        <v>XXX32JANETE LONGHINI PONTES</v>
      </c>
      <c r="H182" s="40">
        <v>41656</v>
      </c>
      <c r="I182" s="35">
        <v>106510.22</v>
      </c>
      <c r="J182" s="35" t="s">
        <v>834</v>
      </c>
      <c r="K182" s="35">
        <v>110585.24</v>
      </c>
      <c r="L182" s="170">
        <f t="shared" si="13"/>
        <v>1.0382594271235193</v>
      </c>
      <c r="M182" s="154">
        <v>203006.66</v>
      </c>
      <c r="N182" s="170">
        <f t="shared" si="14"/>
        <v>0.5447370051800271</v>
      </c>
      <c r="O182" s="170">
        <f t="shared" si="15"/>
        <v>0.70087886372366859</v>
      </c>
      <c r="P182" s="170" t="e">
        <f>IF(A182=$X$29,K182/(D182*Vendas!$U$25),IF(A182=$X$30,K182/(D182*Vendas!$U$26),IF(A182=$X$31,K182/(D182*Vendas!$U$27),IF(A182=$X$32,K182/(D182*Vendas!$U$28),IF(A182=$X$33,K182/(D182*Vendas!$U$29),IF(A182=$X$34,K182/(D182*Vendas!$U$30),IF(A182=$X$35,K182/(D182*Vendas!$U$31),IF(A182=$X$36,K182/(D182*Vendas!$U$32),0))))))))</f>
        <v>#DIV/0!</v>
      </c>
      <c r="Q182" s="170" t="e">
        <f>IF(A182=$X$29,K182/(D182*Vendas!$U$25),IF(A182=$X$30,K182/(D182*Vendas!$U$26),IF(A182=$X$31,K182/(D182*Vendas!$U$27),IF(A182=$X$32,K182/(D182*Vendas!$U$28),IF(A182=$X$33,K182/(D182*Vendas!$U$29),IF(A182=$X$34,K182/(D182*Vendas!$U$30),IF(A182=$X$35,K182/(D182*Vendas!$U$31),IF(A182=$X$36,K182/(D182*Vendas!$U$32),0))))))))</f>
        <v>#DIV/0!</v>
      </c>
    </row>
    <row r="183" spans="1:17">
      <c r="A183" s="263" t="s">
        <v>35</v>
      </c>
      <c r="B183" s="337" t="s">
        <v>517</v>
      </c>
      <c r="C183" s="73">
        <v>37</v>
      </c>
      <c r="D183" s="315">
        <v>250.97</v>
      </c>
      <c r="E183" s="166"/>
      <c r="F183" s="74" t="s">
        <v>1046</v>
      </c>
      <c r="G183" s="34" t="str">
        <f t="shared" si="12"/>
        <v>XXX37DIEGO ALEXANDRE FAGUNDES</v>
      </c>
      <c r="H183" s="40">
        <v>43678</v>
      </c>
      <c r="I183" s="35">
        <v>141000</v>
      </c>
      <c r="J183" s="35" t="s">
        <v>1250</v>
      </c>
      <c r="K183" s="35">
        <v>152517.54</v>
      </c>
      <c r="L183" s="170">
        <f t="shared" si="13"/>
        <v>1.0816846808510638</v>
      </c>
      <c r="M183" s="154">
        <v>174906.09</v>
      </c>
      <c r="N183" s="170">
        <f t="shared" si="14"/>
        <v>0.87199673836399871</v>
      </c>
      <c r="O183" s="170">
        <f t="shared" si="15"/>
        <v>1.01494119569809</v>
      </c>
      <c r="P183" s="170" t="e">
        <f>IF(A183=$X$29,K183/(D183*Vendas!$U$25),IF(A183=$X$30,K183/(D183*Vendas!$U$26),IF(A183=$X$31,K183/(D183*Vendas!$U$27),IF(A183=$X$32,K183/(D183*Vendas!$U$28),IF(A183=$X$33,K183/(D183*Vendas!$U$29),IF(A183=$X$34,K183/(D183*Vendas!$U$30),IF(A183=$X$35,K183/(D183*Vendas!$U$31),IF(A183=$X$36,K183/(D183*Vendas!$U$32),0))))))))</f>
        <v>#DIV/0!</v>
      </c>
      <c r="Q183" s="170" t="e">
        <f>IF(A183=$X$29,K183/(D183*Vendas!$U$25),IF(A183=$X$30,K183/(D183*Vendas!$U$26),IF(A183=$X$31,K183/(D183*Vendas!$U$27),IF(A183=$X$32,K183/(D183*Vendas!$U$28),IF(A183=$X$33,K183/(D183*Vendas!$U$29),IF(A183=$X$34,K183/(D183*Vendas!$U$30),IF(A183=$X$35,K183/(D183*Vendas!$U$31),IF(A183=$X$36,K183/(D183*Vendas!$U$32),0))))))))</f>
        <v>#DIV/0!</v>
      </c>
    </row>
    <row r="184" spans="1:17">
      <c r="A184" s="263" t="s">
        <v>35</v>
      </c>
      <c r="B184" s="337" t="s">
        <v>517</v>
      </c>
      <c r="C184" s="166">
        <v>39</v>
      </c>
      <c r="D184" s="197">
        <v>250.97</v>
      </c>
      <c r="E184" s="166">
        <v>6779</v>
      </c>
      <c r="F184" s="338" t="s">
        <v>879</v>
      </c>
      <c r="G184" s="34" t="str">
        <f t="shared" si="12"/>
        <v>XXX39ANDERSON JOSE LIMA DA SILVA</v>
      </c>
      <c r="H184" s="40">
        <v>43439</v>
      </c>
      <c r="I184" s="35">
        <v>140999.88</v>
      </c>
      <c r="J184" s="35" t="s">
        <v>834</v>
      </c>
      <c r="K184" s="35">
        <v>18113.7</v>
      </c>
      <c r="L184" s="170">
        <f t="shared" si="13"/>
        <v>0.12846606677963129</v>
      </c>
      <c r="M184" s="154">
        <v>147119.61000000002</v>
      </c>
      <c r="N184" s="170">
        <f t="shared" si="14"/>
        <v>0.12312226765690855</v>
      </c>
      <c r="O184" s="170">
        <f t="shared" si="15"/>
        <v>0.12053918740438965</v>
      </c>
      <c r="P184" s="170" t="e">
        <f>IF(A184=$X$29,K184/(D184*Vendas!$U$25),IF(A184=$X$30,K184/(D184*Vendas!$U$26),IF(A184=$X$31,K184/(D184*Vendas!$U$27),IF(A184=$X$32,K184/(D184*Vendas!$U$28),IF(A184=$X$33,K184/(D184*Vendas!$U$29),IF(A184=$X$34,K184/(D184*Vendas!$U$30),IF(A184=$X$35,K184/(D184*Vendas!$U$31),IF(A184=$X$36,K184/(D184*Vendas!$U$32),0))))))))</f>
        <v>#DIV/0!</v>
      </c>
      <c r="Q184" s="170" t="e">
        <f>IF(A184=$X$29,K184/(D184*Vendas!$U$25),IF(A184=$X$30,K184/(D184*Vendas!$U$26),IF(A184=$X$31,K184/(D184*Vendas!$U$27),IF(A184=$X$32,K184/(D184*Vendas!$U$28),IF(A184=$X$33,K184/(D184*Vendas!$U$29),IF(A184=$X$34,K184/(D184*Vendas!$U$30),IF(A184=$X$35,K184/(D184*Vendas!$U$31),IF(A184=$X$36,K184/(D184*Vendas!$U$32),0))))))))</f>
        <v>#DIV/0!</v>
      </c>
    </row>
    <row r="185" spans="1:17">
      <c r="A185" s="263" t="s">
        <v>35</v>
      </c>
      <c r="B185" s="337" t="s">
        <v>517</v>
      </c>
      <c r="C185" s="73">
        <v>41</v>
      </c>
      <c r="D185" s="315">
        <v>250.97</v>
      </c>
      <c r="E185" s="166">
        <v>2686</v>
      </c>
      <c r="F185" s="74" t="s">
        <v>441</v>
      </c>
      <c r="G185" s="34" t="str">
        <f t="shared" si="12"/>
        <v>XXX41SIDNEY APARECIDO DE OLIVEIRA</v>
      </c>
      <c r="H185" s="40">
        <v>41470</v>
      </c>
      <c r="I185" s="35">
        <v>96723.839999999997</v>
      </c>
      <c r="J185" s="35" t="s">
        <v>834</v>
      </c>
      <c r="K185" s="35">
        <v>100082.38</v>
      </c>
      <c r="L185" s="170">
        <f t="shared" si="13"/>
        <v>1.0347229803944922</v>
      </c>
      <c r="M185" s="154">
        <v>189766.25</v>
      </c>
      <c r="N185" s="170">
        <f t="shared" si="14"/>
        <v>0.52739820700467022</v>
      </c>
      <c r="O185" s="170">
        <f t="shared" si="15"/>
        <v>0.66600687649112766</v>
      </c>
      <c r="P185" s="170" t="e">
        <f>IF(A185=$X$29,K185/(D185*Vendas!$U$25),IF(A185=$X$30,K185/(D185*Vendas!$U$26),IF(A185=$X$31,K185/(D185*Vendas!$U$27),IF(A185=$X$32,K185/(D185*Vendas!$U$28),IF(A185=$X$33,K185/(D185*Vendas!$U$29),IF(A185=$X$34,K185/(D185*Vendas!$U$30),IF(A185=$X$35,K185/(D185*Vendas!$U$31),IF(A185=$X$36,K185/(D185*Vendas!$U$32),0))))))))</f>
        <v>#DIV/0!</v>
      </c>
      <c r="Q185" s="170" t="e">
        <f>IF(A185=$X$29,K185/(D185*Vendas!$U$25),IF(A185=$X$30,K185/(D185*Vendas!$U$26),IF(A185=$X$31,K185/(D185*Vendas!$U$27),IF(A185=$X$32,K185/(D185*Vendas!$U$28),IF(A185=$X$33,K185/(D185*Vendas!$U$29),IF(A185=$X$34,K185/(D185*Vendas!$U$30),IF(A185=$X$35,K185/(D185*Vendas!$U$31),IF(A185=$X$36,K185/(D185*Vendas!$U$32),0))))))))</f>
        <v>#DIV/0!</v>
      </c>
    </row>
    <row r="186" spans="1:17">
      <c r="A186" s="263" t="s">
        <v>35</v>
      </c>
      <c r="B186" s="337" t="s">
        <v>518</v>
      </c>
      <c r="C186" s="166">
        <v>4</v>
      </c>
      <c r="D186" s="197">
        <v>250.7</v>
      </c>
      <c r="E186" s="166">
        <v>3826</v>
      </c>
      <c r="F186" s="338" t="s">
        <v>349</v>
      </c>
      <c r="G186" s="34" t="str">
        <f t="shared" si="12"/>
        <v>XXXII4MARCUS VINICIUS RICARDO</v>
      </c>
      <c r="H186" s="40">
        <v>41836</v>
      </c>
      <c r="I186" s="35">
        <v>102094.45</v>
      </c>
      <c r="J186" s="35" t="s">
        <v>1250</v>
      </c>
      <c r="K186" s="35">
        <v>245576.03</v>
      </c>
      <c r="L186" s="170">
        <f t="shared" si="13"/>
        <v>2.4053808017967677</v>
      </c>
      <c r="M186" s="154">
        <v>270417.84999999998</v>
      </c>
      <c r="N186" s="170">
        <f t="shared" si="14"/>
        <v>0.90813542819011406</v>
      </c>
      <c r="O186" s="170">
        <f t="shared" si="15"/>
        <v>1.6359670026006019</v>
      </c>
      <c r="P186" s="170" t="e">
        <f>IF(A186=$X$29,K186/(D186*Vendas!$U$25),IF(A186=$X$30,K186/(D186*Vendas!$U$26),IF(A186=$X$31,K186/(D186*Vendas!$U$27),IF(A186=$X$32,K186/(D186*Vendas!$U$28),IF(A186=$X$33,K186/(D186*Vendas!$U$29),IF(A186=$X$34,K186/(D186*Vendas!$U$30),IF(A186=$X$35,K186/(D186*Vendas!$U$31),IF(A186=$X$36,K186/(D186*Vendas!$U$32),0))))))))</f>
        <v>#DIV/0!</v>
      </c>
      <c r="Q186" s="170" t="e">
        <f>IF(A186=$X$29,K186/(D186*Vendas!$U$25),IF(A186=$X$30,K186/(D186*Vendas!$U$26),IF(A186=$X$31,K186/(D186*Vendas!$U$27),IF(A186=$X$32,K186/(D186*Vendas!$U$28),IF(A186=$X$33,K186/(D186*Vendas!$U$29),IF(A186=$X$34,K186/(D186*Vendas!$U$30),IF(A186=$X$35,K186/(D186*Vendas!$U$31),IF(A186=$X$36,K186/(D186*Vendas!$U$32),0))))))))</f>
        <v>#DIV/0!</v>
      </c>
    </row>
    <row r="187" spans="1:17">
      <c r="A187" s="263" t="s">
        <v>35</v>
      </c>
      <c r="B187" s="337" t="s">
        <v>518</v>
      </c>
      <c r="C187" s="73">
        <v>5</v>
      </c>
      <c r="D187" s="315">
        <v>250.7</v>
      </c>
      <c r="E187" s="166">
        <v>4845</v>
      </c>
      <c r="F187" s="74" t="s">
        <v>1338</v>
      </c>
      <c r="G187" s="34" t="str">
        <f t="shared" si="12"/>
        <v>XXXII5WENDEL ROGERIO DANTAS TSUZAKI</v>
      </c>
      <c r="H187" s="40">
        <v>44132</v>
      </c>
      <c r="I187" s="35">
        <v>153877.6</v>
      </c>
      <c r="J187" s="35" t="s">
        <v>834</v>
      </c>
      <c r="K187" s="35">
        <v>143822.82</v>
      </c>
      <c r="L187" s="170">
        <f t="shared" si="13"/>
        <v>0.93465728605073128</v>
      </c>
      <c r="M187" s="154">
        <v>167060.09</v>
      </c>
      <c r="N187" s="170">
        <f t="shared" si="14"/>
        <v>0.86090471997231666</v>
      </c>
      <c r="O187" s="170">
        <f t="shared" si="15"/>
        <v>0.95811218929211417</v>
      </c>
      <c r="P187" s="170" t="e">
        <f>IF(A187=$X$29,K187/(D187*Vendas!$U$25),IF(A187=$X$30,K187/(D187*Vendas!$U$26),IF(A187=$X$31,K187/(D187*Vendas!$U$27),IF(A187=$X$32,K187/(D187*Vendas!$U$28),IF(A187=$X$33,K187/(D187*Vendas!$U$29),IF(A187=$X$34,K187/(D187*Vendas!$U$30),IF(A187=$X$35,K187/(D187*Vendas!$U$31),IF(A187=$X$36,K187/(D187*Vendas!$U$32),0))))))))</f>
        <v>#DIV/0!</v>
      </c>
      <c r="Q187" s="170" t="e">
        <f>IF(A187=$X$29,K187/(D187*Vendas!$U$25),IF(A187=$X$30,K187/(D187*Vendas!$U$26),IF(A187=$X$31,K187/(D187*Vendas!$U$27),IF(A187=$X$32,K187/(D187*Vendas!$U$28),IF(A187=$X$33,K187/(D187*Vendas!$U$29),IF(A187=$X$34,K187/(D187*Vendas!$U$30),IF(A187=$X$35,K187/(D187*Vendas!$U$31),IF(A187=$X$36,K187/(D187*Vendas!$U$32),0))))))))</f>
        <v>#DIV/0!</v>
      </c>
    </row>
    <row r="188" spans="1:17">
      <c r="A188" s="263" t="s">
        <v>35</v>
      </c>
      <c r="B188" s="337" t="s">
        <v>518</v>
      </c>
      <c r="C188" s="166">
        <v>16</v>
      </c>
      <c r="D188" s="197">
        <v>267.12</v>
      </c>
      <c r="E188" s="166">
        <v>4138</v>
      </c>
      <c r="F188" s="338" t="s">
        <v>337</v>
      </c>
      <c r="G188" s="34" t="str">
        <f t="shared" si="12"/>
        <v>XXXII16MARCIO ROGERIO DA SILVA</v>
      </c>
      <c r="H188" s="40">
        <v>41948</v>
      </c>
      <c r="I188" s="35">
        <v>124774.8</v>
      </c>
      <c r="J188" s="35" t="s">
        <v>834</v>
      </c>
      <c r="K188" s="35">
        <v>117923.72</v>
      </c>
      <c r="L188" s="170">
        <f t="shared" si="13"/>
        <v>0.94509243853726876</v>
      </c>
      <c r="M188" s="154">
        <v>205503.72</v>
      </c>
      <c r="N188" s="170">
        <f t="shared" si="14"/>
        <v>0.57382766599066914</v>
      </c>
      <c r="O188" s="170">
        <f t="shared" si="15"/>
        <v>0.73728884687181462</v>
      </c>
      <c r="P188" s="170" t="e">
        <f>IF(A188=$X$29,K188/(D188*Vendas!$U$25),IF(A188=$X$30,K188/(D188*Vendas!$U$26),IF(A188=$X$31,K188/(D188*Vendas!$U$27),IF(A188=$X$32,K188/(D188*Vendas!$U$28),IF(A188=$X$33,K188/(D188*Vendas!$U$29),IF(A188=$X$34,K188/(D188*Vendas!$U$30),IF(A188=$X$35,K188/(D188*Vendas!$U$31),IF(A188=$X$36,K188/(D188*Vendas!$U$32),0))))))))</f>
        <v>#DIV/0!</v>
      </c>
      <c r="Q188" s="170" t="e">
        <f>IF(A188=$X$29,K188/(D188*Vendas!$U$25),IF(A188=$X$30,K188/(D188*Vendas!$U$26),IF(A188=$X$31,K188/(D188*Vendas!$U$27),IF(A188=$X$32,K188/(D188*Vendas!$U$28),IF(A188=$X$33,K188/(D188*Vendas!$U$29),IF(A188=$X$34,K188/(D188*Vendas!$U$30),IF(A188=$X$35,K188/(D188*Vendas!$U$31),IF(A188=$X$36,K188/(D188*Vendas!$U$32),0))))))))</f>
        <v>#DIV/0!</v>
      </c>
    </row>
    <row r="189" spans="1:17">
      <c r="A189" s="263" t="s">
        <v>35</v>
      </c>
      <c r="B189" s="337" t="s">
        <v>518</v>
      </c>
      <c r="C189" s="73">
        <v>17</v>
      </c>
      <c r="D189" s="315">
        <v>267.12</v>
      </c>
      <c r="E189" s="166">
        <v>4820</v>
      </c>
      <c r="F189" s="74" t="s">
        <v>1352</v>
      </c>
      <c r="G189" s="34" t="str">
        <f t="shared" si="12"/>
        <v>XXXII17MARCOS ROBERTO RODRIGUES</v>
      </c>
      <c r="H189" s="40">
        <v>44113</v>
      </c>
      <c r="I189" s="35">
        <v>160182.42000000001</v>
      </c>
      <c r="J189" s="35" t="s">
        <v>834</v>
      </c>
      <c r="K189" s="35">
        <v>161400.63</v>
      </c>
      <c r="L189" s="170">
        <f t="shared" si="13"/>
        <v>1.0076051416878331</v>
      </c>
      <c r="M189" s="154">
        <v>175337.59</v>
      </c>
      <c r="N189" s="170">
        <f t="shared" si="14"/>
        <v>0.92051356471821022</v>
      </c>
      <c r="O189" s="170">
        <f t="shared" si="15"/>
        <v>1.0091174564123691</v>
      </c>
      <c r="P189" s="170" t="e">
        <f>IF(A189=$X$29,K189/(D189*Vendas!$U$25),IF(A189=$X$30,K189/(D189*Vendas!$U$26),IF(A189=$X$31,K189/(D189*Vendas!$U$27),IF(A189=$X$32,K189/(D189*Vendas!$U$28),IF(A189=$X$33,K189/(D189*Vendas!$U$29),IF(A189=$X$34,K189/(D189*Vendas!$U$30),IF(A189=$X$35,K189/(D189*Vendas!$U$31),IF(A189=$X$36,K189/(D189*Vendas!$U$32),0))))))))</f>
        <v>#DIV/0!</v>
      </c>
      <c r="Q189" s="170" t="e">
        <f>IF(A189=$X$29,K189/(D189*Vendas!$U$25),IF(A189=$X$30,K189/(D189*Vendas!$U$26),IF(A189=$X$31,K189/(D189*Vendas!$U$27),IF(A189=$X$32,K189/(D189*Vendas!$U$28),IF(A189=$X$33,K189/(D189*Vendas!$U$29),IF(A189=$X$34,K189/(D189*Vendas!$U$30),IF(A189=$X$35,K189/(D189*Vendas!$U$31),IF(A189=$X$36,K189/(D189*Vendas!$U$32),0))))))))</f>
        <v>#DIV/0!</v>
      </c>
    </row>
    <row r="190" spans="1:17">
      <c r="A190" s="263" t="s">
        <v>35</v>
      </c>
      <c r="B190" s="337" t="s">
        <v>518</v>
      </c>
      <c r="C190" s="166">
        <v>19</v>
      </c>
      <c r="D190" s="197">
        <v>260.95999999999998</v>
      </c>
      <c r="E190" s="166">
        <v>5362</v>
      </c>
      <c r="F190" s="338" t="s">
        <v>467</v>
      </c>
      <c r="G190" s="34" t="str">
        <f t="shared" si="12"/>
        <v>XXXII19VANDERSON FABIANO DA SILVA</v>
      </c>
      <c r="H190" s="40">
        <v>42716</v>
      </c>
      <c r="I190" s="35">
        <v>146578.5</v>
      </c>
      <c r="J190" s="35" t="s">
        <v>834</v>
      </c>
      <c r="K190" s="35">
        <v>137648.83000000002</v>
      </c>
      <c r="L190" s="170">
        <f t="shared" si="13"/>
        <v>0.93907926469434477</v>
      </c>
      <c r="M190" s="154">
        <v>235760.35</v>
      </c>
      <c r="N190" s="170">
        <f t="shared" si="14"/>
        <v>0.58385063476534549</v>
      </c>
      <c r="O190" s="170">
        <f t="shared" si="15"/>
        <v>0.88093016210909814</v>
      </c>
      <c r="P190" s="170" t="e">
        <f>IF(A190=$X$29,K190/(D190*Vendas!$U$25),IF(A190=$X$30,K190/(D190*Vendas!$U$26),IF(A190=$X$31,K190/(D190*Vendas!$U$27),IF(A190=$X$32,K190/(D190*Vendas!$U$28),IF(A190=$X$33,K190/(D190*Vendas!$U$29),IF(A190=$X$34,K190/(D190*Vendas!$U$30),IF(A190=$X$35,K190/(D190*Vendas!$U$31),IF(A190=$X$36,K190/(D190*Vendas!$U$32),0))))))))</f>
        <v>#DIV/0!</v>
      </c>
      <c r="Q190" s="170" t="e">
        <f>IF(A190=$X$29,K190/(D190*Vendas!$U$25),IF(A190=$X$30,K190/(D190*Vendas!$U$26),IF(A190=$X$31,K190/(D190*Vendas!$U$27),IF(A190=$X$32,K190/(D190*Vendas!$U$28),IF(A190=$X$33,K190/(D190*Vendas!$U$29),IF(A190=$X$34,K190/(D190*Vendas!$U$30),IF(A190=$X$35,K190/(D190*Vendas!$U$31),IF(A190=$X$36,K190/(D190*Vendas!$U$32),0))))))))</f>
        <v>#DIV/0!</v>
      </c>
    </row>
    <row r="191" spans="1:17">
      <c r="A191" s="263" t="s">
        <v>35</v>
      </c>
      <c r="B191" s="337" t="s">
        <v>518</v>
      </c>
      <c r="C191" s="73">
        <v>23</v>
      </c>
      <c r="D191" s="315">
        <v>318.23</v>
      </c>
      <c r="E191" s="166">
        <v>4183</v>
      </c>
      <c r="F191" s="74" t="s">
        <v>158</v>
      </c>
      <c r="G191" s="34" t="str">
        <f t="shared" si="12"/>
        <v>XXXII23EDIOGENES DE ARAUJO AVILA</v>
      </c>
      <c r="H191" s="40">
        <v>41956</v>
      </c>
      <c r="I191" s="35">
        <v>148336.47</v>
      </c>
      <c r="J191" s="35" t="s">
        <v>1250</v>
      </c>
      <c r="K191" s="35">
        <v>355704.67</v>
      </c>
      <c r="L191" s="170">
        <f t="shared" si="13"/>
        <v>2.3979583038480015</v>
      </c>
      <c r="M191" s="154">
        <v>382960.15</v>
      </c>
      <c r="N191" s="170">
        <f t="shared" si="14"/>
        <v>0.92882946175992454</v>
      </c>
      <c r="O191" s="170">
        <f t="shared" si="15"/>
        <v>1.8667722984267814</v>
      </c>
      <c r="P191" s="170" t="e">
        <f>IF(A191=$X$29,K191/(D191*Vendas!$U$25),IF(A191=$X$30,K191/(D191*Vendas!$U$26),IF(A191=$X$31,K191/(D191*Vendas!$U$27),IF(A191=$X$32,K191/(D191*Vendas!$U$28),IF(A191=$X$33,K191/(D191*Vendas!$U$29),IF(A191=$X$34,K191/(D191*Vendas!$U$30),IF(A191=$X$35,K191/(D191*Vendas!$U$31),IF(A191=$X$36,K191/(D191*Vendas!$U$32),0))))))))</f>
        <v>#DIV/0!</v>
      </c>
      <c r="Q191" s="170" t="e">
        <f>IF(A191=$X$29,K191/(D191*Vendas!$U$25),IF(A191=$X$30,K191/(D191*Vendas!$U$26),IF(A191=$X$31,K191/(D191*Vendas!$U$27),IF(A191=$X$32,K191/(D191*Vendas!$U$28),IF(A191=$X$33,K191/(D191*Vendas!$U$29),IF(A191=$X$34,K191/(D191*Vendas!$U$30),IF(A191=$X$35,K191/(D191*Vendas!$U$31),IF(A191=$X$36,K191/(D191*Vendas!$U$32),0))))))))</f>
        <v>#DIV/0!</v>
      </c>
    </row>
    <row r="192" spans="1:17">
      <c r="A192" s="263" t="s">
        <v>35</v>
      </c>
      <c r="B192" s="337" t="s">
        <v>519</v>
      </c>
      <c r="C192" s="166">
        <v>5</v>
      </c>
      <c r="D192" s="197">
        <v>257.33</v>
      </c>
      <c r="E192" s="166">
        <v>2371</v>
      </c>
      <c r="F192" s="338" t="s">
        <v>392</v>
      </c>
      <c r="G192" s="34" t="str">
        <f t="shared" si="12"/>
        <v>XXXIII5PATRICIANE KELY DONIZETTI LOPES</v>
      </c>
      <c r="H192" s="40">
        <v>41444</v>
      </c>
      <c r="I192" s="35">
        <v>91918.28</v>
      </c>
      <c r="J192" s="35" t="s">
        <v>834</v>
      </c>
      <c r="K192" s="35">
        <v>93060.53</v>
      </c>
      <c r="L192" s="170">
        <f t="shared" si="13"/>
        <v>1.0124267991089477</v>
      </c>
      <c r="M192" s="154">
        <v>180421.28</v>
      </c>
      <c r="N192" s="170">
        <f t="shared" si="14"/>
        <v>0.51579575313954096</v>
      </c>
      <c r="O192" s="170">
        <f t="shared" si="15"/>
        <v>0.6039736629034419</v>
      </c>
      <c r="P192" s="170" t="e">
        <f>IF(A192=$X$29,K192/(D192*Vendas!$U$25),IF(A192=$X$30,K192/(D192*Vendas!$U$26),IF(A192=$X$31,K192/(D192*Vendas!$U$27),IF(A192=$X$32,K192/(D192*Vendas!$U$28),IF(A192=$X$33,K192/(D192*Vendas!$U$29),IF(A192=$X$34,K192/(D192*Vendas!$U$30),IF(A192=$X$35,K192/(D192*Vendas!$U$31),IF(A192=$X$36,K192/(D192*Vendas!$U$32),0))))))))</f>
        <v>#DIV/0!</v>
      </c>
      <c r="Q192" s="170" t="e">
        <f>IF(A192=$X$29,K192/(D192*Vendas!$U$25),IF(A192=$X$30,K192/(D192*Vendas!$U$26),IF(A192=$X$31,K192/(D192*Vendas!$U$27),IF(A192=$X$32,K192/(D192*Vendas!$U$28),IF(A192=$X$33,K192/(D192*Vendas!$U$29),IF(A192=$X$34,K192/(D192*Vendas!$U$30),IF(A192=$X$35,K192/(D192*Vendas!$U$31),IF(A192=$X$36,K192/(D192*Vendas!$U$32),0))))))))</f>
        <v>#DIV/0!</v>
      </c>
    </row>
    <row r="193" spans="1:17">
      <c r="A193" s="263" t="s">
        <v>35</v>
      </c>
      <c r="B193" s="337" t="s">
        <v>519</v>
      </c>
      <c r="C193" s="73">
        <v>8</v>
      </c>
      <c r="D193" s="315">
        <v>257.73</v>
      </c>
      <c r="E193" s="166">
        <v>3764</v>
      </c>
      <c r="F193" s="74" t="s">
        <v>1144</v>
      </c>
      <c r="G193" s="34" t="str">
        <f t="shared" si="12"/>
        <v>XXXIII8LEANDRO RENE GOMES</v>
      </c>
      <c r="H193" s="40">
        <v>43864</v>
      </c>
      <c r="I193" s="35">
        <v>157954.60999999999</v>
      </c>
      <c r="J193" s="35" t="s">
        <v>834</v>
      </c>
      <c r="K193" s="35">
        <v>156066.12</v>
      </c>
      <c r="L193" s="170">
        <f t="shared" si="13"/>
        <v>0.98804409697190865</v>
      </c>
      <c r="M193" s="154">
        <v>186624.26</v>
      </c>
      <c r="N193" s="170">
        <f t="shared" si="14"/>
        <v>0.83625848000683289</v>
      </c>
      <c r="O193" s="170">
        <f t="shared" si="15"/>
        <v>1.0113152567422405</v>
      </c>
      <c r="P193" s="170" t="e">
        <f>IF(A193=$X$29,K193/(D193*Vendas!$U$25),IF(A193=$X$30,K193/(D193*Vendas!$U$26),IF(A193=$X$31,K193/(D193*Vendas!$U$27),IF(A193=$X$32,K193/(D193*Vendas!$U$28),IF(A193=$X$33,K193/(D193*Vendas!$U$29),IF(A193=$X$34,K193/(D193*Vendas!$U$30),IF(A193=$X$35,K193/(D193*Vendas!$U$31),IF(A193=$X$36,K193/(D193*Vendas!$U$32),0))))))))</f>
        <v>#DIV/0!</v>
      </c>
      <c r="Q193" s="170" t="e">
        <f>IF(A193=$X$29,K193/(D193*Vendas!$U$25),IF(A193=$X$30,K193/(D193*Vendas!$U$26),IF(A193=$X$31,K193/(D193*Vendas!$U$27),IF(A193=$X$32,K193/(D193*Vendas!$U$28),IF(A193=$X$33,K193/(D193*Vendas!$U$29),IF(A193=$X$34,K193/(D193*Vendas!$U$30),IF(A193=$X$35,K193/(D193*Vendas!$U$31),IF(A193=$X$36,K193/(D193*Vendas!$U$32),0))))))))</f>
        <v>#DIV/0!</v>
      </c>
    </row>
    <row r="194" spans="1:17">
      <c r="A194" s="263" t="s">
        <v>35</v>
      </c>
      <c r="B194" s="337" t="s">
        <v>519</v>
      </c>
      <c r="C194" s="166">
        <v>10</v>
      </c>
      <c r="D194" s="197">
        <v>257.33</v>
      </c>
      <c r="E194" s="166">
        <v>2792</v>
      </c>
      <c r="F194" s="338" t="s">
        <v>627</v>
      </c>
      <c r="G194" s="34" t="str">
        <f t="shared" si="12"/>
        <v>XXXIII10ALEXANDRE CESAR CESTARI</v>
      </c>
      <c r="H194" s="40">
        <v>41502</v>
      </c>
      <c r="I194" s="35">
        <v>91918.28</v>
      </c>
      <c r="J194" s="35" t="s">
        <v>834</v>
      </c>
      <c r="K194" s="35">
        <v>73301.91</v>
      </c>
      <c r="L194" s="170">
        <f t="shared" si="13"/>
        <v>0.79746825114656195</v>
      </c>
      <c r="M194" s="154">
        <v>166391.37</v>
      </c>
      <c r="N194" s="170">
        <f t="shared" si="14"/>
        <v>0.44053913373031311</v>
      </c>
      <c r="O194" s="170">
        <f t="shared" si="15"/>
        <v>0.47573792111992524</v>
      </c>
      <c r="P194" s="170" t="e">
        <f>IF(A194=$X$29,K194/(D194*Vendas!$U$25),IF(A194=$X$30,K194/(D194*Vendas!$U$26),IF(A194=$X$31,K194/(D194*Vendas!$U$27),IF(A194=$X$32,K194/(D194*Vendas!$U$28),IF(A194=$X$33,K194/(D194*Vendas!$U$29),IF(A194=$X$34,K194/(D194*Vendas!$U$30),IF(A194=$X$35,K194/(D194*Vendas!$U$31),IF(A194=$X$36,K194/(D194*Vendas!$U$32),0))))))))</f>
        <v>#DIV/0!</v>
      </c>
      <c r="Q194" s="170" t="e">
        <f>IF(A194=$X$29,K194/(D194*Vendas!$U$25),IF(A194=$X$30,K194/(D194*Vendas!$U$26),IF(A194=$X$31,K194/(D194*Vendas!$U$27),IF(A194=$X$32,K194/(D194*Vendas!$U$28),IF(A194=$X$33,K194/(D194*Vendas!$U$29),IF(A194=$X$34,K194/(D194*Vendas!$U$30),IF(A194=$X$35,K194/(D194*Vendas!$U$31),IF(A194=$X$36,K194/(D194*Vendas!$U$32),0))))))))</f>
        <v>#DIV/0!</v>
      </c>
    </row>
    <row r="195" spans="1:17">
      <c r="A195" s="263" t="s">
        <v>35</v>
      </c>
      <c r="B195" s="337" t="s">
        <v>519</v>
      </c>
      <c r="C195" s="73">
        <v>11</v>
      </c>
      <c r="D195" s="315">
        <v>257.33</v>
      </c>
      <c r="E195" s="166">
        <v>3542</v>
      </c>
      <c r="F195" s="74" t="s">
        <v>1423</v>
      </c>
      <c r="G195" s="34" t="str">
        <f t="shared" si="12"/>
        <v>XXXIII11CLEMILDO DE OLIVEIRA</v>
      </c>
      <c r="H195" s="40">
        <v>41661</v>
      </c>
      <c r="I195" s="35">
        <v>96514.19</v>
      </c>
      <c r="J195" s="35" t="s">
        <v>834</v>
      </c>
      <c r="K195" s="35">
        <v>91017.57</v>
      </c>
      <c r="L195" s="170">
        <f t="shared" si="13"/>
        <v>0.94304858176813178</v>
      </c>
      <c r="M195" s="154">
        <v>176806.21</v>
      </c>
      <c r="N195" s="170">
        <f t="shared" si="14"/>
        <v>0.51478717857251743</v>
      </c>
      <c r="O195" s="170">
        <f t="shared" si="15"/>
        <v>0.59071461490140265</v>
      </c>
      <c r="P195" s="170" t="e">
        <f>IF(A195=$X$29,K195/(D195*Vendas!$U$25),IF(A195=$X$30,K195/(D195*Vendas!$U$26),IF(A195=$X$31,K195/(D195*Vendas!$U$27),IF(A195=$X$32,K195/(D195*Vendas!$U$28),IF(A195=$X$33,K195/(D195*Vendas!$U$29),IF(A195=$X$34,K195/(D195*Vendas!$U$30),IF(A195=$X$35,K195/(D195*Vendas!$U$31),IF(A195=$X$36,K195/(D195*Vendas!$U$32),0))))))))</f>
        <v>#DIV/0!</v>
      </c>
      <c r="Q195" s="170" t="e">
        <f>IF(A195=$X$29,K195/(D195*Vendas!$U$25),IF(A195=$X$30,K195/(D195*Vendas!$U$26),IF(A195=$X$31,K195/(D195*Vendas!$U$27),IF(A195=$X$32,K195/(D195*Vendas!$U$28),IF(A195=$X$33,K195/(D195*Vendas!$U$29),IF(A195=$X$34,K195/(D195*Vendas!$U$30),IF(A195=$X$35,K195/(D195*Vendas!$U$31),IF(A195=$X$36,K195/(D195*Vendas!$U$32),0))))))))</f>
        <v>#DIV/0!</v>
      </c>
    </row>
    <row r="196" spans="1:17">
      <c r="A196" s="263" t="s">
        <v>35</v>
      </c>
      <c r="B196" s="337" t="s">
        <v>519</v>
      </c>
      <c r="C196" s="166">
        <v>15</v>
      </c>
      <c r="D196" s="197">
        <v>257.33</v>
      </c>
      <c r="E196" s="166">
        <v>3601</v>
      </c>
      <c r="F196" s="338" t="s">
        <v>218</v>
      </c>
      <c r="G196" s="34" t="str">
        <f t="shared" si="12"/>
        <v>XXXIII15FREDERICO MERCER DE LIMA</v>
      </c>
      <c r="H196" s="40">
        <v>41721</v>
      </c>
      <c r="I196" s="35">
        <v>101593.63</v>
      </c>
      <c r="J196" s="35" t="s">
        <v>834</v>
      </c>
      <c r="K196" s="35">
        <v>104699.62</v>
      </c>
      <c r="L196" s="170">
        <f t="shared" si="13"/>
        <v>1.0305726845275633</v>
      </c>
      <c r="M196" s="154">
        <v>186547.72</v>
      </c>
      <c r="N196" s="170">
        <f t="shared" si="14"/>
        <v>0.56124845696318348</v>
      </c>
      <c r="O196" s="170">
        <f t="shared" si="15"/>
        <v>0.67951271066260266</v>
      </c>
      <c r="P196" s="170" t="e">
        <f>IF(A196=$X$29,K196/(D196*Vendas!$U$25),IF(A196=$X$30,K196/(D196*Vendas!$U$26),IF(A196=$X$31,K196/(D196*Vendas!$U$27),IF(A196=$X$32,K196/(D196*Vendas!$U$28),IF(A196=$X$33,K196/(D196*Vendas!$U$29),IF(A196=$X$34,K196/(D196*Vendas!$U$30),IF(A196=$X$35,K196/(D196*Vendas!$U$31),IF(A196=$X$36,K196/(D196*Vendas!$U$32),0))))))))</f>
        <v>#DIV/0!</v>
      </c>
      <c r="Q196" s="170" t="e">
        <f>IF(A196=$X$29,K196/(D196*Vendas!$U$25),IF(A196=$X$30,K196/(D196*Vendas!$U$26),IF(A196=$X$31,K196/(D196*Vendas!$U$27),IF(A196=$X$32,K196/(D196*Vendas!$U$28),IF(A196=$X$33,K196/(D196*Vendas!$U$29),IF(A196=$X$34,K196/(D196*Vendas!$U$30),IF(A196=$X$35,K196/(D196*Vendas!$U$31),IF(A196=$X$36,K196/(D196*Vendas!$U$32),0))))))))</f>
        <v>#DIV/0!</v>
      </c>
    </row>
    <row r="197" spans="1:17">
      <c r="A197" s="263" t="s">
        <v>35</v>
      </c>
      <c r="B197" s="337" t="s">
        <v>519</v>
      </c>
      <c r="C197" s="73">
        <v>17</v>
      </c>
      <c r="D197" s="315">
        <v>257.33</v>
      </c>
      <c r="E197" s="166">
        <v>3570</v>
      </c>
      <c r="F197" s="74" t="s">
        <v>171</v>
      </c>
      <c r="G197" s="34" t="str">
        <f t="shared" ref="G197:G260" si="16">CONCATENATE(B197,C197,F197)</f>
        <v>XXXIII17EDUARDO LUCIO DA SILVA NETO</v>
      </c>
      <c r="H197" s="40">
        <v>41691</v>
      </c>
      <c r="I197" s="35">
        <v>96514.74</v>
      </c>
      <c r="J197" s="35" t="s">
        <v>834</v>
      </c>
      <c r="K197" s="35">
        <v>97897.8</v>
      </c>
      <c r="L197" s="170">
        <f t="shared" ref="L197:L260" si="17">K197/I197</f>
        <v>1.0143300391214856</v>
      </c>
      <c r="M197" s="154">
        <v>179398.22</v>
      </c>
      <c r="N197" s="170">
        <f t="shared" ref="N197:N260" si="18">K197/M197</f>
        <v>0.54570106659921158</v>
      </c>
      <c r="O197" s="170">
        <f t="shared" ref="O197:O260" si="19">K197/(D197*$U$10)</f>
        <v>0.63536810779165531</v>
      </c>
      <c r="P197" s="170" t="e">
        <f>IF(A197=$X$29,K197/(D197*Vendas!$U$25),IF(A197=$X$30,K197/(D197*Vendas!$U$26),IF(A197=$X$31,K197/(D197*Vendas!$U$27),IF(A197=$X$32,K197/(D197*Vendas!$U$28),IF(A197=$X$33,K197/(D197*Vendas!$U$29),IF(A197=$X$34,K197/(D197*Vendas!$U$30),IF(A197=$X$35,K197/(D197*Vendas!$U$31),IF(A197=$X$36,K197/(D197*Vendas!$U$32),0))))))))</f>
        <v>#DIV/0!</v>
      </c>
      <c r="Q197" s="170" t="e">
        <f>IF(A197=$X$29,K197/(D197*Vendas!$U$25),IF(A197=$X$30,K197/(D197*Vendas!$U$26),IF(A197=$X$31,K197/(D197*Vendas!$U$27),IF(A197=$X$32,K197/(D197*Vendas!$U$28),IF(A197=$X$33,K197/(D197*Vendas!$U$29),IF(A197=$X$34,K197/(D197*Vendas!$U$30),IF(A197=$X$35,K197/(D197*Vendas!$U$31),IF(A197=$X$36,K197/(D197*Vendas!$U$32),0))))))))</f>
        <v>#DIV/0!</v>
      </c>
    </row>
    <row r="198" spans="1:17">
      <c r="A198" s="263" t="s">
        <v>35</v>
      </c>
      <c r="B198" s="337" t="s">
        <v>519</v>
      </c>
      <c r="C198" s="166">
        <v>20</v>
      </c>
      <c r="D198" s="197">
        <v>251.98</v>
      </c>
      <c r="E198" s="166">
        <v>3697</v>
      </c>
      <c r="F198" s="338" t="s">
        <v>232</v>
      </c>
      <c r="G198" s="34" t="str">
        <f t="shared" si="16"/>
        <v>XXXIII20GUSTAVO ALUISIO DE PAULA</v>
      </c>
      <c r="H198" s="40">
        <v>41744</v>
      </c>
      <c r="I198" s="35">
        <v>99482.06</v>
      </c>
      <c r="J198" s="35" t="s">
        <v>834</v>
      </c>
      <c r="K198" s="35">
        <v>45907.14</v>
      </c>
      <c r="L198" s="170">
        <f t="shared" si="17"/>
        <v>0.46146149366026395</v>
      </c>
      <c r="M198" s="154">
        <v>167884.41</v>
      </c>
      <c r="N198" s="170">
        <f t="shared" si="18"/>
        <v>0.27344492558898115</v>
      </c>
      <c r="O198" s="170">
        <f t="shared" si="19"/>
        <v>0.30426855012458909</v>
      </c>
      <c r="P198" s="170" t="e">
        <f>IF(A198=$X$29,K198/(D198*Vendas!$U$25),IF(A198=$X$30,K198/(D198*Vendas!$U$26),IF(A198=$X$31,K198/(D198*Vendas!$U$27),IF(A198=$X$32,K198/(D198*Vendas!$U$28),IF(A198=$X$33,K198/(D198*Vendas!$U$29),IF(A198=$X$34,K198/(D198*Vendas!$U$30),IF(A198=$X$35,K198/(D198*Vendas!$U$31),IF(A198=$X$36,K198/(D198*Vendas!$U$32),0))))))))</f>
        <v>#DIV/0!</v>
      </c>
      <c r="Q198" s="170" t="e">
        <f>IF(A198=$X$29,K198/(D198*Vendas!$U$25),IF(A198=$X$30,K198/(D198*Vendas!$U$26),IF(A198=$X$31,K198/(D198*Vendas!$U$27),IF(A198=$X$32,K198/(D198*Vendas!$U$28),IF(A198=$X$33,K198/(D198*Vendas!$U$29),IF(A198=$X$34,K198/(D198*Vendas!$U$30),IF(A198=$X$35,K198/(D198*Vendas!$U$31),IF(A198=$X$36,K198/(D198*Vendas!$U$32),0))))))))</f>
        <v>#DIV/0!</v>
      </c>
    </row>
    <row r="199" spans="1:17">
      <c r="A199" s="263" t="s">
        <v>35</v>
      </c>
      <c r="B199" s="337" t="s">
        <v>519</v>
      </c>
      <c r="C199" s="73">
        <v>21</v>
      </c>
      <c r="D199" s="315">
        <v>251.98</v>
      </c>
      <c r="E199" s="166">
        <v>3735</v>
      </c>
      <c r="F199" s="74" t="s">
        <v>789</v>
      </c>
      <c r="G199" s="34" t="str">
        <f t="shared" si="16"/>
        <v>XXXIII21WILLIAN VASCONCELOS NUNES</v>
      </c>
      <c r="H199" s="40">
        <v>41774</v>
      </c>
      <c r="I199" s="35">
        <v>99480.92</v>
      </c>
      <c r="J199" s="35" t="s">
        <v>1249</v>
      </c>
      <c r="K199" s="35">
        <v>101608.25</v>
      </c>
      <c r="L199" s="170">
        <f t="shared" si="17"/>
        <v>1.0213843016329163</v>
      </c>
      <c r="M199" s="154">
        <v>178018.76</v>
      </c>
      <c r="N199" s="170">
        <f t="shared" si="18"/>
        <v>0.5707727095728562</v>
      </c>
      <c r="O199" s="170">
        <f t="shared" si="19"/>
        <v>0.67345068562748145</v>
      </c>
      <c r="P199" s="170" t="e">
        <f>IF(A199=$X$29,K199/(D199*Vendas!$U$25),IF(A199=$X$30,K199/(D199*Vendas!$U$26),IF(A199=$X$31,K199/(D199*Vendas!$U$27),IF(A199=$X$32,K199/(D199*Vendas!$U$28),IF(A199=$X$33,K199/(D199*Vendas!$U$29),IF(A199=$X$34,K199/(D199*Vendas!$U$30),IF(A199=$X$35,K199/(D199*Vendas!$U$31),IF(A199=$X$36,K199/(D199*Vendas!$U$32),0))))))))</f>
        <v>#DIV/0!</v>
      </c>
      <c r="Q199" s="170" t="e">
        <f>IF(A199=$X$29,K199/(D199*Vendas!$U$25),IF(A199=$X$30,K199/(D199*Vendas!$U$26),IF(A199=$X$31,K199/(D199*Vendas!$U$27),IF(A199=$X$32,K199/(D199*Vendas!$U$28),IF(A199=$X$33,K199/(D199*Vendas!$U$29),IF(A199=$X$34,K199/(D199*Vendas!$U$30),IF(A199=$X$35,K199/(D199*Vendas!$U$31),IF(A199=$X$36,K199/(D199*Vendas!$U$32),0))))))))</f>
        <v>#DIV/0!</v>
      </c>
    </row>
    <row r="200" spans="1:17">
      <c r="A200" s="263" t="s">
        <v>35</v>
      </c>
      <c r="B200" s="337" t="s">
        <v>519</v>
      </c>
      <c r="C200" s="166">
        <v>24</v>
      </c>
      <c r="D200" s="197">
        <v>251.98</v>
      </c>
      <c r="E200" s="166">
        <v>2597</v>
      </c>
      <c r="F200" s="338" t="s">
        <v>1066</v>
      </c>
      <c r="G200" s="34" t="str">
        <f t="shared" si="16"/>
        <v>XXXIII24RENATO DE MORAIS SILVA</v>
      </c>
      <c r="H200" s="40">
        <v>41443</v>
      </c>
      <c r="I200" s="35">
        <v>90007.26</v>
      </c>
      <c r="J200" s="35" t="s">
        <v>1249</v>
      </c>
      <c r="K200" s="35">
        <v>80131.790000000008</v>
      </c>
      <c r="L200" s="170">
        <f t="shared" si="17"/>
        <v>0.89028140618878981</v>
      </c>
      <c r="M200" s="154">
        <v>170096.05000000002</v>
      </c>
      <c r="N200" s="170">
        <f t="shared" si="18"/>
        <v>0.47109730061338873</v>
      </c>
      <c r="O200" s="170">
        <f t="shared" si="19"/>
        <v>0.53110656778418452</v>
      </c>
      <c r="P200" s="170" t="e">
        <f>IF(A200=$X$29,K200/(D200*Vendas!$U$25),IF(A200=$X$30,K200/(D200*Vendas!$U$26),IF(A200=$X$31,K200/(D200*Vendas!$U$27),IF(A200=$X$32,K200/(D200*Vendas!$U$28),IF(A200=$X$33,K200/(D200*Vendas!$U$29),IF(A200=$X$34,K200/(D200*Vendas!$U$30),IF(A200=$X$35,K200/(D200*Vendas!$U$31),IF(A200=$X$36,K200/(D200*Vendas!$U$32),0))))))))</f>
        <v>#DIV/0!</v>
      </c>
      <c r="Q200" s="170" t="e">
        <f>IF(A200=$X$29,K200/(D200*Vendas!$U$25),IF(A200=$X$30,K200/(D200*Vendas!$U$26),IF(A200=$X$31,K200/(D200*Vendas!$U$27),IF(A200=$X$32,K200/(D200*Vendas!$U$28),IF(A200=$X$33,K200/(D200*Vendas!$U$29),IF(A200=$X$34,K200/(D200*Vendas!$U$30),IF(A200=$X$35,K200/(D200*Vendas!$U$31),IF(A200=$X$36,K200/(D200*Vendas!$U$32),0))))))))</f>
        <v>#DIV/0!</v>
      </c>
    </row>
    <row r="201" spans="1:17">
      <c r="A201" s="263" t="s">
        <v>35</v>
      </c>
      <c r="B201" s="337" t="s">
        <v>519</v>
      </c>
      <c r="C201" s="73">
        <v>25</v>
      </c>
      <c r="D201" s="315">
        <v>251.98</v>
      </c>
      <c r="E201" s="166">
        <v>3856</v>
      </c>
      <c r="F201" s="74" t="s">
        <v>260</v>
      </c>
      <c r="G201" s="34" t="str">
        <f t="shared" si="16"/>
        <v>XXXIII25JOAO AMANDIO RODRIGUES DA COSTA JUNIOR</v>
      </c>
      <c r="H201" s="40">
        <v>41858</v>
      </c>
      <c r="I201" s="35">
        <v>100888.86</v>
      </c>
      <c r="J201" s="35" t="s">
        <v>1250</v>
      </c>
      <c r="K201" s="35">
        <v>264515.41000000003</v>
      </c>
      <c r="L201" s="170">
        <f t="shared" si="17"/>
        <v>2.6218495282829051</v>
      </c>
      <c r="M201" s="154">
        <v>279251.18</v>
      </c>
      <c r="N201" s="170">
        <f t="shared" si="18"/>
        <v>0.94723112718807501</v>
      </c>
      <c r="O201" s="170">
        <f t="shared" si="19"/>
        <v>1.7531852406033406</v>
      </c>
      <c r="P201" s="170" t="e">
        <f>IF(A201=$X$29,K201/(D201*Vendas!$U$25),IF(A201=$X$30,K201/(D201*Vendas!$U$26),IF(A201=$X$31,K201/(D201*Vendas!$U$27),IF(A201=$X$32,K201/(D201*Vendas!$U$28),IF(A201=$X$33,K201/(D201*Vendas!$U$29),IF(A201=$X$34,K201/(D201*Vendas!$U$30),IF(A201=$X$35,K201/(D201*Vendas!$U$31),IF(A201=$X$36,K201/(D201*Vendas!$U$32),0))))))))</f>
        <v>#DIV/0!</v>
      </c>
      <c r="Q201" s="170" t="e">
        <f>IF(A201=$X$29,K201/(D201*Vendas!$U$25),IF(A201=$X$30,K201/(D201*Vendas!$U$26),IF(A201=$X$31,K201/(D201*Vendas!$U$27),IF(A201=$X$32,K201/(D201*Vendas!$U$28),IF(A201=$X$33,K201/(D201*Vendas!$U$29),IF(A201=$X$34,K201/(D201*Vendas!$U$30),IF(A201=$X$35,K201/(D201*Vendas!$U$31),IF(A201=$X$36,K201/(D201*Vendas!$U$32),0))))))))</f>
        <v>#DIV/0!</v>
      </c>
    </row>
    <row r="202" spans="1:17">
      <c r="A202" s="263" t="s">
        <v>35</v>
      </c>
      <c r="B202" s="337" t="s">
        <v>520</v>
      </c>
      <c r="C202" s="166">
        <v>2</v>
      </c>
      <c r="D202" s="197">
        <v>265.16000000000003</v>
      </c>
      <c r="E202" s="166">
        <v>2426</v>
      </c>
      <c r="F202" s="338" t="s">
        <v>336</v>
      </c>
      <c r="G202" s="34" t="str">
        <f t="shared" si="16"/>
        <v>XXXIV2MARCIO LOPES BAZZO</v>
      </c>
      <c r="H202" s="40">
        <v>41445</v>
      </c>
      <c r="I202" s="35">
        <v>95961.4</v>
      </c>
      <c r="J202" s="35" t="s">
        <v>834</v>
      </c>
      <c r="K202" s="35">
        <v>97312.21</v>
      </c>
      <c r="L202" s="170">
        <f t="shared" si="17"/>
        <v>1.014076597465231</v>
      </c>
      <c r="M202" s="154">
        <v>187750.89</v>
      </c>
      <c r="N202" s="170">
        <f t="shared" si="18"/>
        <v>0.51830491988613214</v>
      </c>
      <c r="O202" s="170">
        <f t="shared" si="19"/>
        <v>0.61291778686666187</v>
      </c>
      <c r="P202" s="170" t="e">
        <f>IF(A202=$X$29,K202/(D202*Vendas!$U$25),IF(A202=$X$30,K202/(D202*Vendas!$U$26),IF(A202=$X$31,K202/(D202*Vendas!$U$27),IF(A202=$X$32,K202/(D202*Vendas!$U$28),IF(A202=$X$33,K202/(D202*Vendas!$U$29),IF(A202=$X$34,K202/(D202*Vendas!$U$30),IF(A202=$X$35,K202/(D202*Vendas!$U$31),IF(A202=$X$36,K202/(D202*Vendas!$U$32),0))))))))</f>
        <v>#DIV/0!</v>
      </c>
      <c r="Q202" s="170" t="e">
        <f>IF(A202=$X$29,K202/(D202*Vendas!$U$25),IF(A202=$X$30,K202/(D202*Vendas!$U$26),IF(A202=$X$31,K202/(D202*Vendas!$U$27),IF(A202=$X$32,K202/(D202*Vendas!$U$28),IF(A202=$X$33,K202/(D202*Vendas!$U$29),IF(A202=$X$34,K202/(D202*Vendas!$U$30),IF(A202=$X$35,K202/(D202*Vendas!$U$31),IF(A202=$X$36,K202/(D202*Vendas!$U$32),0))))))))</f>
        <v>#DIV/0!</v>
      </c>
    </row>
    <row r="203" spans="1:17">
      <c r="A203" s="263" t="s">
        <v>35</v>
      </c>
      <c r="B203" s="337" t="s">
        <v>520</v>
      </c>
      <c r="C203" s="73">
        <v>9</v>
      </c>
      <c r="D203" s="315">
        <v>253.5</v>
      </c>
      <c r="E203" s="166">
        <v>3777</v>
      </c>
      <c r="F203" s="74" t="s">
        <v>446</v>
      </c>
      <c r="G203" s="34" t="str">
        <f t="shared" si="16"/>
        <v>XXXIV9SILVIO AKIO NAKANO</v>
      </c>
      <c r="H203" s="40">
        <v>41791</v>
      </c>
      <c r="I203" s="35">
        <v>102204.35</v>
      </c>
      <c r="J203" s="35" t="s">
        <v>834</v>
      </c>
      <c r="K203" s="35">
        <v>105599.7</v>
      </c>
      <c r="L203" s="170">
        <f t="shared" si="17"/>
        <v>1.0332211887263114</v>
      </c>
      <c r="M203" s="154">
        <v>182724.06</v>
      </c>
      <c r="N203" s="170">
        <f t="shared" si="18"/>
        <v>0.5779189669931809</v>
      </c>
      <c r="O203" s="170">
        <f t="shared" si="19"/>
        <v>0.69570899766597805</v>
      </c>
      <c r="P203" s="170" t="e">
        <f>IF(A203=$X$29,K203/(D203*Vendas!$U$25),IF(A203=$X$30,K203/(D203*Vendas!$U$26),IF(A203=$X$31,K203/(D203*Vendas!$U$27),IF(A203=$X$32,K203/(D203*Vendas!$U$28),IF(A203=$X$33,K203/(D203*Vendas!$U$29),IF(A203=$X$34,K203/(D203*Vendas!$U$30),IF(A203=$X$35,K203/(D203*Vendas!$U$31),IF(A203=$X$36,K203/(D203*Vendas!$U$32),0))))))))</f>
        <v>#DIV/0!</v>
      </c>
      <c r="Q203" s="170" t="e">
        <f>IF(A203=$X$29,K203/(D203*Vendas!$U$25),IF(A203=$X$30,K203/(D203*Vendas!$U$26),IF(A203=$X$31,K203/(D203*Vendas!$U$27),IF(A203=$X$32,K203/(D203*Vendas!$U$28),IF(A203=$X$33,K203/(D203*Vendas!$U$29),IF(A203=$X$34,K203/(D203*Vendas!$U$30),IF(A203=$X$35,K203/(D203*Vendas!$U$31),IF(A203=$X$36,K203/(D203*Vendas!$U$32),0))))))))</f>
        <v>#DIV/0!</v>
      </c>
    </row>
    <row r="204" spans="1:17">
      <c r="A204" s="263" t="s">
        <v>35</v>
      </c>
      <c r="B204" s="337" t="s">
        <v>520</v>
      </c>
      <c r="C204" s="166">
        <v>11</v>
      </c>
      <c r="D204" s="197">
        <v>253.5</v>
      </c>
      <c r="E204" s="166">
        <v>4517</v>
      </c>
      <c r="F204" s="338" t="s">
        <v>1243</v>
      </c>
      <c r="G204" s="34" t="str">
        <f t="shared" si="16"/>
        <v>XXXIV11FERNANDO IMANISHI</v>
      </c>
      <c r="H204" s="40">
        <v>44020</v>
      </c>
      <c r="I204" s="35">
        <v>147580</v>
      </c>
      <c r="J204" s="35" t="s">
        <v>834</v>
      </c>
      <c r="K204" s="35">
        <v>147232.65</v>
      </c>
      <c r="L204" s="170">
        <f t="shared" si="17"/>
        <v>0.9976463612955685</v>
      </c>
      <c r="M204" s="154">
        <v>167265.92000000001</v>
      </c>
      <c r="N204" s="170">
        <f t="shared" si="18"/>
        <v>0.88023101179247976</v>
      </c>
      <c r="O204" s="170">
        <f t="shared" si="19"/>
        <v>0.96999403743766088</v>
      </c>
      <c r="P204" s="170" t="e">
        <f>IF(A204=$X$29,K204/(D204*Vendas!$U$25),IF(A204=$X$30,K204/(D204*Vendas!$U$26),IF(A204=$X$31,K204/(D204*Vendas!$U$27),IF(A204=$X$32,K204/(D204*Vendas!$U$28),IF(A204=$X$33,K204/(D204*Vendas!$U$29),IF(A204=$X$34,K204/(D204*Vendas!$U$30),IF(A204=$X$35,K204/(D204*Vendas!$U$31),IF(A204=$X$36,K204/(D204*Vendas!$U$32),0))))))))</f>
        <v>#DIV/0!</v>
      </c>
      <c r="Q204" s="170" t="e">
        <f>IF(A204=$X$29,K204/(D204*Vendas!$U$25),IF(A204=$X$30,K204/(D204*Vendas!$U$26),IF(A204=$X$31,K204/(D204*Vendas!$U$27),IF(A204=$X$32,K204/(D204*Vendas!$U$28),IF(A204=$X$33,K204/(D204*Vendas!$U$29),IF(A204=$X$34,K204/(D204*Vendas!$U$30),IF(A204=$X$35,K204/(D204*Vendas!$U$31),IF(A204=$X$36,K204/(D204*Vendas!$U$32),0))))))))</f>
        <v>#DIV/0!</v>
      </c>
    </row>
    <row r="205" spans="1:17">
      <c r="A205" s="263" t="s">
        <v>35</v>
      </c>
      <c r="B205" s="337" t="s">
        <v>520</v>
      </c>
      <c r="C205" s="73">
        <v>15</v>
      </c>
      <c r="D205" s="315">
        <v>292.86</v>
      </c>
      <c r="E205" s="166">
        <v>2504</v>
      </c>
      <c r="F205" s="74" t="s">
        <v>72</v>
      </c>
      <c r="G205" s="34" t="str">
        <f t="shared" si="16"/>
        <v>XXXIV15ANDRE LUIZ IWAI DA SILVA</v>
      </c>
      <c r="H205" s="40">
        <v>41445</v>
      </c>
      <c r="I205" s="35">
        <v>105986.03</v>
      </c>
      <c r="J205" s="35" t="s">
        <v>834</v>
      </c>
      <c r="K205" s="35">
        <v>107001.86</v>
      </c>
      <c r="L205" s="170">
        <f t="shared" si="17"/>
        <v>1.0095845650601309</v>
      </c>
      <c r="M205" s="154">
        <v>204932.77000000002</v>
      </c>
      <c r="N205" s="170">
        <f t="shared" si="18"/>
        <v>0.52213152635374027</v>
      </c>
      <c r="O205" s="170">
        <f t="shared" si="19"/>
        <v>0.61020276107127713</v>
      </c>
      <c r="P205" s="170" t="e">
        <f>IF(A205=$X$29,K205/(D205*Vendas!$U$25),IF(A205=$X$30,K205/(D205*Vendas!$U$26),IF(A205=$X$31,K205/(D205*Vendas!$U$27),IF(A205=$X$32,K205/(D205*Vendas!$U$28),IF(A205=$X$33,K205/(D205*Vendas!$U$29),IF(A205=$X$34,K205/(D205*Vendas!$U$30),IF(A205=$X$35,K205/(D205*Vendas!$U$31),IF(A205=$X$36,K205/(D205*Vendas!$U$32),0))))))))</f>
        <v>#DIV/0!</v>
      </c>
      <c r="Q205" s="170" t="e">
        <f>IF(A205=$X$29,K205/(D205*Vendas!$U$25),IF(A205=$X$30,K205/(D205*Vendas!$U$26),IF(A205=$X$31,K205/(D205*Vendas!$U$27),IF(A205=$X$32,K205/(D205*Vendas!$U$28),IF(A205=$X$33,K205/(D205*Vendas!$U$29),IF(A205=$X$34,K205/(D205*Vendas!$U$30),IF(A205=$X$35,K205/(D205*Vendas!$U$31),IF(A205=$X$36,K205/(D205*Vendas!$U$32),0))))))))</f>
        <v>#DIV/0!</v>
      </c>
    </row>
    <row r="206" spans="1:17">
      <c r="A206" s="263" t="s">
        <v>36</v>
      </c>
      <c r="B206" s="337" t="s">
        <v>534</v>
      </c>
      <c r="C206" s="166">
        <v>1</v>
      </c>
      <c r="D206" s="197">
        <v>378.5</v>
      </c>
      <c r="E206" s="166">
        <v>3803</v>
      </c>
      <c r="F206" s="338" t="s">
        <v>1151</v>
      </c>
      <c r="G206" s="34" t="str">
        <f t="shared" si="16"/>
        <v>IX1JOAO PAULO PASCHOALETO FRATELLI</v>
      </c>
      <c r="H206" s="40">
        <v>43892</v>
      </c>
      <c r="I206" s="35">
        <v>187530</v>
      </c>
      <c r="J206" s="35" t="s">
        <v>834</v>
      </c>
      <c r="K206" s="35">
        <v>42110.04</v>
      </c>
      <c r="L206" s="170">
        <f t="shared" si="17"/>
        <v>0.22455095184770438</v>
      </c>
      <c r="M206" s="154">
        <v>190328.16</v>
      </c>
      <c r="N206" s="170">
        <f t="shared" si="18"/>
        <v>0.22124965638295457</v>
      </c>
      <c r="O206" s="170">
        <f t="shared" si="19"/>
        <v>0.1858072559258219</v>
      </c>
      <c r="P206" s="170">
        <f>IF(A206=$X$29,K206/(D206*Vendas!$U$25),IF(A206=$X$30,K206/(D206*Vendas!$U$26),IF(A206=$X$31,K206/(D206*Vendas!$U$27),IF(A206=$X$32,K206/(D206*Vendas!$U$28),IF(A206=$X$33,K206/(D206*Vendas!$U$29),IF(A206=$X$34,K206/(D206*Vendas!$U$30),IF(A206=$X$35,K206/(D206*Vendas!$U$31),IF(A206=$X$36,K206/(D206*Vendas!$U$32),0))))))))</f>
        <v>0.18146182514282236</v>
      </c>
      <c r="Q206" s="170">
        <f>IF(A206=$X$29,K206/(D206*Vendas!$U$25),IF(A206=$X$30,K206/(D206*Vendas!$U$26),IF(A206=$X$31,K206/(D206*Vendas!$U$27),IF(A206=$X$32,K206/(D206*Vendas!$U$28),IF(A206=$X$33,K206/(D206*Vendas!$U$29),IF(A206=$X$34,K206/(D206*Vendas!$U$30),IF(A206=$X$35,K206/(D206*Vendas!$U$31),IF(A206=$X$36,K206/(D206*Vendas!$U$32),0))))))))</f>
        <v>0.18146182514282236</v>
      </c>
    </row>
    <row r="207" spans="1:17">
      <c r="A207" s="263" t="s">
        <v>36</v>
      </c>
      <c r="B207" s="337" t="s">
        <v>534</v>
      </c>
      <c r="C207" s="73">
        <v>7</v>
      </c>
      <c r="D207" s="315">
        <v>254</v>
      </c>
      <c r="E207" s="166">
        <v>4866</v>
      </c>
      <c r="F207" s="74" t="s">
        <v>1375</v>
      </c>
      <c r="G207" s="34" t="str">
        <f t="shared" si="16"/>
        <v>IX7MARCIO GEREMIAS</v>
      </c>
      <c r="H207" s="40">
        <v>44153</v>
      </c>
      <c r="I207" s="35">
        <v>149460</v>
      </c>
      <c r="J207" s="35" t="s">
        <v>834</v>
      </c>
      <c r="K207" s="35">
        <v>149518.16</v>
      </c>
      <c r="L207" s="170">
        <f t="shared" si="17"/>
        <v>1.0003891342165128</v>
      </c>
      <c r="M207" s="154">
        <v>161137.64000000001</v>
      </c>
      <c r="N207" s="170">
        <f t="shared" si="18"/>
        <v>0.92789096327835008</v>
      </c>
      <c r="O207" s="170">
        <f t="shared" si="19"/>
        <v>0.9831122931603693</v>
      </c>
      <c r="P207" s="170">
        <f>IF(A207=$X$29,K207/(D207*Vendas!$U$25),IF(A207=$X$30,K207/(D207*Vendas!$U$26),IF(A207=$X$31,K207/(D207*Vendas!$U$27),IF(A207=$X$32,K207/(D207*Vendas!$U$28),IF(A207=$X$33,K207/(D207*Vendas!$U$29),IF(A207=$X$34,K207/(D207*Vendas!$U$30),IF(A207=$X$35,K207/(D207*Vendas!$U$31),IF(A207=$X$36,K207/(D207*Vendas!$U$32),0))))))))</f>
        <v>0.96012047618014407</v>
      </c>
      <c r="Q207" s="170">
        <f>IF(A207=$X$29,K207/(D207*Vendas!$U$25),IF(A207=$X$30,K207/(D207*Vendas!$U$26),IF(A207=$X$31,K207/(D207*Vendas!$U$27),IF(A207=$X$32,K207/(D207*Vendas!$U$28),IF(A207=$X$33,K207/(D207*Vendas!$U$29),IF(A207=$X$34,K207/(D207*Vendas!$U$30),IF(A207=$X$35,K207/(D207*Vendas!$U$31),IF(A207=$X$36,K207/(D207*Vendas!$U$32),0))))))))</f>
        <v>0.96012047618014407</v>
      </c>
    </row>
    <row r="208" spans="1:17">
      <c r="A208" s="263" t="s">
        <v>36</v>
      </c>
      <c r="B208" s="337" t="s">
        <v>534</v>
      </c>
      <c r="C208" s="166">
        <v>9</v>
      </c>
      <c r="D208" s="197">
        <v>254</v>
      </c>
      <c r="E208" s="166">
        <v>3708</v>
      </c>
      <c r="F208" s="338" t="s">
        <v>167</v>
      </c>
      <c r="G208" s="34" t="str">
        <f t="shared" si="16"/>
        <v>IX9EDUARDO ALEXANDRE DA SILVA</v>
      </c>
      <c r="H208" s="40">
        <v>41730</v>
      </c>
      <c r="I208" s="35">
        <v>98669.94</v>
      </c>
      <c r="J208" s="35" t="s">
        <v>834</v>
      </c>
      <c r="K208" s="35">
        <v>3869.2000000000003</v>
      </c>
      <c r="L208" s="170">
        <f t="shared" si="17"/>
        <v>3.9213563928385889E-2</v>
      </c>
      <c r="M208" s="154">
        <v>102177.11</v>
      </c>
      <c r="N208" s="170">
        <f t="shared" si="18"/>
        <v>3.7867581105004829E-2</v>
      </c>
      <c r="O208" s="170">
        <f t="shared" si="19"/>
        <v>2.5440776456158241E-2</v>
      </c>
      <c r="P208" s="170">
        <f>IF(A208=$X$29,K208/(D208*Vendas!$U$25),IF(A208=$X$30,K208/(D208*Vendas!$U$26),IF(A208=$X$31,K208/(D208*Vendas!$U$27),IF(A208=$X$32,K208/(D208*Vendas!$U$28),IF(A208=$X$33,K208/(D208*Vendas!$U$29),IF(A208=$X$34,K208/(D208*Vendas!$U$30),IF(A208=$X$35,K208/(D208*Vendas!$U$31),IF(A208=$X$36,K208/(D208*Vendas!$U$32),0))))))))</f>
        <v>2.4845798974761416E-2</v>
      </c>
      <c r="Q208" s="170">
        <f>IF(A208=$X$29,K208/(D208*Vendas!$U$25),IF(A208=$X$30,K208/(D208*Vendas!$U$26),IF(A208=$X$31,K208/(D208*Vendas!$U$27),IF(A208=$X$32,K208/(D208*Vendas!$U$28),IF(A208=$X$33,K208/(D208*Vendas!$U$29),IF(A208=$X$34,K208/(D208*Vendas!$U$30),IF(A208=$X$35,K208/(D208*Vendas!$U$31),IF(A208=$X$36,K208/(D208*Vendas!$U$32),0))))))))</f>
        <v>2.4845798974761416E-2</v>
      </c>
    </row>
    <row r="209" spans="1:17">
      <c r="A209" s="263" t="s">
        <v>36</v>
      </c>
      <c r="B209" s="337" t="s">
        <v>534</v>
      </c>
      <c r="C209" s="73">
        <v>10</v>
      </c>
      <c r="D209" s="315">
        <v>254</v>
      </c>
      <c r="E209" s="166">
        <v>3644</v>
      </c>
      <c r="F209" s="74" t="s">
        <v>433</v>
      </c>
      <c r="G209" s="34" t="str">
        <f t="shared" si="16"/>
        <v>IX10SEBASTIAO MONTEIRO</v>
      </c>
      <c r="H209" s="40">
        <v>41730</v>
      </c>
      <c r="I209" s="35">
        <v>98669.85</v>
      </c>
      <c r="J209" s="35" t="s">
        <v>834</v>
      </c>
      <c r="K209" s="35">
        <v>37204.450000000004</v>
      </c>
      <c r="L209" s="170">
        <f t="shared" si="17"/>
        <v>0.37705996309916356</v>
      </c>
      <c r="M209" s="154">
        <v>149151.31</v>
      </c>
      <c r="N209" s="170">
        <f t="shared" si="18"/>
        <v>0.24944098714251994</v>
      </c>
      <c r="O209" s="170">
        <f t="shared" si="19"/>
        <v>0.24462682095118282</v>
      </c>
      <c r="P209" s="170">
        <f>IF(A209=$X$29,K209/(D209*Vendas!$U$25),IF(A209=$X$30,K209/(D209*Vendas!$U$26),IF(A209=$X$31,K209/(D209*Vendas!$U$27),IF(A209=$X$32,K209/(D209*Vendas!$U$28),IF(A209=$X$33,K209/(D209*Vendas!$U$29),IF(A209=$X$34,K209/(D209*Vendas!$U$30),IF(A209=$X$35,K209/(D209*Vendas!$U$31),IF(A209=$X$36,K209/(D209*Vendas!$U$32),0))))))))</f>
        <v>0.23890579077498253</v>
      </c>
      <c r="Q209" s="170">
        <f>IF(A209=$X$29,K209/(D209*Vendas!$U$25),IF(A209=$X$30,K209/(D209*Vendas!$U$26),IF(A209=$X$31,K209/(D209*Vendas!$U$27),IF(A209=$X$32,K209/(D209*Vendas!$U$28),IF(A209=$X$33,K209/(D209*Vendas!$U$29),IF(A209=$X$34,K209/(D209*Vendas!$U$30),IF(A209=$X$35,K209/(D209*Vendas!$U$31),IF(A209=$X$36,K209/(D209*Vendas!$U$32),0))))))))</f>
        <v>0.23890579077498253</v>
      </c>
    </row>
    <row r="210" spans="1:17">
      <c r="A210" s="263" t="s">
        <v>36</v>
      </c>
      <c r="B210" s="337" t="s">
        <v>534</v>
      </c>
      <c r="C210" s="166">
        <v>11</v>
      </c>
      <c r="D210" s="197">
        <v>254</v>
      </c>
      <c r="E210" s="166">
        <v>3823</v>
      </c>
      <c r="F210" s="338" t="s">
        <v>445</v>
      </c>
      <c r="G210" s="34" t="str">
        <f t="shared" si="16"/>
        <v>IX11SILVIA HELENA FIORINI ALVES</v>
      </c>
      <c r="H210" s="40">
        <v>41830</v>
      </c>
      <c r="I210" s="35">
        <v>97873.35</v>
      </c>
      <c r="J210" s="35" t="s">
        <v>834</v>
      </c>
      <c r="K210" s="35">
        <v>100930.78</v>
      </c>
      <c r="L210" s="170">
        <f t="shared" si="17"/>
        <v>1.0312386364623261</v>
      </c>
      <c r="M210" s="154">
        <v>177564.53</v>
      </c>
      <c r="N210" s="170">
        <f t="shared" si="18"/>
        <v>0.56841746490698342</v>
      </c>
      <c r="O210" s="170">
        <f t="shared" si="19"/>
        <v>0.66364039375728501</v>
      </c>
      <c r="P210" s="170">
        <f>IF(A210=$X$29,K210/(D210*Vendas!$U$25),IF(A210=$X$30,K210/(D210*Vendas!$U$26),IF(A210=$X$31,K210/(D210*Vendas!$U$27),IF(A210=$X$32,K210/(D210*Vendas!$U$28),IF(A210=$X$33,K210/(D210*Vendas!$U$29),IF(A210=$X$34,K210/(D210*Vendas!$U$30),IF(A210=$X$35,K210/(D210*Vendas!$U$31),IF(A210=$X$36,K210/(D210*Vendas!$U$32),0))))))))</f>
        <v>0.64811999127619924</v>
      </c>
      <c r="Q210" s="170">
        <f>IF(A210=$X$29,K210/(D210*Vendas!$U$25),IF(A210=$X$30,K210/(D210*Vendas!$U$26),IF(A210=$X$31,K210/(D210*Vendas!$U$27),IF(A210=$X$32,K210/(D210*Vendas!$U$28),IF(A210=$X$33,K210/(D210*Vendas!$U$29),IF(A210=$X$34,K210/(D210*Vendas!$U$30),IF(A210=$X$35,K210/(D210*Vendas!$U$31),IF(A210=$X$36,K210/(D210*Vendas!$U$32),0))))))))</f>
        <v>0.64811999127619924</v>
      </c>
    </row>
    <row r="211" spans="1:17">
      <c r="A211" s="263" t="s">
        <v>36</v>
      </c>
      <c r="B211" s="337" t="s">
        <v>534</v>
      </c>
      <c r="C211" s="73">
        <v>13</v>
      </c>
      <c r="D211" s="315">
        <v>254</v>
      </c>
      <c r="E211" s="166">
        <v>4855</v>
      </c>
      <c r="F211" s="74" t="s">
        <v>201</v>
      </c>
      <c r="G211" s="34" t="str">
        <f t="shared" si="16"/>
        <v>IX13FABIANO TERUO OMURA</v>
      </c>
      <c r="H211" s="40">
        <v>42186</v>
      </c>
      <c r="I211" s="35">
        <v>125499.4</v>
      </c>
      <c r="J211" s="35" t="s">
        <v>834</v>
      </c>
      <c r="K211" s="35">
        <v>53601.61</v>
      </c>
      <c r="L211" s="170">
        <f t="shared" si="17"/>
        <v>0.4271065040948403</v>
      </c>
      <c r="M211" s="154">
        <v>154287.95000000001</v>
      </c>
      <c r="N211" s="170">
        <f t="shared" si="18"/>
        <v>0.34741280832365712</v>
      </c>
      <c r="O211" s="170">
        <f t="shared" si="19"/>
        <v>0.35244148084879978</v>
      </c>
      <c r="P211" s="170">
        <f>IF(A211=$X$29,K211/(D211*Vendas!$U$25),IF(A211=$X$30,K211/(D211*Vendas!$U$26),IF(A211=$X$31,K211/(D211*Vendas!$U$27),IF(A211=$X$32,K211/(D211*Vendas!$U$28),IF(A211=$X$33,K211/(D211*Vendas!$U$29),IF(A211=$X$34,K211/(D211*Vendas!$U$30),IF(A211=$X$35,K211/(D211*Vendas!$U$31),IF(A211=$X$36,K211/(D211*Vendas!$U$32),0))))))))</f>
        <v>0.34419901446902751</v>
      </c>
      <c r="Q211" s="170">
        <f>IF(A211=$X$29,K211/(D211*Vendas!$U$25),IF(A211=$X$30,K211/(D211*Vendas!$U$26),IF(A211=$X$31,K211/(D211*Vendas!$U$27),IF(A211=$X$32,K211/(D211*Vendas!$U$28),IF(A211=$X$33,K211/(D211*Vendas!$U$29),IF(A211=$X$34,K211/(D211*Vendas!$U$30),IF(A211=$X$35,K211/(D211*Vendas!$U$31),IF(A211=$X$36,K211/(D211*Vendas!$U$32),0))))))))</f>
        <v>0.34419901446902751</v>
      </c>
    </row>
    <row r="212" spans="1:17">
      <c r="A212" s="263" t="s">
        <v>36</v>
      </c>
      <c r="B212" s="337" t="s">
        <v>534</v>
      </c>
      <c r="C212" s="166">
        <v>16</v>
      </c>
      <c r="D212" s="197">
        <v>254</v>
      </c>
      <c r="E212" s="166">
        <v>4934</v>
      </c>
      <c r="F212" s="338" t="s">
        <v>84</v>
      </c>
      <c r="G212" s="34" t="str">
        <f t="shared" si="16"/>
        <v>IX16ARLINDO MARCOS FIRMINO</v>
      </c>
      <c r="H212" s="40">
        <v>42230</v>
      </c>
      <c r="I212" s="35">
        <v>128900.61</v>
      </c>
      <c r="J212" s="35" t="s">
        <v>834</v>
      </c>
      <c r="K212" s="35">
        <v>120150</v>
      </c>
      <c r="L212" s="170">
        <f t="shared" si="17"/>
        <v>0.9321135097809079</v>
      </c>
      <c r="M212" s="154">
        <v>183708.25</v>
      </c>
      <c r="N212" s="170">
        <f t="shared" si="18"/>
        <v>0.65402615288099475</v>
      </c>
      <c r="O212" s="170">
        <f t="shared" si="19"/>
        <v>0.79001067176868933</v>
      </c>
      <c r="P212" s="170">
        <f>IF(A212=$X$29,K212/(D212*Vendas!$U$25),IF(A212=$X$30,K212/(D212*Vendas!$U$26),IF(A212=$X$31,K212/(D212*Vendas!$U$27),IF(A212=$X$32,K212/(D212*Vendas!$U$28),IF(A212=$X$33,K212/(D212*Vendas!$U$29),IF(A212=$X$34,K212/(D212*Vendas!$U$30),IF(A212=$X$35,K212/(D212*Vendas!$U$31),IF(A212=$X$36,K212/(D212*Vendas!$U$32),0))))))))</f>
        <v>0.77153487718845859</v>
      </c>
      <c r="Q212" s="170">
        <f>IF(A212=$X$29,K212/(D212*Vendas!$U$25),IF(A212=$X$30,K212/(D212*Vendas!$U$26),IF(A212=$X$31,K212/(D212*Vendas!$U$27),IF(A212=$X$32,K212/(D212*Vendas!$U$28),IF(A212=$X$33,K212/(D212*Vendas!$U$29),IF(A212=$X$34,K212/(D212*Vendas!$U$30),IF(A212=$X$35,K212/(D212*Vendas!$U$31),IF(A212=$X$36,K212/(D212*Vendas!$U$32),0))))))))</f>
        <v>0.77153487718845859</v>
      </c>
    </row>
    <row r="213" spans="1:17">
      <c r="A213" s="263" t="s">
        <v>36</v>
      </c>
      <c r="B213" s="337" t="s">
        <v>534</v>
      </c>
      <c r="C213" s="73">
        <v>22</v>
      </c>
      <c r="D213" s="315">
        <v>254</v>
      </c>
      <c r="E213" s="166">
        <v>5052</v>
      </c>
      <c r="F213" s="74" t="s">
        <v>869</v>
      </c>
      <c r="G213" s="34" t="str">
        <f t="shared" si="16"/>
        <v>IX22NILVA APARECIDA DINIS RIBEIRO</v>
      </c>
      <c r="H213" s="40">
        <v>42360</v>
      </c>
      <c r="I213" s="35">
        <v>123000.4</v>
      </c>
      <c r="J213" s="35" t="s">
        <v>834</v>
      </c>
      <c r="K213" s="35">
        <v>94699.05</v>
      </c>
      <c r="L213" s="170">
        <f t="shared" si="17"/>
        <v>0.7699084718423681</v>
      </c>
      <c r="M213" s="154">
        <v>214762.18</v>
      </c>
      <c r="N213" s="170">
        <f t="shared" si="18"/>
        <v>0.44094844818580259</v>
      </c>
      <c r="O213" s="170">
        <f t="shared" si="19"/>
        <v>0.62266550234171203</v>
      </c>
      <c r="P213" s="170">
        <f>IF(A213=$X$29,K213/(D213*Vendas!$U$25),IF(A213=$X$30,K213/(D213*Vendas!$U$26),IF(A213=$X$31,K213/(D213*Vendas!$U$27),IF(A213=$X$32,K213/(D213*Vendas!$U$28),IF(A213=$X$33,K213/(D213*Vendas!$U$29),IF(A213=$X$34,K213/(D213*Vendas!$U$30),IF(A213=$X$35,K213/(D213*Vendas!$U$31),IF(A213=$X$36,K213/(D213*Vendas!$U$32),0))))))))</f>
        <v>0.60810337005088388</v>
      </c>
      <c r="Q213" s="170">
        <f>IF(A213=$X$29,K213/(D213*Vendas!$U$25),IF(A213=$X$30,K213/(D213*Vendas!$U$26),IF(A213=$X$31,K213/(D213*Vendas!$U$27),IF(A213=$X$32,K213/(D213*Vendas!$U$28),IF(A213=$X$33,K213/(D213*Vendas!$U$29),IF(A213=$X$34,K213/(D213*Vendas!$U$30),IF(A213=$X$35,K213/(D213*Vendas!$U$31),IF(A213=$X$36,K213/(D213*Vendas!$U$32),0))))))))</f>
        <v>0.60810337005088388</v>
      </c>
    </row>
    <row r="214" spans="1:17">
      <c r="A214" s="263" t="s">
        <v>36</v>
      </c>
      <c r="B214" s="337" t="s">
        <v>534</v>
      </c>
      <c r="C214" s="166">
        <v>23</v>
      </c>
      <c r="D214" s="197">
        <v>254</v>
      </c>
      <c r="E214" s="166">
        <v>5009</v>
      </c>
      <c r="F214" s="338" t="s">
        <v>1486</v>
      </c>
      <c r="G214" s="34" t="str">
        <f t="shared" si="16"/>
        <v>IX23SIRLEI RIBEIRO</v>
      </c>
      <c r="H214" s="40">
        <v>44231</v>
      </c>
      <c r="I214" s="35">
        <v>156509.6</v>
      </c>
      <c r="J214" s="35" t="s">
        <v>834</v>
      </c>
      <c r="K214" s="35">
        <v>147286.87</v>
      </c>
      <c r="L214" s="170">
        <f t="shared" si="17"/>
        <v>0.9410724326175518</v>
      </c>
      <c r="M214" s="154">
        <v>159390.33000000002</v>
      </c>
      <c r="N214" s="170">
        <f t="shared" si="18"/>
        <v>0.924064025715989</v>
      </c>
      <c r="O214" s="170">
        <f t="shared" si="19"/>
        <v>0.96844110787688398</v>
      </c>
      <c r="P214" s="170">
        <f>IF(A214=$X$29,K214/(D214*Vendas!$U$25),IF(A214=$X$30,K214/(D214*Vendas!$U$26),IF(A214=$X$31,K214/(D214*Vendas!$U$27),IF(A214=$X$32,K214/(D214*Vendas!$U$28),IF(A214=$X$33,K214/(D214*Vendas!$U$29),IF(A214=$X$34,K214/(D214*Vendas!$U$30),IF(A214=$X$35,K214/(D214*Vendas!$U$31),IF(A214=$X$36,K214/(D214*Vendas!$U$32),0))))))))</f>
        <v>0.94579240247126484</v>
      </c>
      <c r="Q214" s="170">
        <f>IF(A214=$X$29,K214/(D214*Vendas!$U$25),IF(A214=$X$30,K214/(D214*Vendas!$U$26),IF(A214=$X$31,K214/(D214*Vendas!$U$27),IF(A214=$X$32,K214/(D214*Vendas!$U$28),IF(A214=$X$33,K214/(D214*Vendas!$U$29),IF(A214=$X$34,K214/(D214*Vendas!$U$30),IF(A214=$X$35,K214/(D214*Vendas!$U$31),IF(A214=$X$36,K214/(D214*Vendas!$U$32),0))))))))</f>
        <v>0.94579240247126484</v>
      </c>
    </row>
    <row r="215" spans="1:17">
      <c r="A215" s="263" t="s">
        <v>36</v>
      </c>
      <c r="B215" s="337" t="s">
        <v>534</v>
      </c>
      <c r="C215" s="73">
        <v>24</v>
      </c>
      <c r="D215" s="315">
        <v>254</v>
      </c>
      <c r="E215" s="166">
        <v>5011</v>
      </c>
      <c r="F215" s="74" t="s">
        <v>1487</v>
      </c>
      <c r="G215" s="34" t="str">
        <f t="shared" si="16"/>
        <v>IX24RAFAEL APARECIDO DE SOUZA</v>
      </c>
      <c r="H215" s="40">
        <v>44231</v>
      </c>
      <c r="I215" s="35">
        <v>156933</v>
      </c>
      <c r="J215" s="35" t="s">
        <v>834</v>
      </c>
      <c r="K215" s="35">
        <v>151952.15</v>
      </c>
      <c r="L215" s="170">
        <f t="shared" si="17"/>
        <v>0.96826129622195456</v>
      </c>
      <c r="M215" s="154">
        <v>159893.29</v>
      </c>
      <c r="N215" s="170">
        <f t="shared" si="18"/>
        <v>0.95033475138325063</v>
      </c>
      <c r="O215" s="170">
        <f t="shared" si="19"/>
        <v>0.99911627214479093</v>
      </c>
      <c r="P215" s="170">
        <f>IF(A215=$X$29,K215/(D215*Vendas!$U$25),IF(A215=$X$30,K215/(D215*Vendas!$U$26),IF(A215=$X$31,K215/(D215*Vendas!$U$27),IF(A215=$X$32,K215/(D215*Vendas!$U$28),IF(A215=$X$33,K215/(D215*Vendas!$U$29),IF(A215=$X$34,K215/(D215*Vendas!$U$30),IF(A215=$X$35,K215/(D215*Vendas!$U$31),IF(A215=$X$36,K215/(D215*Vendas!$U$32),0))))))))</f>
        <v>0.97575017385578222</v>
      </c>
      <c r="Q215" s="170">
        <f>IF(A215=$X$29,K215/(D215*Vendas!$U$25),IF(A215=$X$30,K215/(D215*Vendas!$U$26),IF(A215=$X$31,K215/(D215*Vendas!$U$27),IF(A215=$X$32,K215/(D215*Vendas!$U$28),IF(A215=$X$33,K215/(D215*Vendas!$U$29),IF(A215=$X$34,K215/(D215*Vendas!$U$30),IF(A215=$X$35,K215/(D215*Vendas!$U$31),IF(A215=$X$36,K215/(D215*Vendas!$U$32),0))))))))</f>
        <v>0.97575017385578222</v>
      </c>
    </row>
    <row r="216" spans="1:17">
      <c r="A216" s="263" t="s">
        <v>36</v>
      </c>
      <c r="B216" s="337" t="s">
        <v>534</v>
      </c>
      <c r="C216" s="166">
        <v>25</v>
      </c>
      <c r="D216" s="197">
        <v>254</v>
      </c>
      <c r="E216" s="166">
        <v>5180</v>
      </c>
      <c r="F216" s="338" t="s">
        <v>430</v>
      </c>
      <c r="G216" s="34" t="str">
        <f t="shared" si="16"/>
        <v>IX25SANDRA KAAFA SOUTELLO</v>
      </c>
      <c r="H216" s="40">
        <v>42461</v>
      </c>
      <c r="I216" s="35">
        <v>129799.35</v>
      </c>
      <c r="J216" s="35" t="s">
        <v>1250</v>
      </c>
      <c r="K216" s="35">
        <v>149578.11000000002</v>
      </c>
      <c r="L216" s="170">
        <f t="shared" si="17"/>
        <v>1.1523794995891736</v>
      </c>
      <c r="M216" s="154">
        <v>225013.05000000002</v>
      </c>
      <c r="N216" s="170">
        <f t="shared" si="18"/>
        <v>0.6647530443234293</v>
      </c>
      <c r="O216" s="170">
        <f t="shared" si="19"/>
        <v>0.98350647659584611</v>
      </c>
      <c r="P216" s="170">
        <f>IF(A216=$X$29,K216/(D216*Vendas!$U$25),IF(A216=$X$30,K216/(D216*Vendas!$U$26),IF(A216=$X$31,K216/(D216*Vendas!$U$27),IF(A216=$X$32,K216/(D216*Vendas!$U$28),IF(A216=$X$33,K216/(D216*Vendas!$U$29),IF(A216=$X$34,K216/(D216*Vendas!$U$30),IF(A216=$X$35,K216/(D216*Vendas!$U$31),IF(A216=$X$36,K216/(D216*Vendas!$U$32),0))))))))</f>
        <v>0.96050544093992307</v>
      </c>
      <c r="Q216" s="170">
        <f>IF(A216=$X$29,K216/(D216*Vendas!$U$25),IF(A216=$X$30,K216/(D216*Vendas!$U$26),IF(A216=$X$31,K216/(D216*Vendas!$U$27),IF(A216=$X$32,K216/(D216*Vendas!$U$28),IF(A216=$X$33,K216/(D216*Vendas!$U$29),IF(A216=$X$34,K216/(D216*Vendas!$U$30),IF(A216=$X$35,K216/(D216*Vendas!$U$31),IF(A216=$X$36,K216/(D216*Vendas!$U$32),0))))))))</f>
        <v>0.96050544093992307</v>
      </c>
    </row>
    <row r="217" spans="1:17">
      <c r="A217" s="263" t="s">
        <v>36</v>
      </c>
      <c r="B217" s="337" t="s">
        <v>534</v>
      </c>
      <c r="C217" s="73">
        <v>26</v>
      </c>
      <c r="D217" s="315">
        <v>254</v>
      </c>
      <c r="E217" s="166">
        <v>5181</v>
      </c>
      <c r="F217" s="74" t="s">
        <v>430</v>
      </c>
      <c r="G217" s="34" t="str">
        <f t="shared" si="16"/>
        <v>IX26SANDRA KAAFA SOUTELLO</v>
      </c>
      <c r="H217" s="40">
        <v>42461</v>
      </c>
      <c r="I217" s="35">
        <v>129800.55</v>
      </c>
      <c r="J217" s="35" t="s">
        <v>1250</v>
      </c>
      <c r="K217" s="35">
        <v>154040.79</v>
      </c>
      <c r="L217" s="170">
        <f t="shared" si="17"/>
        <v>1.186749902061278</v>
      </c>
      <c r="M217" s="154">
        <v>227856.43</v>
      </c>
      <c r="N217" s="170">
        <f t="shared" si="18"/>
        <v>0.67604319965866233</v>
      </c>
      <c r="O217" s="170">
        <f t="shared" si="19"/>
        <v>1.0128495046831427</v>
      </c>
      <c r="P217" s="170">
        <f>IF(A217=$X$29,K217/(D217*Vendas!$U$25),IF(A217=$X$30,K217/(D217*Vendas!$U$26),IF(A217=$X$31,K217/(D217*Vendas!$U$27),IF(A217=$X$32,K217/(D217*Vendas!$U$28),IF(A217=$X$33,K217/(D217*Vendas!$U$29),IF(A217=$X$34,K217/(D217*Vendas!$U$30),IF(A217=$X$35,K217/(D217*Vendas!$U$31),IF(A217=$X$36,K217/(D217*Vendas!$U$32),0))))))))</f>
        <v>0.98916223050073371</v>
      </c>
      <c r="Q217" s="170">
        <f>IF(A217=$X$29,K217/(D217*Vendas!$U$25),IF(A217=$X$30,K217/(D217*Vendas!$U$26),IF(A217=$X$31,K217/(D217*Vendas!$U$27),IF(A217=$X$32,K217/(D217*Vendas!$U$28),IF(A217=$X$33,K217/(D217*Vendas!$U$29),IF(A217=$X$34,K217/(D217*Vendas!$U$30),IF(A217=$X$35,K217/(D217*Vendas!$U$31),IF(A217=$X$36,K217/(D217*Vendas!$U$32),0))))))))</f>
        <v>0.98916223050073371</v>
      </c>
    </row>
    <row r="218" spans="1:17">
      <c r="A218" s="263" t="s">
        <v>36</v>
      </c>
      <c r="B218" s="337" t="s">
        <v>534</v>
      </c>
      <c r="C218" s="166">
        <v>27</v>
      </c>
      <c r="D218" s="197">
        <v>254</v>
      </c>
      <c r="E218" s="166">
        <v>5182</v>
      </c>
      <c r="F218" s="338" t="s">
        <v>1035</v>
      </c>
      <c r="G218" s="34" t="str">
        <f t="shared" si="16"/>
        <v>IX27ROBERTO LOPES DE LIMA</v>
      </c>
      <c r="H218" s="40">
        <v>42461</v>
      </c>
      <c r="I218" s="35">
        <v>129800.55</v>
      </c>
      <c r="J218" s="35" t="s">
        <v>1250</v>
      </c>
      <c r="K218" s="35">
        <v>157598.96</v>
      </c>
      <c r="L218" s="170">
        <f t="shared" si="17"/>
        <v>1.214162497770618</v>
      </c>
      <c r="M218" s="154">
        <v>230750.28</v>
      </c>
      <c r="N218" s="170">
        <f t="shared" si="18"/>
        <v>0.68298491338775402</v>
      </c>
      <c r="O218" s="170">
        <f t="shared" si="19"/>
        <v>1.0362451956691368</v>
      </c>
      <c r="P218" s="170">
        <f>IF(A218=$X$29,K218/(D218*Vendas!$U$25),IF(A218=$X$30,K218/(D218*Vendas!$U$26),IF(A218=$X$31,K218/(D218*Vendas!$U$27),IF(A218=$X$32,K218/(D218*Vendas!$U$28),IF(A218=$X$33,K218/(D218*Vendas!$U$29),IF(A218=$X$34,K218/(D218*Vendas!$U$30),IF(A218=$X$35,K218/(D218*Vendas!$U$31),IF(A218=$X$36,K218/(D218*Vendas!$U$32),0))))))))</f>
        <v>1.0120107719403146</v>
      </c>
      <c r="Q218" s="170">
        <f>IF(A218=$X$29,K218/(D218*Vendas!$U$25),IF(A218=$X$30,K218/(D218*Vendas!$U$26),IF(A218=$X$31,K218/(D218*Vendas!$U$27),IF(A218=$X$32,K218/(D218*Vendas!$U$28),IF(A218=$X$33,K218/(D218*Vendas!$U$29),IF(A218=$X$34,K218/(D218*Vendas!$U$30),IF(A218=$X$35,K218/(D218*Vendas!$U$31),IF(A218=$X$36,K218/(D218*Vendas!$U$32),0))))))))</f>
        <v>1.0120107719403146</v>
      </c>
    </row>
    <row r="219" spans="1:17">
      <c r="A219" s="263" t="s">
        <v>36</v>
      </c>
      <c r="B219" s="337" t="s">
        <v>534</v>
      </c>
      <c r="C219" s="73">
        <v>28</v>
      </c>
      <c r="D219" s="315">
        <v>254</v>
      </c>
      <c r="E219" s="166">
        <v>5195</v>
      </c>
      <c r="F219" s="74" t="s">
        <v>146</v>
      </c>
      <c r="G219" s="34" t="str">
        <f t="shared" si="16"/>
        <v>IX28DIOGO RIBEIRO GARCIA</v>
      </c>
      <c r="H219" s="40">
        <v>42467</v>
      </c>
      <c r="I219" s="35">
        <v>129799.4</v>
      </c>
      <c r="J219" s="35" t="s">
        <v>834</v>
      </c>
      <c r="K219" s="35">
        <v>71406.759999999995</v>
      </c>
      <c r="L219" s="170">
        <f t="shared" si="17"/>
        <v>0.55013166470723285</v>
      </c>
      <c r="M219" s="154">
        <v>188474.36000000002</v>
      </c>
      <c r="N219" s="170">
        <f t="shared" si="18"/>
        <v>0.3788672369016135</v>
      </c>
      <c r="O219" s="170">
        <f t="shared" si="19"/>
        <v>0.46951396118539795</v>
      </c>
      <c r="P219" s="170">
        <f>IF(A219=$X$29,K219/(D219*Vendas!$U$25),IF(A219=$X$30,K219/(D219*Vendas!$U$26),IF(A219=$X$31,K219/(D219*Vendas!$U$27),IF(A219=$X$32,K219/(D219*Vendas!$U$28),IF(A219=$X$33,K219/(D219*Vendas!$U$29),IF(A219=$X$34,K219/(D219*Vendas!$U$30),IF(A219=$X$35,K219/(D219*Vendas!$U$31),IF(A219=$X$36,K219/(D219*Vendas!$U$32),0))))))))</f>
        <v>0.45853354812339353</v>
      </c>
      <c r="Q219" s="170">
        <f>IF(A219=$X$29,K219/(D219*Vendas!$U$25),IF(A219=$X$30,K219/(D219*Vendas!$U$26),IF(A219=$X$31,K219/(D219*Vendas!$U$27),IF(A219=$X$32,K219/(D219*Vendas!$U$28),IF(A219=$X$33,K219/(D219*Vendas!$U$29),IF(A219=$X$34,K219/(D219*Vendas!$U$30),IF(A219=$X$35,K219/(D219*Vendas!$U$31),IF(A219=$X$36,K219/(D219*Vendas!$U$32),0))))))))</f>
        <v>0.45853354812339353</v>
      </c>
    </row>
    <row r="220" spans="1:17">
      <c r="A220" s="263" t="s">
        <v>36</v>
      </c>
      <c r="B220" s="337" t="s">
        <v>534</v>
      </c>
      <c r="C220" s="166">
        <v>30</v>
      </c>
      <c r="D220" s="197">
        <v>254</v>
      </c>
      <c r="E220" s="166">
        <v>5151</v>
      </c>
      <c r="F220" s="338" t="s">
        <v>353</v>
      </c>
      <c r="G220" s="34" t="str">
        <f t="shared" si="16"/>
        <v>IX30MARIA GERALDA DE OLIVEIRA</v>
      </c>
      <c r="H220" s="40">
        <v>42439</v>
      </c>
      <c r="I220" s="35">
        <v>116820</v>
      </c>
      <c r="J220" s="35" t="s">
        <v>834</v>
      </c>
      <c r="K220" s="35">
        <v>36839.54</v>
      </c>
      <c r="L220" s="170">
        <f t="shared" si="17"/>
        <v>0.31535302174285224</v>
      </c>
      <c r="M220" s="154">
        <v>181454.55000000002</v>
      </c>
      <c r="N220" s="170">
        <f t="shared" si="18"/>
        <v>0.20302351194830881</v>
      </c>
      <c r="O220" s="170">
        <f t="shared" si="19"/>
        <v>0.24222746352933416</v>
      </c>
      <c r="P220" s="170">
        <f>IF(A220=$X$29,K220/(D220*Vendas!$U$25),IF(A220=$X$30,K220/(D220*Vendas!$U$26),IF(A220=$X$31,K220/(D220*Vendas!$U$27),IF(A220=$X$32,K220/(D220*Vendas!$U$28),IF(A220=$X$33,K220/(D220*Vendas!$U$29),IF(A220=$X$34,K220/(D220*Vendas!$U$30),IF(A220=$X$35,K220/(D220*Vendas!$U$31),IF(A220=$X$36,K220/(D220*Vendas!$U$32),0))))))))</f>
        <v>0.23656254656329012</v>
      </c>
      <c r="Q220" s="170">
        <f>IF(A220=$X$29,K220/(D220*Vendas!$U$25),IF(A220=$X$30,K220/(D220*Vendas!$U$26),IF(A220=$X$31,K220/(D220*Vendas!$U$27),IF(A220=$X$32,K220/(D220*Vendas!$U$28),IF(A220=$X$33,K220/(D220*Vendas!$U$29),IF(A220=$X$34,K220/(D220*Vendas!$U$30),IF(A220=$X$35,K220/(D220*Vendas!$U$31),IF(A220=$X$36,K220/(D220*Vendas!$U$32),0))))))))</f>
        <v>0.23656254656329012</v>
      </c>
    </row>
    <row r="221" spans="1:17">
      <c r="A221" s="263" t="s">
        <v>36</v>
      </c>
      <c r="B221" s="337" t="s">
        <v>534</v>
      </c>
      <c r="C221" s="73">
        <v>31</v>
      </c>
      <c r="D221" s="315">
        <v>254</v>
      </c>
      <c r="E221" s="166">
        <v>4780</v>
      </c>
      <c r="F221" s="74" t="s">
        <v>1323</v>
      </c>
      <c r="G221" s="34" t="str">
        <f t="shared" si="16"/>
        <v>IX31WANDERLEI ROSA</v>
      </c>
      <c r="H221" s="40">
        <v>44078</v>
      </c>
      <c r="I221" s="35">
        <v>133950.1</v>
      </c>
      <c r="J221" s="35" t="s">
        <v>834</v>
      </c>
      <c r="K221" s="35">
        <v>87441.12</v>
      </c>
      <c r="L221" s="170">
        <f t="shared" si="17"/>
        <v>0.65278876238240946</v>
      </c>
      <c r="M221" s="154">
        <v>137848.63</v>
      </c>
      <c r="N221" s="170">
        <f t="shared" si="18"/>
        <v>0.63432708761777312</v>
      </c>
      <c r="O221" s="170">
        <f t="shared" si="19"/>
        <v>0.57494313734004632</v>
      </c>
      <c r="P221" s="170">
        <f>IF(A221=$X$29,K221/(D221*Vendas!$U$25),IF(A221=$X$30,K221/(D221*Vendas!$U$26),IF(A221=$X$31,K221/(D221*Vendas!$U$27),IF(A221=$X$32,K221/(D221*Vendas!$U$28),IF(A221=$X$33,K221/(D221*Vendas!$U$29),IF(A221=$X$34,K221/(D221*Vendas!$U$30),IF(A221=$X$35,K221/(D221*Vendas!$U$31),IF(A221=$X$36,K221/(D221*Vendas!$U$32),0))))))))</f>
        <v>0.56149707682414707</v>
      </c>
      <c r="Q221" s="170">
        <f>IF(A221=$X$29,K221/(D221*Vendas!$U$25),IF(A221=$X$30,K221/(D221*Vendas!$U$26),IF(A221=$X$31,K221/(D221*Vendas!$U$27),IF(A221=$X$32,K221/(D221*Vendas!$U$28),IF(A221=$X$33,K221/(D221*Vendas!$U$29),IF(A221=$X$34,K221/(D221*Vendas!$U$30),IF(A221=$X$35,K221/(D221*Vendas!$U$31),IF(A221=$X$36,K221/(D221*Vendas!$U$32),0))))))))</f>
        <v>0.56149707682414707</v>
      </c>
    </row>
    <row r="222" spans="1:17">
      <c r="A222" s="263" t="s">
        <v>36</v>
      </c>
      <c r="B222" s="337" t="s">
        <v>521</v>
      </c>
      <c r="C222" s="166">
        <v>1</v>
      </c>
      <c r="D222" s="197">
        <v>290.68</v>
      </c>
      <c r="E222" s="166">
        <v>3629</v>
      </c>
      <c r="F222" s="338" t="s">
        <v>117</v>
      </c>
      <c r="G222" s="34" t="str">
        <f t="shared" si="16"/>
        <v>XIII1CLAUDIO MORYAMA</v>
      </c>
      <c r="H222" s="40">
        <v>41730</v>
      </c>
      <c r="I222" s="35">
        <v>112461.68</v>
      </c>
      <c r="J222" s="35" t="s">
        <v>834</v>
      </c>
      <c r="K222" s="35">
        <v>112333.93000000001</v>
      </c>
      <c r="L222" s="170">
        <f t="shared" si="17"/>
        <v>0.99886405751719176</v>
      </c>
      <c r="M222" s="154">
        <v>199572.87</v>
      </c>
      <c r="N222" s="170">
        <f t="shared" si="18"/>
        <v>0.56287174704658005</v>
      </c>
      <c r="O222" s="170">
        <f t="shared" si="19"/>
        <v>0.64541447432247057</v>
      </c>
      <c r="P222" s="170">
        <f>IF(A222=$X$29,K222/(D222*Vendas!$U$25),IF(A222=$X$30,K222/(D222*Vendas!$U$26),IF(A222=$X$31,K222/(D222*Vendas!$U$27),IF(A222=$X$32,K222/(D222*Vendas!$U$28),IF(A222=$X$33,K222/(D222*Vendas!$U$29),IF(A222=$X$34,K222/(D222*Vendas!$U$30),IF(A222=$X$35,K222/(D222*Vendas!$U$31),IF(A222=$X$36,K222/(D222*Vendas!$U$32),0))))))))</f>
        <v>0.63032031715115966</v>
      </c>
      <c r="Q222" s="170">
        <f>IF(A222=$X$29,K222/(D222*Vendas!$U$25),IF(A222=$X$30,K222/(D222*Vendas!$U$26),IF(A222=$X$31,K222/(D222*Vendas!$U$27),IF(A222=$X$32,K222/(D222*Vendas!$U$28),IF(A222=$X$33,K222/(D222*Vendas!$U$29),IF(A222=$X$34,K222/(D222*Vendas!$U$30),IF(A222=$X$35,K222/(D222*Vendas!$U$31),IF(A222=$X$36,K222/(D222*Vendas!$U$32),0))))))))</f>
        <v>0.63032031715115966</v>
      </c>
    </row>
    <row r="223" spans="1:17">
      <c r="A223" s="263" t="s">
        <v>36</v>
      </c>
      <c r="B223" s="337" t="s">
        <v>521</v>
      </c>
      <c r="C223" s="73">
        <v>3</v>
      </c>
      <c r="D223" s="315">
        <v>250.75</v>
      </c>
      <c r="E223" s="166">
        <v>3791</v>
      </c>
      <c r="F223" s="74" t="s">
        <v>351</v>
      </c>
      <c r="G223" s="34" t="str">
        <f t="shared" si="16"/>
        <v>XIII3MARIA DAS GRACAS FONSECA MORAES</v>
      </c>
      <c r="H223" s="40">
        <v>41814</v>
      </c>
      <c r="I223" s="35">
        <v>99075.15</v>
      </c>
      <c r="J223" s="35" t="s">
        <v>1250</v>
      </c>
      <c r="K223" s="35">
        <v>218744.03</v>
      </c>
      <c r="L223" s="170">
        <f t="shared" si="17"/>
        <v>2.2078596903461665</v>
      </c>
      <c r="M223" s="154">
        <v>249523.99</v>
      </c>
      <c r="N223" s="170">
        <f t="shared" si="18"/>
        <v>0.87664528769358008</v>
      </c>
      <c r="O223" s="170">
        <f t="shared" si="19"/>
        <v>1.4569282578818796</v>
      </c>
      <c r="P223" s="170">
        <f>IF(A223=$X$29,K223/(D223*Vendas!$U$25),IF(A223=$X$30,K223/(D223*Vendas!$U$26),IF(A223=$X$31,K223/(D223*Vendas!$U$27),IF(A223=$X$32,K223/(D223*Vendas!$U$28),IF(A223=$X$33,K223/(D223*Vendas!$U$29),IF(A223=$X$34,K223/(D223*Vendas!$U$30),IF(A223=$X$35,K223/(D223*Vendas!$U$31),IF(A223=$X$36,K223/(D223*Vendas!$U$32),0))))))))</f>
        <v>1.422855417890371</v>
      </c>
      <c r="Q223" s="170">
        <f>IF(A223=$X$29,K223/(D223*Vendas!$U$25),IF(A223=$X$30,K223/(D223*Vendas!$U$26),IF(A223=$X$31,K223/(D223*Vendas!$U$27),IF(A223=$X$32,K223/(D223*Vendas!$U$28),IF(A223=$X$33,K223/(D223*Vendas!$U$29),IF(A223=$X$34,K223/(D223*Vendas!$U$30),IF(A223=$X$35,K223/(D223*Vendas!$U$31),IF(A223=$X$36,K223/(D223*Vendas!$U$32),0))))))))</f>
        <v>1.422855417890371</v>
      </c>
    </row>
    <row r="224" spans="1:17">
      <c r="A224" s="263" t="s">
        <v>36</v>
      </c>
      <c r="B224" s="337" t="s">
        <v>521</v>
      </c>
      <c r="C224" s="166">
        <v>7</v>
      </c>
      <c r="D224" s="197">
        <v>250.75</v>
      </c>
      <c r="E224" s="166"/>
      <c r="F224" s="338" t="s">
        <v>1048</v>
      </c>
      <c r="G224" s="34" t="str">
        <f t="shared" si="16"/>
        <v>XIII7HELTON LUIS DE OLIVEIRA</v>
      </c>
      <c r="H224" s="40">
        <v>43691</v>
      </c>
      <c r="I224" s="35">
        <v>141000</v>
      </c>
      <c r="J224" s="35" t="s">
        <v>834</v>
      </c>
      <c r="K224" s="35">
        <v>139654.9</v>
      </c>
      <c r="L224" s="170">
        <f t="shared" si="17"/>
        <v>0.99046028368794325</v>
      </c>
      <c r="M224" s="154">
        <v>177346.17</v>
      </c>
      <c r="N224" s="170">
        <f t="shared" si="18"/>
        <v>0.78747062877083829</v>
      </c>
      <c r="O224" s="170">
        <f t="shared" si="19"/>
        <v>0.9301610204478179</v>
      </c>
      <c r="P224" s="170">
        <f>IF(A224=$X$29,K224/(D224*Vendas!$U$25),IF(A224=$X$30,K224/(D224*Vendas!$U$26),IF(A224=$X$31,K224/(D224*Vendas!$U$27),IF(A224=$X$32,K224/(D224*Vendas!$U$28),IF(A224=$X$33,K224/(D224*Vendas!$U$29),IF(A224=$X$34,K224/(D224*Vendas!$U$30),IF(A224=$X$35,K224/(D224*Vendas!$U$31),IF(A224=$X$36,K224/(D224*Vendas!$U$32),0))))))))</f>
        <v>0.90840756248267873</v>
      </c>
      <c r="Q224" s="170">
        <f>IF(A224=$X$29,K224/(D224*Vendas!$U$25),IF(A224=$X$30,K224/(D224*Vendas!$U$26),IF(A224=$X$31,K224/(D224*Vendas!$U$27),IF(A224=$X$32,K224/(D224*Vendas!$U$28),IF(A224=$X$33,K224/(D224*Vendas!$U$29),IF(A224=$X$34,K224/(D224*Vendas!$U$30),IF(A224=$X$35,K224/(D224*Vendas!$U$31),IF(A224=$X$36,K224/(D224*Vendas!$U$32),0))))))))</f>
        <v>0.90840756248267873</v>
      </c>
    </row>
    <row r="225" spans="1:17">
      <c r="A225" s="263" t="s">
        <v>36</v>
      </c>
      <c r="B225" s="337" t="s">
        <v>521</v>
      </c>
      <c r="C225" s="73">
        <v>13</v>
      </c>
      <c r="D225" s="315">
        <v>250.75</v>
      </c>
      <c r="E225" s="166">
        <v>3908</v>
      </c>
      <c r="F225" s="74" t="s">
        <v>404</v>
      </c>
      <c r="G225" s="34" t="str">
        <f t="shared" si="16"/>
        <v>XIII13RAFAELI FRARE DE SIQUEIRA</v>
      </c>
      <c r="H225" s="40">
        <v>41892</v>
      </c>
      <c r="I225" s="35">
        <v>99562.240000000005</v>
      </c>
      <c r="J225" s="35" t="s">
        <v>1250</v>
      </c>
      <c r="K225" s="35">
        <v>188959.35</v>
      </c>
      <c r="L225" s="170">
        <f t="shared" si="17"/>
        <v>1.8979017547214687</v>
      </c>
      <c r="M225" s="154">
        <v>206898.25</v>
      </c>
      <c r="N225" s="170">
        <f t="shared" si="18"/>
        <v>0.91329602836176726</v>
      </c>
      <c r="O225" s="170">
        <f t="shared" si="19"/>
        <v>1.258549623530262</v>
      </c>
      <c r="P225" s="170">
        <f>IF(A225=$X$29,K225/(D225*Vendas!$U$25),IF(A225=$X$30,K225/(D225*Vendas!$U$26),IF(A225=$X$31,K225/(D225*Vendas!$U$27),IF(A225=$X$32,K225/(D225*Vendas!$U$28),IF(A225=$X$33,K225/(D225*Vendas!$U$29),IF(A225=$X$34,K225/(D225*Vendas!$U$30),IF(A225=$X$35,K225/(D225*Vendas!$U$31),IF(A225=$X$36,K225/(D225*Vendas!$U$32),0))))))))</f>
        <v>1.2291162182050996</v>
      </c>
      <c r="Q225" s="170">
        <f>IF(A225=$X$29,K225/(D225*Vendas!$U$25),IF(A225=$X$30,K225/(D225*Vendas!$U$26),IF(A225=$X$31,K225/(D225*Vendas!$U$27),IF(A225=$X$32,K225/(D225*Vendas!$U$28),IF(A225=$X$33,K225/(D225*Vendas!$U$29),IF(A225=$X$34,K225/(D225*Vendas!$U$30),IF(A225=$X$35,K225/(D225*Vendas!$U$31),IF(A225=$X$36,K225/(D225*Vendas!$U$32),0))))))))</f>
        <v>1.2291162182050996</v>
      </c>
    </row>
    <row r="226" spans="1:17">
      <c r="A226" s="263" t="s">
        <v>36</v>
      </c>
      <c r="B226" s="337" t="s">
        <v>521</v>
      </c>
      <c r="C226" s="166">
        <v>14</v>
      </c>
      <c r="D226" s="197">
        <v>250.75</v>
      </c>
      <c r="E226" s="166">
        <v>3907</v>
      </c>
      <c r="F226" s="338" t="s">
        <v>404</v>
      </c>
      <c r="G226" s="34" t="str">
        <f t="shared" si="16"/>
        <v>XIII14RAFAELI FRARE DE SIQUEIRA</v>
      </c>
      <c r="H226" s="40">
        <v>41892</v>
      </c>
      <c r="I226" s="35">
        <v>99562.240000000005</v>
      </c>
      <c r="J226" s="35" t="s">
        <v>1250</v>
      </c>
      <c r="K226" s="35">
        <v>188968.05000000002</v>
      </c>
      <c r="L226" s="170">
        <f t="shared" si="17"/>
        <v>1.8979891372472135</v>
      </c>
      <c r="M226" s="154">
        <v>206906.95</v>
      </c>
      <c r="N226" s="170">
        <f t="shared" si="18"/>
        <v>0.91329967408054691</v>
      </c>
      <c r="O226" s="170">
        <f t="shared" si="19"/>
        <v>1.2586075692298251</v>
      </c>
      <c r="P226" s="170">
        <f>IF(A226=$X$29,K226/(D226*Vendas!$U$25),IF(A226=$X$30,K226/(D226*Vendas!$U$26),IF(A226=$X$31,K226/(D226*Vendas!$U$27),IF(A226=$X$32,K226/(D226*Vendas!$U$28),IF(A226=$X$33,K226/(D226*Vendas!$U$29),IF(A226=$X$34,K226/(D226*Vendas!$U$30),IF(A226=$X$35,K226/(D226*Vendas!$U$31),IF(A226=$X$36,K226/(D226*Vendas!$U$32),0))))))))</f>
        <v>1.2291728087421565</v>
      </c>
      <c r="Q226" s="170">
        <f>IF(A226=$X$29,K226/(D226*Vendas!$U$25),IF(A226=$X$30,K226/(D226*Vendas!$U$26),IF(A226=$X$31,K226/(D226*Vendas!$U$27),IF(A226=$X$32,K226/(D226*Vendas!$U$28),IF(A226=$X$33,K226/(D226*Vendas!$U$29),IF(A226=$X$34,K226/(D226*Vendas!$U$30),IF(A226=$X$35,K226/(D226*Vendas!$U$31),IF(A226=$X$36,K226/(D226*Vendas!$U$32),0))))))))</f>
        <v>1.2291728087421565</v>
      </c>
    </row>
    <row r="227" spans="1:17">
      <c r="A227" s="263" t="s">
        <v>36</v>
      </c>
      <c r="B227" s="337" t="s">
        <v>521</v>
      </c>
      <c r="C227" s="73">
        <v>17</v>
      </c>
      <c r="D227" s="315">
        <v>250.75</v>
      </c>
      <c r="E227" s="166">
        <v>3683</v>
      </c>
      <c r="F227" s="74" t="s">
        <v>269</v>
      </c>
      <c r="G227" s="34" t="str">
        <f t="shared" si="16"/>
        <v>XIII17JOSE CARLOS BRUNO DE OLIVEIRA</v>
      </c>
      <c r="H227" s="40">
        <v>41730</v>
      </c>
      <c r="I227" s="35">
        <v>94000.12</v>
      </c>
      <c r="J227" s="35" t="s">
        <v>1250</v>
      </c>
      <c r="K227" s="35">
        <v>200152.14</v>
      </c>
      <c r="L227" s="170">
        <f t="shared" si="17"/>
        <v>2.1292753668825104</v>
      </c>
      <c r="M227" s="154">
        <v>226660.58000000002</v>
      </c>
      <c r="N227" s="170">
        <f t="shared" si="18"/>
        <v>0.88304785949105047</v>
      </c>
      <c r="O227" s="170">
        <f t="shared" si="19"/>
        <v>1.3330983645200742</v>
      </c>
      <c r="P227" s="170">
        <f>IF(A227=$X$29,K227/(D227*Vendas!$U$25),IF(A227=$X$30,K227/(D227*Vendas!$U$26),IF(A227=$X$31,K227/(D227*Vendas!$U$27),IF(A227=$X$32,K227/(D227*Vendas!$U$28),IF(A227=$X$33,K227/(D227*Vendas!$U$29),IF(A227=$X$34,K227/(D227*Vendas!$U$30),IF(A227=$X$35,K227/(D227*Vendas!$U$31),IF(A227=$X$36,K227/(D227*Vendas!$U$32),0))))))))</f>
        <v>1.3019215052468038</v>
      </c>
      <c r="Q227" s="170">
        <f>IF(A227=$X$29,K227/(D227*Vendas!$U$25),IF(A227=$X$30,K227/(D227*Vendas!$U$26),IF(A227=$X$31,K227/(D227*Vendas!$U$27),IF(A227=$X$32,K227/(D227*Vendas!$U$28),IF(A227=$X$33,K227/(D227*Vendas!$U$29),IF(A227=$X$34,K227/(D227*Vendas!$U$30),IF(A227=$X$35,K227/(D227*Vendas!$U$31),IF(A227=$X$36,K227/(D227*Vendas!$U$32),0))))))))</f>
        <v>1.3019215052468038</v>
      </c>
    </row>
    <row r="228" spans="1:17">
      <c r="A228" s="263" t="s">
        <v>36</v>
      </c>
      <c r="B228" s="337" t="s">
        <v>521</v>
      </c>
      <c r="C228" s="166">
        <v>20</v>
      </c>
      <c r="D228" s="197">
        <v>250.75</v>
      </c>
      <c r="E228" s="166">
        <v>3914</v>
      </c>
      <c r="F228" s="338" t="s">
        <v>203</v>
      </c>
      <c r="G228" s="34" t="str">
        <f t="shared" si="16"/>
        <v>XIII20FABIO APARECIDO VAZ DANTAS</v>
      </c>
      <c r="H228" s="40">
        <v>41898</v>
      </c>
      <c r="I228" s="35">
        <v>99562.42</v>
      </c>
      <c r="J228" s="35" t="s">
        <v>834</v>
      </c>
      <c r="K228" s="35">
        <v>5027.8100000000004</v>
      </c>
      <c r="L228" s="170">
        <f t="shared" si="17"/>
        <v>5.0499073847341203E-2</v>
      </c>
      <c r="M228" s="154">
        <v>30780.49</v>
      </c>
      <c r="N228" s="170">
        <f t="shared" si="18"/>
        <v>0.16334405332728621</v>
      </c>
      <c r="O228" s="170">
        <f t="shared" si="19"/>
        <v>3.3487352611456842E-2</v>
      </c>
      <c r="P228" s="170">
        <f>IF(A228=$X$29,K228/(D228*Vendas!$U$25),IF(A228=$X$30,K228/(D228*Vendas!$U$26),IF(A228=$X$31,K228/(D228*Vendas!$U$27),IF(A228=$X$32,K228/(D228*Vendas!$U$28),IF(A228=$X$33,K228/(D228*Vendas!$U$29),IF(A228=$X$34,K228/(D228*Vendas!$U$30),IF(A228=$X$35,K228/(D228*Vendas!$U$31),IF(A228=$X$36,K228/(D228*Vendas!$U$32),0))))))))</f>
        <v>3.2704191737819709E-2</v>
      </c>
      <c r="Q228" s="170">
        <f>IF(A228=$X$29,K228/(D228*Vendas!$U$25),IF(A228=$X$30,K228/(D228*Vendas!$U$26),IF(A228=$X$31,K228/(D228*Vendas!$U$27),IF(A228=$X$32,K228/(D228*Vendas!$U$28),IF(A228=$X$33,K228/(D228*Vendas!$U$29),IF(A228=$X$34,K228/(D228*Vendas!$U$30),IF(A228=$X$35,K228/(D228*Vendas!$U$31),IF(A228=$X$36,K228/(D228*Vendas!$U$32),0))))))))</f>
        <v>3.2704191737819709E-2</v>
      </c>
    </row>
    <row r="229" spans="1:17">
      <c r="A229" s="263" t="s">
        <v>36</v>
      </c>
      <c r="B229" s="337" t="s">
        <v>521</v>
      </c>
      <c r="C229" s="73">
        <v>21</v>
      </c>
      <c r="D229" s="315">
        <v>250.75</v>
      </c>
      <c r="E229" s="166">
        <v>4425</v>
      </c>
      <c r="F229" s="74" t="s">
        <v>452</v>
      </c>
      <c r="G229" s="34" t="str">
        <f t="shared" si="16"/>
        <v>XIII21TEREZINHA RODRIGUES DA SILVA SOUZA</v>
      </c>
      <c r="H229" s="40">
        <v>42054</v>
      </c>
      <c r="I229" s="35">
        <v>116000.6</v>
      </c>
      <c r="J229" s="35" t="s">
        <v>834</v>
      </c>
      <c r="K229" s="35">
        <v>109010.43000000001</v>
      </c>
      <c r="L229" s="170">
        <f t="shared" si="17"/>
        <v>0.93974022548159231</v>
      </c>
      <c r="M229" s="154">
        <v>185731.41</v>
      </c>
      <c r="N229" s="170">
        <f t="shared" si="18"/>
        <v>0.58692511945071657</v>
      </c>
      <c r="O229" s="170">
        <f t="shared" si="19"/>
        <v>0.7260558190815749</v>
      </c>
      <c r="P229" s="170">
        <f>IF(A229=$X$29,K229/(D229*Vendas!$U$25),IF(A229=$X$30,K229/(D229*Vendas!$U$26),IF(A229=$X$31,K229/(D229*Vendas!$U$27),IF(A229=$X$32,K229/(D229*Vendas!$U$28),IF(A229=$X$33,K229/(D229*Vendas!$U$29),IF(A229=$X$34,K229/(D229*Vendas!$U$30),IF(A229=$X$35,K229/(D229*Vendas!$U$31),IF(A229=$X$36,K229/(D229*Vendas!$U$32),0))))))))</f>
        <v>0.70907572166453658</v>
      </c>
      <c r="Q229" s="170">
        <f>IF(A229=$X$29,K229/(D229*Vendas!$U$25),IF(A229=$X$30,K229/(D229*Vendas!$U$26),IF(A229=$X$31,K229/(D229*Vendas!$U$27),IF(A229=$X$32,K229/(D229*Vendas!$U$28),IF(A229=$X$33,K229/(D229*Vendas!$U$29),IF(A229=$X$34,K229/(D229*Vendas!$U$30),IF(A229=$X$35,K229/(D229*Vendas!$U$31),IF(A229=$X$36,K229/(D229*Vendas!$U$32),0))))))))</f>
        <v>0.70907572166453658</v>
      </c>
    </row>
    <row r="230" spans="1:17">
      <c r="A230" s="263" t="s">
        <v>36</v>
      </c>
      <c r="B230" s="337" t="s">
        <v>521</v>
      </c>
      <c r="C230" s="166">
        <v>23</v>
      </c>
      <c r="D230" s="197">
        <v>250.75</v>
      </c>
      <c r="E230" s="166">
        <v>5227</v>
      </c>
      <c r="F230" s="338" t="s">
        <v>286</v>
      </c>
      <c r="G230" s="34" t="str">
        <f t="shared" si="16"/>
        <v>XIII23JOSIANE JUNIA FACUNDO DE ALMEIDA</v>
      </c>
      <c r="H230" s="40">
        <v>42529</v>
      </c>
      <c r="I230" s="35">
        <v>129800</v>
      </c>
      <c r="J230" s="35" t="s">
        <v>834</v>
      </c>
      <c r="K230" s="35">
        <v>118786.34</v>
      </c>
      <c r="L230" s="170">
        <f t="shared" si="17"/>
        <v>0.91514899845916797</v>
      </c>
      <c r="M230" s="154">
        <v>222917.17</v>
      </c>
      <c r="N230" s="170">
        <f t="shared" si="18"/>
        <v>0.53287209773926336</v>
      </c>
      <c r="O230" s="170">
        <f t="shared" si="19"/>
        <v>0.79116753676141294</v>
      </c>
      <c r="P230" s="170">
        <f>IF(A230=$X$29,K230/(D230*Vendas!$U$25),IF(A230=$X$30,K230/(D230*Vendas!$U$26),IF(A230=$X$31,K230/(D230*Vendas!$U$27),IF(A230=$X$32,K230/(D230*Vendas!$U$28),IF(A230=$X$33,K230/(D230*Vendas!$U$29),IF(A230=$X$34,K230/(D230*Vendas!$U$30),IF(A230=$X$35,K230/(D230*Vendas!$U$31),IF(A230=$X$36,K230/(D230*Vendas!$U$32),0))))))))</f>
        <v>0.77266468685050593</v>
      </c>
      <c r="Q230" s="170">
        <f>IF(A230=$X$29,K230/(D230*Vendas!$U$25),IF(A230=$X$30,K230/(D230*Vendas!$U$26),IF(A230=$X$31,K230/(D230*Vendas!$U$27),IF(A230=$X$32,K230/(D230*Vendas!$U$28),IF(A230=$X$33,K230/(D230*Vendas!$U$29),IF(A230=$X$34,K230/(D230*Vendas!$U$30),IF(A230=$X$35,K230/(D230*Vendas!$U$31),IF(A230=$X$36,K230/(D230*Vendas!$U$32),0))))))))</f>
        <v>0.77266468685050593</v>
      </c>
    </row>
    <row r="231" spans="1:17">
      <c r="A231" s="263" t="s">
        <v>36</v>
      </c>
      <c r="B231" s="337" t="s">
        <v>521</v>
      </c>
      <c r="C231" s="73">
        <v>24</v>
      </c>
      <c r="D231" s="315">
        <v>250.75</v>
      </c>
      <c r="E231" s="166">
        <v>4115</v>
      </c>
      <c r="F231" s="74" t="s">
        <v>334</v>
      </c>
      <c r="G231" s="34" t="str">
        <f t="shared" si="16"/>
        <v>XIII24MARCIA MESTRE MARTINELI</v>
      </c>
      <c r="H231" s="40">
        <v>41948</v>
      </c>
      <c r="I231" s="35">
        <v>110503.34</v>
      </c>
      <c r="J231" s="35" t="s">
        <v>834</v>
      </c>
      <c r="K231" s="35">
        <v>7806.3</v>
      </c>
      <c r="L231" s="170">
        <f t="shared" si="17"/>
        <v>7.0643113592765622E-2</v>
      </c>
      <c r="M231" s="154">
        <v>146586.74</v>
      </c>
      <c r="N231" s="170">
        <f t="shared" si="18"/>
        <v>5.3253793624170924E-2</v>
      </c>
      <c r="O231" s="170">
        <f t="shared" si="19"/>
        <v>5.1993277528549313E-2</v>
      </c>
      <c r="P231" s="170">
        <f>IF(A231=$X$29,K231/(D231*Vendas!$U$25),IF(A231=$X$30,K231/(D231*Vendas!$U$26),IF(A231=$X$31,K231/(D231*Vendas!$U$27),IF(A231=$X$32,K231/(D231*Vendas!$U$28),IF(A231=$X$33,K231/(D231*Vendas!$U$29),IF(A231=$X$34,K231/(D231*Vendas!$U$30),IF(A231=$X$35,K231/(D231*Vendas!$U$31),IF(A231=$X$36,K231/(D231*Vendas!$U$32),0))))))))</f>
        <v>5.0777322922493484E-2</v>
      </c>
      <c r="Q231" s="170">
        <f>IF(A231=$X$29,K231/(D231*Vendas!$U$25),IF(A231=$X$30,K231/(D231*Vendas!$U$26),IF(A231=$X$31,K231/(D231*Vendas!$U$27),IF(A231=$X$32,K231/(D231*Vendas!$U$28),IF(A231=$X$33,K231/(D231*Vendas!$U$29),IF(A231=$X$34,K231/(D231*Vendas!$U$30),IF(A231=$X$35,K231/(D231*Vendas!$U$31),IF(A231=$X$36,K231/(D231*Vendas!$U$32),0))))))))</f>
        <v>5.0777322922493484E-2</v>
      </c>
    </row>
    <row r="232" spans="1:17">
      <c r="A232" s="263" t="s">
        <v>36</v>
      </c>
      <c r="B232" s="337" t="s">
        <v>521</v>
      </c>
      <c r="C232" s="166">
        <v>25</v>
      </c>
      <c r="D232" s="197">
        <v>250.75</v>
      </c>
      <c r="E232" s="166">
        <v>4949</v>
      </c>
      <c r="F232" s="338" t="s">
        <v>1395</v>
      </c>
      <c r="G232" s="34" t="str">
        <f t="shared" si="16"/>
        <v>XIII25ELENICE CHICO CLAUDIO</v>
      </c>
      <c r="H232" s="40">
        <v>44168</v>
      </c>
      <c r="I232" s="35">
        <v>145700.1</v>
      </c>
      <c r="J232" s="35" t="s">
        <v>834</v>
      </c>
      <c r="K232" s="35">
        <v>87856.11</v>
      </c>
      <c r="L232" s="170">
        <f t="shared" si="17"/>
        <v>0.60299279135704087</v>
      </c>
      <c r="M232" s="154">
        <v>148123.63</v>
      </c>
      <c r="N232" s="170">
        <f t="shared" si="18"/>
        <v>0.5931269035197152</v>
      </c>
      <c r="O232" s="170">
        <f t="shared" si="19"/>
        <v>0.58515905227940979</v>
      </c>
      <c r="P232" s="170">
        <f>IF(A232=$X$29,K232/(D232*Vendas!$U$25),IF(A232=$X$30,K232/(D232*Vendas!$U$26),IF(A232=$X$31,K232/(D232*Vendas!$U$27),IF(A232=$X$32,K232/(D232*Vendas!$U$28),IF(A232=$X$33,K232/(D232*Vendas!$U$29),IF(A232=$X$34,K232/(D232*Vendas!$U$30),IF(A232=$X$35,K232/(D232*Vendas!$U$31),IF(A232=$X$36,K232/(D232*Vendas!$U$32),0))))))))</f>
        <v>0.57147407455313137</v>
      </c>
      <c r="Q232" s="170">
        <f>IF(A232=$X$29,K232/(D232*Vendas!$U$25),IF(A232=$X$30,K232/(D232*Vendas!$U$26),IF(A232=$X$31,K232/(D232*Vendas!$U$27),IF(A232=$X$32,K232/(D232*Vendas!$U$28),IF(A232=$X$33,K232/(D232*Vendas!$U$29),IF(A232=$X$34,K232/(D232*Vendas!$U$30),IF(A232=$X$35,K232/(D232*Vendas!$U$31),IF(A232=$X$36,K232/(D232*Vendas!$U$32),0))))))))</f>
        <v>0.57147407455313137</v>
      </c>
    </row>
    <row r="233" spans="1:17">
      <c r="A233" s="263" t="s">
        <v>36</v>
      </c>
      <c r="B233" s="337" t="s">
        <v>522</v>
      </c>
      <c r="C233" s="73">
        <v>1</v>
      </c>
      <c r="D233" s="315">
        <v>368.4</v>
      </c>
      <c r="E233" s="166">
        <v>3627</v>
      </c>
      <c r="F233" s="74" t="s">
        <v>117</v>
      </c>
      <c r="G233" s="34" t="str">
        <f t="shared" si="16"/>
        <v>XVI1CLAUDIO MORYAMA</v>
      </c>
      <c r="H233" s="40">
        <v>41730</v>
      </c>
      <c r="I233" s="35">
        <v>142079.42000000001</v>
      </c>
      <c r="J233" s="35" t="s">
        <v>834</v>
      </c>
      <c r="K233" s="35">
        <v>141908.26999999999</v>
      </c>
      <c r="L233" s="170">
        <f t="shared" si="17"/>
        <v>0.99879539204199996</v>
      </c>
      <c r="M233" s="154">
        <v>250574.94</v>
      </c>
      <c r="N233" s="170">
        <f t="shared" si="18"/>
        <v>0.56633065541190986</v>
      </c>
      <c r="O233" s="170">
        <f t="shared" si="19"/>
        <v>0.64332582188720544</v>
      </c>
      <c r="P233" s="170">
        <f>IF(A233=$X$29,K233/(D233*Vendas!$U$25),IF(A233=$X$30,K233/(D233*Vendas!$U$26),IF(A233=$X$31,K233/(D233*Vendas!$U$27),IF(A233=$X$32,K233/(D233*Vendas!$U$28),IF(A233=$X$33,K233/(D233*Vendas!$U$29),IF(A233=$X$34,K233/(D233*Vendas!$U$30),IF(A233=$X$35,K233/(D233*Vendas!$U$31),IF(A233=$X$36,K233/(D233*Vendas!$U$32),0))))))))</f>
        <v>0.62828051154128872</v>
      </c>
      <c r="Q233" s="170">
        <f>IF(A233=$X$29,K233/(D233*Vendas!$U$25),IF(A233=$X$30,K233/(D233*Vendas!$U$26),IF(A233=$X$31,K233/(D233*Vendas!$U$27),IF(A233=$X$32,K233/(D233*Vendas!$U$28),IF(A233=$X$33,K233/(D233*Vendas!$U$29),IF(A233=$X$34,K233/(D233*Vendas!$U$30),IF(A233=$X$35,K233/(D233*Vendas!$U$31),IF(A233=$X$36,K233/(D233*Vendas!$U$32),0))))))))</f>
        <v>0.62828051154128872</v>
      </c>
    </row>
    <row r="234" spans="1:17">
      <c r="A234" s="263" t="s">
        <v>36</v>
      </c>
      <c r="B234" s="337" t="s">
        <v>522</v>
      </c>
      <c r="C234" s="166">
        <v>3</v>
      </c>
      <c r="D234" s="197">
        <v>257.75</v>
      </c>
      <c r="E234" s="166">
        <v>4664</v>
      </c>
      <c r="F234" s="338" t="s">
        <v>1271</v>
      </c>
      <c r="G234" s="34" t="str">
        <f t="shared" si="16"/>
        <v>XVI3MATEUS REZENDE DE OLIVEIRA</v>
      </c>
      <c r="H234" s="40">
        <v>44046</v>
      </c>
      <c r="I234" s="35">
        <v>135915</v>
      </c>
      <c r="J234" s="35" t="s">
        <v>834</v>
      </c>
      <c r="K234" s="35">
        <v>121091.08</v>
      </c>
      <c r="L234" s="170">
        <f t="shared" si="17"/>
        <v>0.89093242099841818</v>
      </c>
      <c r="M234" s="154">
        <v>151411.30000000002</v>
      </c>
      <c r="N234" s="170">
        <f t="shared" si="18"/>
        <v>0.79974929215983215</v>
      </c>
      <c r="O234" s="170">
        <f t="shared" si="19"/>
        <v>0.78461458727263433</v>
      </c>
      <c r="P234" s="170">
        <f>IF(A234=$X$29,K234/(D234*Vendas!$U$25),IF(A234=$X$30,K234/(D234*Vendas!$U$26),IF(A234=$X$31,K234/(D234*Vendas!$U$27),IF(A234=$X$32,K234/(D234*Vendas!$U$28),IF(A234=$X$33,K234/(D234*Vendas!$U$29),IF(A234=$X$34,K234/(D234*Vendas!$U$30),IF(A234=$X$35,K234/(D234*Vendas!$U$31),IF(A234=$X$36,K234/(D234*Vendas!$U$32),0))))))))</f>
        <v>0.76626498965688705</v>
      </c>
      <c r="Q234" s="170">
        <f>IF(A234=$X$29,K234/(D234*Vendas!$U$25),IF(A234=$X$30,K234/(D234*Vendas!$U$26),IF(A234=$X$31,K234/(D234*Vendas!$U$27),IF(A234=$X$32,K234/(D234*Vendas!$U$28),IF(A234=$X$33,K234/(D234*Vendas!$U$29),IF(A234=$X$34,K234/(D234*Vendas!$U$30),IF(A234=$X$35,K234/(D234*Vendas!$U$31),IF(A234=$X$36,K234/(D234*Vendas!$U$32),0))))))))</f>
        <v>0.76626498965688705</v>
      </c>
    </row>
    <row r="235" spans="1:17">
      <c r="A235" s="263" t="s">
        <v>36</v>
      </c>
      <c r="B235" s="337" t="s">
        <v>522</v>
      </c>
      <c r="C235" s="73">
        <v>5</v>
      </c>
      <c r="D235" s="315">
        <v>257.75</v>
      </c>
      <c r="E235" s="166">
        <v>6073</v>
      </c>
      <c r="F235" s="74" t="s">
        <v>105</v>
      </c>
      <c r="G235" s="34" t="str">
        <f t="shared" si="16"/>
        <v>XVI5CESAR ALVES DE MACEDO</v>
      </c>
      <c r="H235" s="40">
        <v>43103</v>
      </c>
      <c r="I235" s="35">
        <v>126203.3</v>
      </c>
      <c r="J235" s="35" t="s">
        <v>834</v>
      </c>
      <c r="K235" s="35">
        <v>100693.8</v>
      </c>
      <c r="L235" s="170">
        <f t="shared" si="17"/>
        <v>0.79786978628926497</v>
      </c>
      <c r="M235" s="154">
        <v>179894.11000000002</v>
      </c>
      <c r="N235" s="170">
        <f t="shared" si="18"/>
        <v>0.5597392821810564</v>
      </c>
      <c r="O235" s="170">
        <f t="shared" si="19"/>
        <v>0.65244958033170719</v>
      </c>
      <c r="P235" s="170">
        <f>IF(A235=$X$29,K235/(D235*Vendas!$U$25),IF(A235=$X$30,K235/(D235*Vendas!$U$26),IF(A235=$X$31,K235/(D235*Vendas!$U$27),IF(A235=$X$32,K235/(D235*Vendas!$U$28),IF(A235=$X$33,K235/(D235*Vendas!$U$29),IF(A235=$X$34,K235/(D235*Vendas!$U$30),IF(A235=$X$35,K235/(D235*Vendas!$U$31),IF(A235=$X$36,K235/(D235*Vendas!$U$32),0))))))))</f>
        <v>0.63719089478360136</v>
      </c>
      <c r="Q235" s="170">
        <f>IF(A235=$X$29,K235/(D235*Vendas!$U$25),IF(A235=$X$30,K235/(D235*Vendas!$U$26),IF(A235=$X$31,K235/(D235*Vendas!$U$27),IF(A235=$X$32,K235/(D235*Vendas!$U$28),IF(A235=$X$33,K235/(D235*Vendas!$U$29),IF(A235=$X$34,K235/(D235*Vendas!$U$30),IF(A235=$X$35,K235/(D235*Vendas!$U$31),IF(A235=$X$36,K235/(D235*Vendas!$U$32),0))))))))</f>
        <v>0.63719089478360136</v>
      </c>
    </row>
    <row r="236" spans="1:17">
      <c r="A236" s="263" t="s">
        <v>36</v>
      </c>
      <c r="B236" s="337" t="s">
        <v>522</v>
      </c>
      <c r="C236" s="166">
        <v>9</v>
      </c>
      <c r="D236" s="197">
        <v>257.75</v>
      </c>
      <c r="E236" s="166">
        <v>6363</v>
      </c>
      <c r="F236" s="338" t="s">
        <v>628</v>
      </c>
      <c r="G236" s="34" t="str">
        <f t="shared" si="16"/>
        <v>XVI9EDUARDO OLIVEIRA BONIFACIO</v>
      </c>
      <c r="H236" s="40">
        <v>43230</v>
      </c>
      <c r="I236" s="35">
        <v>126203.3</v>
      </c>
      <c r="J236" s="35" t="s">
        <v>834</v>
      </c>
      <c r="K236" s="35">
        <v>120688.89</v>
      </c>
      <c r="L236" s="170">
        <f t="shared" si="17"/>
        <v>0.95630534225333252</v>
      </c>
      <c r="M236" s="154">
        <v>176717.45</v>
      </c>
      <c r="N236" s="170">
        <f t="shared" si="18"/>
        <v>0.68294834494273193</v>
      </c>
      <c r="O236" s="170">
        <f t="shared" si="19"/>
        <v>0.78200858077855417</v>
      </c>
      <c r="P236" s="170">
        <f>IF(A236=$X$29,K236/(D236*Vendas!$U$25),IF(A236=$X$30,K236/(D236*Vendas!$U$26),IF(A236=$X$31,K236/(D236*Vendas!$U$27),IF(A236=$X$32,K236/(D236*Vendas!$U$28),IF(A236=$X$33,K236/(D236*Vendas!$U$29),IF(A236=$X$34,K236/(D236*Vendas!$U$30),IF(A236=$X$35,K236/(D236*Vendas!$U$31),IF(A236=$X$36,K236/(D236*Vendas!$U$32),0))))))))</f>
        <v>0.7637199292264234</v>
      </c>
      <c r="Q236" s="170">
        <f>IF(A236=$X$29,K236/(D236*Vendas!$U$25),IF(A236=$X$30,K236/(D236*Vendas!$U$26),IF(A236=$X$31,K236/(D236*Vendas!$U$27),IF(A236=$X$32,K236/(D236*Vendas!$U$28),IF(A236=$X$33,K236/(D236*Vendas!$U$29),IF(A236=$X$34,K236/(D236*Vendas!$U$30),IF(A236=$X$35,K236/(D236*Vendas!$U$31),IF(A236=$X$36,K236/(D236*Vendas!$U$32),0))))))))</f>
        <v>0.7637199292264234</v>
      </c>
    </row>
    <row r="237" spans="1:17">
      <c r="A237" s="263" t="s">
        <v>36</v>
      </c>
      <c r="B237" s="337" t="s">
        <v>522</v>
      </c>
      <c r="C237" s="73">
        <v>10</v>
      </c>
      <c r="D237" s="315">
        <v>257.75</v>
      </c>
      <c r="E237" s="166">
        <v>5078</v>
      </c>
      <c r="F237" s="74" t="s">
        <v>1130</v>
      </c>
      <c r="G237" s="34" t="str">
        <f t="shared" si="16"/>
        <v>XVI10C. PIRES EMPREENDIMENTOS IMOBILIARIOS LTDA</v>
      </c>
      <c r="H237" s="40">
        <v>42389</v>
      </c>
      <c r="I237" s="35">
        <v>122999.05</v>
      </c>
      <c r="J237" s="35" t="s">
        <v>1250</v>
      </c>
      <c r="K237" s="35">
        <v>129240.37000000001</v>
      </c>
      <c r="L237" s="170">
        <f t="shared" si="17"/>
        <v>1.0507428309405642</v>
      </c>
      <c r="M237" s="154">
        <v>219877.68</v>
      </c>
      <c r="N237" s="170">
        <f t="shared" si="18"/>
        <v>0.58778303463998716</v>
      </c>
      <c r="O237" s="170">
        <f t="shared" si="19"/>
        <v>0.83741824390791253</v>
      </c>
      <c r="P237" s="170">
        <f>IF(A237=$X$29,K237/(D237*Vendas!$U$25),IF(A237=$X$30,K237/(D237*Vendas!$U$26),IF(A237=$X$31,K237/(D237*Vendas!$U$27),IF(A237=$X$32,K237/(D237*Vendas!$U$28),IF(A237=$X$33,K237/(D237*Vendas!$U$29),IF(A237=$X$34,K237/(D237*Vendas!$U$30),IF(A237=$X$35,K237/(D237*Vendas!$U$31),IF(A237=$X$36,K237/(D237*Vendas!$U$32),0))))))))</f>
        <v>0.81783373953971061</v>
      </c>
      <c r="Q237" s="170">
        <f>IF(A237=$X$29,K237/(D237*Vendas!$U$25),IF(A237=$X$30,K237/(D237*Vendas!$U$26),IF(A237=$X$31,K237/(D237*Vendas!$U$27),IF(A237=$X$32,K237/(D237*Vendas!$U$28),IF(A237=$X$33,K237/(D237*Vendas!$U$29),IF(A237=$X$34,K237/(D237*Vendas!$U$30),IF(A237=$X$35,K237/(D237*Vendas!$U$31),IF(A237=$X$36,K237/(D237*Vendas!$U$32),0))))))))</f>
        <v>0.81783373953971061</v>
      </c>
    </row>
    <row r="238" spans="1:17">
      <c r="A238" s="263" t="s">
        <v>36</v>
      </c>
      <c r="B238" s="337" t="s">
        <v>522</v>
      </c>
      <c r="C238" s="166">
        <v>11</v>
      </c>
      <c r="D238" s="197">
        <v>257.75</v>
      </c>
      <c r="E238" s="166"/>
      <c r="F238" s="338" t="s">
        <v>934</v>
      </c>
      <c r="G238" s="34" t="str">
        <f t="shared" si="16"/>
        <v>XVI11SANVIG MONITORAMENTO E CONSERVACAO LTDA</v>
      </c>
      <c r="H238" s="40">
        <v>43514</v>
      </c>
      <c r="I238" s="35">
        <v>124729.26</v>
      </c>
      <c r="J238" s="35" t="s">
        <v>834</v>
      </c>
      <c r="K238" s="35">
        <v>20885.100000000002</v>
      </c>
      <c r="L238" s="170">
        <f t="shared" si="17"/>
        <v>0.16744346915872027</v>
      </c>
      <c r="M238" s="154">
        <v>129929.98</v>
      </c>
      <c r="N238" s="170">
        <f t="shared" si="18"/>
        <v>0.1607411930641412</v>
      </c>
      <c r="O238" s="170">
        <f t="shared" si="19"/>
        <v>0.13532585650939521</v>
      </c>
      <c r="P238" s="170">
        <f>IF(A238=$X$29,K238/(D238*Vendas!$U$25),IF(A238=$X$30,K238/(D238*Vendas!$U$26),IF(A238=$X$31,K238/(D238*Vendas!$U$27),IF(A238=$X$32,K238/(D238*Vendas!$U$28),IF(A238=$X$33,K238/(D238*Vendas!$U$29),IF(A238=$X$34,K238/(D238*Vendas!$U$30),IF(A238=$X$35,K238/(D238*Vendas!$U$31),IF(A238=$X$36,K238/(D238*Vendas!$U$32),0))))))))</f>
        <v>0.13216102239308669</v>
      </c>
      <c r="Q238" s="170">
        <f>IF(A238=$X$29,K238/(D238*Vendas!$U$25),IF(A238=$X$30,K238/(D238*Vendas!$U$26),IF(A238=$X$31,K238/(D238*Vendas!$U$27),IF(A238=$X$32,K238/(D238*Vendas!$U$28),IF(A238=$X$33,K238/(D238*Vendas!$U$29),IF(A238=$X$34,K238/(D238*Vendas!$U$30),IF(A238=$X$35,K238/(D238*Vendas!$U$31),IF(A238=$X$36,K238/(D238*Vendas!$U$32),0))))))))</f>
        <v>0.13216102239308669</v>
      </c>
    </row>
    <row r="239" spans="1:17">
      <c r="A239" s="263" t="s">
        <v>36</v>
      </c>
      <c r="B239" s="337" t="s">
        <v>522</v>
      </c>
      <c r="C239" s="73">
        <v>12</v>
      </c>
      <c r="D239" s="315">
        <v>257.75</v>
      </c>
      <c r="E239" s="166">
        <v>3964</v>
      </c>
      <c r="F239" s="74" t="s">
        <v>53</v>
      </c>
      <c r="G239" s="34" t="str">
        <f t="shared" si="16"/>
        <v>XVI12ALESSANDRA BERBET</v>
      </c>
      <c r="H239" s="40">
        <v>41915</v>
      </c>
      <c r="I239" s="35">
        <v>89873.5</v>
      </c>
      <c r="J239" s="35" t="s">
        <v>1250</v>
      </c>
      <c r="K239" s="35">
        <v>166099.53</v>
      </c>
      <c r="L239" s="170">
        <f t="shared" si="17"/>
        <v>1.8481480080335138</v>
      </c>
      <c r="M239" s="154">
        <v>179841.76</v>
      </c>
      <c r="N239" s="170">
        <f t="shared" si="18"/>
        <v>0.92358710235042174</v>
      </c>
      <c r="O239" s="170">
        <f t="shared" si="19"/>
        <v>1.0762486731238052</v>
      </c>
      <c r="P239" s="170">
        <f>IF(A239=$X$29,K239/(D239*Vendas!$U$25),IF(A239=$X$30,K239/(D239*Vendas!$U$26),IF(A239=$X$31,K239/(D239*Vendas!$U$27),IF(A239=$X$32,K239/(D239*Vendas!$U$28),IF(A239=$X$33,K239/(D239*Vendas!$U$29),IF(A239=$X$34,K239/(D239*Vendas!$U$30),IF(A239=$X$35,K239/(D239*Vendas!$U$31),IF(A239=$X$36,K239/(D239*Vendas!$U$32),0))))))))</f>
        <v>1.0510786974355486</v>
      </c>
      <c r="Q239" s="170">
        <f>IF(A239=$X$29,K239/(D239*Vendas!$U$25),IF(A239=$X$30,K239/(D239*Vendas!$U$26),IF(A239=$X$31,K239/(D239*Vendas!$U$27),IF(A239=$X$32,K239/(D239*Vendas!$U$28),IF(A239=$X$33,K239/(D239*Vendas!$U$29),IF(A239=$X$34,K239/(D239*Vendas!$U$30),IF(A239=$X$35,K239/(D239*Vendas!$U$31),IF(A239=$X$36,K239/(D239*Vendas!$U$32),0))))))))</f>
        <v>1.0510786974355486</v>
      </c>
    </row>
    <row r="240" spans="1:17">
      <c r="A240" s="263" t="s">
        <v>36</v>
      </c>
      <c r="B240" s="337" t="s">
        <v>522</v>
      </c>
      <c r="C240" s="166">
        <v>13</v>
      </c>
      <c r="D240" s="197">
        <v>257.75</v>
      </c>
      <c r="E240" s="166">
        <v>4125</v>
      </c>
      <c r="F240" s="338" t="s">
        <v>41</v>
      </c>
      <c r="G240" s="34" t="str">
        <f t="shared" si="16"/>
        <v>XVI13ADILSON APARECIDO DOS SANTOS</v>
      </c>
      <c r="H240" s="40">
        <v>41953</v>
      </c>
      <c r="I240" s="35">
        <v>99750.92</v>
      </c>
      <c r="J240" s="35" t="s">
        <v>834</v>
      </c>
      <c r="K240" s="35">
        <v>94846.39</v>
      </c>
      <c r="L240" s="170">
        <f t="shared" si="17"/>
        <v>0.95083223292577157</v>
      </c>
      <c r="M240" s="154">
        <v>166364.69</v>
      </c>
      <c r="N240" s="170">
        <f t="shared" si="18"/>
        <v>0.5701113018633942</v>
      </c>
      <c r="O240" s="170">
        <f t="shared" si="19"/>
        <v>0.61456104895710983</v>
      </c>
      <c r="P240" s="170">
        <f>IF(A240=$X$29,K240/(D240*Vendas!$U$25),IF(A240=$X$30,K240/(D240*Vendas!$U$26),IF(A240=$X$31,K240/(D240*Vendas!$U$27),IF(A240=$X$32,K240/(D240*Vendas!$U$28),IF(A240=$X$33,K240/(D240*Vendas!$U$29),IF(A240=$X$34,K240/(D240*Vendas!$U$30),IF(A240=$X$35,K240/(D240*Vendas!$U$31),IF(A240=$X$36,K240/(D240*Vendas!$U$32),0))))))))</f>
        <v>0.6001884536197305</v>
      </c>
      <c r="Q240" s="170">
        <f>IF(A240=$X$29,K240/(D240*Vendas!$U$25),IF(A240=$X$30,K240/(D240*Vendas!$U$26),IF(A240=$X$31,K240/(D240*Vendas!$U$27),IF(A240=$X$32,K240/(D240*Vendas!$U$28),IF(A240=$X$33,K240/(D240*Vendas!$U$29),IF(A240=$X$34,K240/(D240*Vendas!$U$30),IF(A240=$X$35,K240/(D240*Vendas!$U$31),IF(A240=$X$36,K240/(D240*Vendas!$U$32),0))))))))</f>
        <v>0.6001884536197305</v>
      </c>
    </row>
    <row r="241" spans="1:17">
      <c r="A241" s="263" t="s">
        <v>36</v>
      </c>
      <c r="B241" s="337" t="s">
        <v>522</v>
      </c>
      <c r="C241" s="73">
        <v>15</v>
      </c>
      <c r="D241" s="315">
        <v>257.75</v>
      </c>
      <c r="E241" s="166">
        <v>4975</v>
      </c>
      <c r="F241" s="74" t="s">
        <v>1422</v>
      </c>
      <c r="G241" s="34" t="str">
        <f t="shared" si="16"/>
        <v>XVI15MIKAELE DA COSTA MOURA</v>
      </c>
      <c r="H241" s="40">
        <v>44211</v>
      </c>
      <c r="I241" s="35">
        <v>159249.19</v>
      </c>
      <c r="J241" s="35" t="s">
        <v>834</v>
      </c>
      <c r="K241" s="35">
        <v>155062.26</v>
      </c>
      <c r="L241" s="170">
        <f t="shared" si="17"/>
        <v>0.97370831211135211</v>
      </c>
      <c r="M241" s="154">
        <v>165853.32</v>
      </c>
      <c r="N241" s="170">
        <f t="shared" si="18"/>
        <v>0.93493612307549834</v>
      </c>
      <c r="O241" s="170">
        <f t="shared" si="19"/>
        <v>1.0047322323945076</v>
      </c>
      <c r="P241" s="170">
        <f>IF(A241=$X$29,K241/(D241*Vendas!$U$25),IF(A241=$X$30,K241/(D241*Vendas!$U$26),IF(A241=$X$31,K241/(D241*Vendas!$U$27),IF(A241=$X$32,K241/(D241*Vendas!$U$28),IF(A241=$X$33,K241/(D241*Vendas!$U$29),IF(A241=$X$34,K241/(D241*Vendas!$U$30),IF(A241=$X$35,K241/(D241*Vendas!$U$31),IF(A241=$X$36,K241/(D241*Vendas!$U$32),0))))))))</f>
        <v>0.98123479495825405</v>
      </c>
      <c r="Q241" s="170">
        <f>IF(A241=$X$29,K241/(D241*Vendas!$U$25),IF(A241=$X$30,K241/(D241*Vendas!$U$26),IF(A241=$X$31,K241/(D241*Vendas!$U$27),IF(A241=$X$32,K241/(D241*Vendas!$U$28),IF(A241=$X$33,K241/(D241*Vendas!$U$29),IF(A241=$X$34,K241/(D241*Vendas!$U$30),IF(A241=$X$35,K241/(D241*Vendas!$U$31),IF(A241=$X$36,K241/(D241*Vendas!$U$32),0))))))))</f>
        <v>0.98123479495825405</v>
      </c>
    </row>
    <row r="242" spans="1:17">
      <c r="A242" s="263" t="s">
        <v>36</v>
      </c>
      <c r="B242" s="337" t="s">
        <v>522</v>
      </c>
      <c r="C242" s="166">
        <v>19</v>
      </c>
      <c r="D242" s="197">
        <v>273.33999999999997</v>
      </c>
      <c r="E242" s="166">
        <v>4750</v>
      </c>
      <c r="F242" s="338" t="s">
        <v>248</v>
      </c>
      <c r="G242" s="34" t="str">
        <f t="shared" si="16"/>
        <v>XVI19IZAURA MARIA CARELLI</v>
      </c>
      <c r="H242" s="40">
        <v>42125</v>
      </c>
      <c r="I242" s="35">
        <v>115999.4</v>
      </c>
      <c r="J242" s="35" t="s">
        <v>1250</v>
      </c>
      <c r="K242" s="35">
        <v>114314.53</v>
      </c>
      <c r="L242" s="170">
        <f t="shared" si="17"/>
        <v>0.98547518349232843</v>
      </c>
      <c r="M242" s="154">
        <v>196091.65</v>
      </c>
      <c r="N242" s="170">
        <f t="shared" si="18"/>
        <v>0.58296480242784432</v>
      </c>
      <c r="O242" s="170">
        <f t="shared" si="19"/>
        <v>0.6984593644577648</v>
      </c>
      <c r="P242" s="170">
        <f>IF(A242=$X$29,K242/(D242*Vendas!$U$25),IF(A242=$X$30,K242/(D242*Vendas!$U$26),IF(A242=$X$31,K242/(D242*Vendas!$U$27),IF(A242=$X$32,K242/(D242*Vendas!$U$28),IF(A242=$X$33,K242/(D242*Vendas!$U$29),IF(A242=$X$34,K242/(D242*Vendas!$U$30),IF(A242=$X$35,K242/(D242*Vendas!$U$31),IF(A242=$X$36,K242/(D242*Vendas!$U$32),0))))))))</f>
        <v>0.68212465886262508</v>
      </c>
      <c r="Q242" s="170">
        <f>IF(A242=$X$29,K242/(D242*Vendas!$U$25),IF(A242=$X$30,K242/(D242*Vendas!$U$26),IF(A242=$X$31,K242/(D242*Vendas!$U$27),IF(A242=$X$32,K242/(D242*Vendas!$U$28),IF(A242=$X$33,K242/(D242*Vendas!$U$29),IF(A242=$X$34,K242/(D242*Vendas!$U$30),IF(A242=$X$35,K242/(D242*Vendas!$U$31),IF(A242=$X$36,K242/(D242*Vendas!$U$32),0))))))))</f>
        <v>0.68212465886262508</v>
      </c>
    </row>
    <row r="243" spans="1:17">
      <c r="A243" s="263" t="s">
        <v>36</v>
      </c>
      <c r="B243" s="337" t="s">
        <v>522</v>
      </c>
      <c r="C243" s="73">
        <v>20</v>
      </c>
      <c r="D243" s="315">
        <v>273.33999999999997</v>
      </c>
      <c r="E243" s="166">
        <v>5345</v>
      </c>
      <c r="F243" s="74" t="s">
        <v>139</v>
      </c>
      <c r="G243" s="34" t="str">
        <f t="shared" si="16"/>
        <v>XVI20DEMILTON SALES DOS SANTOS</v>
      </c>
      <c r="H243" s="40">
        <v>42698</v>
      </c>
      <c r="I243" s="35">
        <v>129142.05</v>
      </c>
      <c r="J243" s="35" t="s">
        <v>834</v>
      </c>
      <c r="K243" s="35">
        <v>120441.29000000001</v>
      </c>
      <c r="L243" s="170">
        <f t="shared" si="17"/>
        <v>0.93262643732231298</v>
      </c>
      <c r="M243" s="154">
        <v>210381.12</v>
      </c>
      <c r="N243" s="170">
        <f t="shared" si="18"/>
        <v>0.57249096306740843</v>
      </c>
      <c r="O243" s="170">
        <f t="shared" si="19"/>
        <v>0.73589373868635377</v>
      </c>
      <c r="P243" s="170">
        <f>IF(A243=$X$29,K243/(D243*Vendas!$U$25),IF(A243=$X$30,K243/(D243*Vendas!$U$26),IF(A243=$X$31,K243/(D243*Vendas!$U$27),IF(A243=$X$32,K243/(D243*Vendas!$U$28),IF(A243=$X$33,K243/(D243*Vendas!$U$29),IF(A243=$X$34,K243/(D243*Vendas!$U$30),IF(A243=$X$35,K243/(D243*Vendas!$U$31),IF(A243=$X$36,K243/(D243*Vendas!$U$32),0))))))))</f>
        <v>0.71868356414730927</v>
      </c>
      <c r="Q243" s="170">
        <f>IF(A243=$X$29,K243/(D243*Vendas!$U$25),IF(A243=$X$30,K243/(D243*Vendas!$U$26),IF(A243=$X$31,K243/(D243*Vendas!$U$27),IF(A243=$X$32,K243/(D243*Vendas!$U$28),IF(A243=$X$33,K243/(D243*Vendas!$U$29),IF(A243=$X$34,K243/(D243*Vendas!$U$30),IF(A243=$X$35,K243/(D243*Vendas!$U$31),IF(A243=$X$36,K243/(D243*Vendas!$U$32),0))))))))</f>
        <v>0.71868356414730927</v>
      </c>
    </row>
    <row r="244" spans="1:17">
      <c r="A244" s="263" t="s">
        <v>36</v>
      </c>
      <c r="B244" s="337" t="s">
        <v>522</v>
      </c>
      <c r="C244" s="166">
        <v>21</v>
      </c>
      <c r="D244" s="197">
        <v>273.33999999999997</v>
      </c>
      <c r="E244" s="166"/>
      <c r="F244" s="338" t="s">
        <v>981</v>
      </c>
      <c r="G244" s="34" t="str">
        <f t="shared" si="16"/>
        <v>XVI21MARIA APARECIDA BATISTA FERREIRA</v>
      </c>
      <c r="H244" s="40">
        <v>43626</v>
      </c>
      <c r="I244" s="35">
        <v>93060</v>
      </c>
      <c r="J244" s="35" t="s">
        <v>834</v>
      </c>
      <c r="K244" s="35">
        <v>84545.3</v>
      </c>
      <c r="L244" s="170">
        <f t="shared" si="17"/>
        <v>0.90850311626907376</v>
      </c>
      <c r="M244" s="154">
        <v>115031.63</v>
      </c>
      <c r="N244" s="170">
        <f t="shared" si="18"/>
        <v>0.7349743718314693</v>
      </c>
      <c r="O244" s="170">
        <f t="shared" si="19"/>
        <v>0.51656999775873691</v>
      </c>
      <c r="P244" s="170">
        <f>IF(A244=$X$29,K244/(D244*Vendas!$U$25),IF(A244=$X$30,K244/(D244*Vendas!$U$26),IF(A244=$X$31,K244/(D244*Vendas!$U$27),IF(A244=$X$32,K244/(D244*Vendas!$U$28),IF(A244=$X$33,K244/(D244*Vendas!$U$29),IF(A244=$X$34,K244/(D244*Vendas!$U$30),IF(A244=$X$35,K244/(D244*Vendas!$U$31),IF(A244=$X$36,K244/(D244*Vendas!$U$32),0))))))))</f>
        <v>0.50448909618871984</v>
      </c>
      <c r="Q244" s="170">
        <f>IF(A244=$X$29,K244/(D244*Vendas!$U$25),IF(A244=$X$30,K244/(D244*Vendas!$U$26),IF(A244=$X$31,K244/(D244*Vendas!$U$27),IF(A244=$X$32,K244/(D244*Vendas!$U$28),IF(A244=$X$33,K244/(D244*Vendas!$U$29),IF(A244=$X$34,K244/(D244*Vendas!$U$30),IF(A244=$X$35,K244/(D244*Vendas!$U$31),IF(A244=$X$36,K244/(D244*Vendas!$U$32),0))))))))</f>
        <v>0.50448909618871984</v>
      </c>
    </row>
    <row r="245" spans="1:17">
      <c r="A245" s="263" t="s">
        <v>36</v>
      </c>
      <c r="B245" s="337" t="s">
        <v>522</v>
      </c>
      <c r="C245" s="73">
        <v>22</v>
      </c>
      <c r="D245" s="315">
        <v>273.33999999999997</v>
      </c>
      <c r="E245" s="166"/>
      <c r="F245" s="74" t="s">
        <v>1015</v>
      </c>
      <c r="G245" s="34" t="str">
        <f t="shared" si="16"/>
        <v>XVI22RAFAEL DA COSTA BARROS</v>
      </c>
      <c r="H245" s="40">
        <v>43648</v>
      </c>
      <c r="I245" s="35">
        <v>93060</v>
      </c>
      <c r="J245" s="35" t="s">
        <v>834</v>
      </c>
      <c r="K245" s="35">
        <v>87060.28</v>
      </c>
      <c r="L245" s="170">
        <f t="shared" si="17"/>
        <v>0.93552847625188051</v>
      </c>
      <c r="M245" s="154">
        <v>116579.5</v>
      </c>
      <c r="N245" s="170">
        <f t="shared" si="18"/>
        <v>0.74678892944299813</v>
      </c>
      <c r="O245" s="170">
        <f t="shared" si="19"/>
        <v>0.53193647245293363</v>
      </c>
      <c r="P245" s="170">
        <f>IF(A245=$X$29,K245/(D245*Vendas!$U$25),IF(A245=$X$30,K245/(D245*Vendas!$U$26),IF(A245=$X$31,K245/(D245*Vendas!$U$27),IF(A245=$X$32,K245/(D245*Vendas!$U$28),IF(A245=$X$33,K245/(D245*Vendas!$U$29),IF(A245=$X$34,K245/(D245*Vendas!$U$30),IF(A245=$X$35,K245/(D245*Vendas!$U$31),IF(A245=$X$36,K245/(D245*Vendas!$U$32),0))))))))</f>
        <v>0.51949619873768127</v>
      </c>
      <c r="Q245" s="170">
        <f>IF(A245=$X$29,K245/(D245*Vendas!$U$25),IF(A245=$X$30,K245/(D245*Vendas!$U$26),IF(A245=$X$31,K245/(D245*Vendas!$U$27),IF(A245=$X$32,K245/(D245*Vendas!$U$28),IF(A245=$X$33,K245/(D245*Vendas!$U$29),IF(A245=$X$34,K245/(D245*Vendas!$U$30),IF(A245=$X$35,K245/(D245*Vendas!$U$31),IF(A245=$X$36,K245/(D245*Vendas!$U$32),0))))))))</f>
        <v>0.51949619873768127</v>
      </c>
    </row>
    <row r="246" spans="1:17">
      <c r="A246" s="263" t="s">
        <v>36</v>
      </c>
      <c r="B246" s="337" t="s">
        <v>522</v>
      </c>
      <c r="C246" s="166">
        <v>23</v>
      </c>
      <c r="D246" s="197">
        <v>273.33999999999997</v>
      </c>
      <c r="E246" s="166"/>
      <c r="F246" s="338" t="s">
        <v>1036</v>
      </c>
      <c r="G246" s="34" t="str">
        <f t="shared" si="16"/>
        <v>XVI23RITA DE CASSIA APARECIDA JARDIM</v>
      </c>
      <c r="H246" s="40">
        <v>43662</v>
      </c>
      <c r="I246" s="35">
        <v>93060.42</v>
      </c>
      <c r="J246" s="35" t="s">
        <v>834</v>
      </c>
      <c r="K246" s="35">
        <v>94380.84</v>
      </c>
      <c r="L246" s="170">
        <f t="shared" si="17"/>
        <v>1.0141888463430533</v>
      </c>
      <c r="M246" s="154">
        <v>118270.15000000001</v>
      </c>
      <c r="N246" s="170">
        <f t="shared" si="18"/>
        <v>0.79801065611229871</v>
      </c>
      <c r="O246" s="170">
        <f t="shared" si="19"/>
        <v>0.57666493947348585</v>
      </c>
      <c r="P246" s="170">
        <f>IF(A246=$X$29,K246/(D246*Vendas!$U$25),IF(A246=$X$30,K246/(D246*Vendas!$U$26),IF(A246=$X$31,K246/(D246*Vendas!$U$27),IF(A246=$X$32,K246/(D246*Vendas!$U$28),IF(A246=$X$33,K246/(D246*Vendas!$U$29),IF(A246=$X$34,K246/(D246*Vendas!$U$30),IF(A246=$X$35,K246/(D246*Vendas!$U$31),IF(A246=$X$36,K246/(D246*Vendas!$U$32),0))))))))</f>
        <v>0.56317861157429416</v>
      </c>
      <c r="Q246" s="170">
        <f>IF(A246=$X$29,K246/(D246*Vendas!$U$25),IF(A246=$X$30,K246/(D246*Vendas!$U$26),IF(A246=$X$31,K246/(D246*Vendas!$U$27),IF(A246=$X$32,K246/(D246*Vendas!$U$28),IF(A246=$X$33,K246/(D246*Vendas!$U$29),IF(A246=$X$34,K246/(D246*Vendas!$U$30),IF(A246=$X$35,K246/(D246*Vendas!$U$31),IF(A246=$X$36,K246/(D246*Vendas!$U$32),0))))))))</f>
        <v>0.56317861157429416</v>
      </c>
    </row>
    <row r="247" spans="1:17">
      <c r="A247" s="263" t="s">
        <v>36</v>
      </c>
      <c r="B247" s="337" t="s">
        <v>522</v>
      </c>
      <c r="C247" s="73">
        <v>24</v>
      </c>
      <c r="D247" s="315">
        <v>273.33999999999997</v>
      </c>
      <c r="E247" s="166">
        <v>3734</v>
      </c>
      <c r="F247" s="74" t="s">
        <v>1124</v>
      </c>
      <c r="G247" s="34" t="str">
        <f t="shared" si="16"/>
        <v>XVI24GABRIEL FERNANDO CONSTANTINO</v>
      </c>
      <c r="H247" s="40">
        <v>43850</v>
      </c>
      <c r="I247" s="35">
        <v>93060</v>
      </c>
      <c r="J247" s="35" t="s">
        <v>834</v>
      </c>
      <c r="K247" s="35">
        <v>78568.5</v>
      </c>
      <c r="L247" s="170">
        <f t="shared" si="17"/>
        <v>0.84427788523533209</v>
      </c>
      <c r="M247" s="154">
        <v>109696.16</v>
      </c>
      <c r="N247" s="170">
        <f t="shared" si="18"/>
        <v>0.71623746902352825</v>
      </c>
      <c r="O247" s="170">
        <f t="shared" si="19"/>
        <v>0.48005187596362325</v>
      </c>
      <c r="P247" s="170">
        <f>IF(A247=$X$29,K247/(D247*Vendas!$U$25),IF(A247=$X$30,K247/(D247*Vendas!$U$26),IF(A247=$X$31,K247/(D247*Vendas!$U$27),IF(A247=$X$32,K247/(D247*Vendas!$U$28),IF(A247=$X$33,K247/(D247*Vendas!$U$29),IF(A247=$X$34,K247/(D247*Vendas!$U$30),IF(A247=$X$35,K247/(D247*Vendas!$U$31),IF(A247=$X$36,K247/(D247*Vendas!$U$32),0))))))))</f>
        <v>0.46882501515641239</v>
      </c>
      <c r="Q247" s="170">
        <f>IF(A247=$X$29,K247/(D247*Vendas!$U$25),IF(A247=$X$30,K247/(D247*Vendas!$U$26),IF(A247=$X$31,K247/(D247*Vendas!$U$27),IF(A247=$X$32,K247/(D247*Vendas!$U$28),IF(A247=$X$33,K247/(D247*Vendas!$U$29),IF(A247=$X$34,K247/(D247*Vendas!$U$30),IF(A247=$X$35,K247/(D247*Vendas!$U$31),IF(A247=$X$36,K247/(D247*Vendas!$U$32),0))))))))</f>
        <v>0.46882501515641239</v>
      </c>
    </row>
    <row r="248" spans="1:17">
      <c r="A248" s="263" t="s">
        <v>36</v>
      </c>
      <c r="B248" s="337" t="s">
        <v>522</v>
      </c>
      <c r="C248" s="166">
        <v>27</v>
      </c>
      <c r="D248" s="197">
        <v>273.33999999999997</v>
      </c>
      <c r="E248" s="166"/>
      <c r="F248" s="338" t="s">
        <v>1050</v>
      </c>
      <c r="G248" s="34" t="str">
        <f t="shared" si="16"/>
        <v>XVI27CLAUDIONOR HENRIQUE DA SILVA</v>
      </c>
      <c r="H248" s="40">
        <v>43696</v>
      </c>
      <c r="I248" s="35">
        <v>93060</v>
      </c>
      <c r="J248" s="35" t="s">
        <v>834</v>
      </c>
      <c r="K248" s="35">
        <v>82488.150000000009</v>
      </c>
      <c r="L248" s="170">
        <f t="shared" si="17"/>
        <v>0.88639748549323027</v>
      </c>
      <c r="M248" s="154">
        <v>116127.28</v>
      </c>
      <c r="N248" s="170">
        <f t="shared" si="18"/>
        <v>0.71032534302017591</v>
      </c>
      <c r="O248" s="170">
        <f t="shared" si="19"/>
        <v>0.50400085469709555</v>
      </c>
      <c r="P248" s="170">
        <f>IF(A248=$X$29,K248/(D248*Vendas!$U$25),IF(A248=$X$30,K248/(D248*Vendas!$U$26),IF(A248=$X$31,K248/(D248*Vendas!$U$27),IF(A248=$X$32,K248/(D248*Vendas!$U$28),IF(A248=$X$33,K248/(D248*Vendas!$U$29),IF(A248=$X$34,K248/(D248*Vendas!$U$30),IF(A248=$X$35,K248/(D248*Vendas!$U$31),IF(A248=$X$36,K248/(D248*Vendas!$U$32),0))))))))</f>
        <v>0.49221390473248722</v>
      </c>
      <c r="Q248" s="170">
        <f>IF(A248=$X$29,K248/(D248*Vendas!$U$25),IF(A248=$X$30,K248/(D248*Vendas!$U$26),IF(A248=$X$31,K248/(D248*Vendas!$U$27),IF(A248=$X$32,K248/(D248*Vendas!$U$28),IF(A248=$X$33,K248/(D248*Vendas!$U$29),IF(A248=$X$34,K248/(D248*Vendas!$U$30),IF(A248=$X$35,K248/(D248*Vendas!$U$31),IF(A248=$X$36,K248/(D248*Vendas!$U$32),0))))))))</f>
        <v>0.49221390473248722</v>
      </c>
    </row>
    <row r="249" spans="1:17">
      <c r="A249" s="263" t="s">
        <v>33</v>
      </c>
      <c r="B249" s="337" t="s">
        <v>523</v>
      </c>
      <c r="C249" s="73">
        <v>5</v>
      </c>
      <c r="D249" s="315">
        <v>272.07</v>
      </c>
      <c r="E249" s="166">
        <v>6218</v>
      </c>
      <c r="F249" s="74" t="s">
        <v>1354</v>
      </c>
      <c r="G249" s="34" t="str">
        <f t="shared" si="16"/>
        <v>XL5GLAUBER LOPES ARAUJO</v>
      </c>
      <c r="H249" s="40">
        <v>43150</v>
      </c>
      <c r="I249" s="35">
        <v>135360</v>
      </c>
      <c r="J249" s="35" t="s">
        <v>834</v>
      </c>
      <c r="K249" s="35">
        <v>31526.15</v>
      </c>
      <c r="L249" s="170">
        <f t="shared" si="17"/>
        <v>0.23290595449172577</v>
      </c>
      <c r="M249" s="154">
        <v>166301.64000000001</v>
      </c>
      <c r="N249" s="170">
        <f t="shared" si="18"/>
        <v>0.18957209321567725</v>
      </c>
      <c r="O249" s="170">
        <f t="shared" si="19"/>
        <v>0.19352326403552136</v>
      </c>
      <c r="P249" s="170">
        <f>IF(A249=$X$29,K249/(D249*Vendas!$U$25),IF(A249=$X$30,K249/(D249*Vendas!$U$26),IF(A249=$X$31,K249/(D249*Vendas!$U$27),IF(A249=$X$32,K249/(D249*Vendas!$U$28),IF(A249=$X$33,K249/(D249*Vendas!$U$29),IF(A249=$X$34,K249/(D249*Vendas!$U$30),IF(A249=$X$35,K249/(D249*Vendas!$U$31),IF(A249=$X$36,K249/(D249*Vendas!$U$32),0))))))))</f>
        <v>0.19172886121693558</v>
      </c>
      <c r="Q249" s="170">
        <f>IF(A249=$X$29,K249/(D249*Vendas!$U$25),IF(A249=$X$30,K249/(D249*Vendas!$U$26),IF(A249=$X$31,K249/(D249*Vendas!$U$27),IF(A249=$X$32,K249/(D249*Vendas!$U$28),IF(A249=$X$33,K249/(D249*Vendas!$U$29),IF(A249=$X$34,K249/(D249*Vendas!$U$30),IF(A249=$X$35,K249/(D249*Vendas!$U$31),IF(A249=$X$36,K249/(D249*Vendas!$U$32),0))))))))</f>
        <v>0.19172886121693558</v>
      </c>
    </row>
    <row r="250" spans="1:17">
      <c r="A250" s="263" t="s">
        <v>33</v>
      </c>
      <c r="B250" s="337" t="s">
        <v>523</v>
      </c>
      <c r="C250" s="166">
        <v>7</v>
      </c>
      <c r="D250" s="197">
        <v>287.39999999999998</v>
      </c>
      <c r="E250" s="166">
        <v>5179</v>
      </c>
      <c r="F250" s="338" t="s">
        <v>430</v>
      </c>
      <c r="G250" s="34" t="str">
        <f t="shared" si="16"/>
        <v>XL7SANDRA KAAFA SOUTELLO</v>
      </c>
      <c r="H250" s="40">
        <v>42461</v>
      </c>
      <c r="I250" s="35">
        <v>160900.5</v>
      </c>
      <c r="J250" s="35" t="s">
        <v>1250</v>
      </c>
      <c r="K250" s="35">
        <v>189708.36000000002</v>
      </c>
      <c r="L250" s="170">
        <f t="shared" si="17"/>
        <v>1.179041457298144</v>
      </c>
      <c r="M250" s="154">
        <v>280723.21000000002</v>
      </c>
      <c r="N250" s="170">
        <f t="shared" si="18"/>
        <v>0.67578437849866424</v>
      </c>
      <c r="O250" s="170">
        <f t="shared" si="19"/>
        <v>1.1024086322921283</v>
      </c>
      <c r="P250" s="170">
        <f>IF(A250=$X$29,K250/(D250*Vendas!$U$25),IF(A250=$X$30,K250/(D250*Vendas!$U$26),IF(A250=$X$31,K250/(D250*Vendas!$U$27),IF(A250=$X$32,K250/(D250*Vendas!$U$28),IF(A250=$X$33,K250/(D250*Vendas!$U$29),IF(A250=$X$34,K250/(D250*Vendas!$U$30),IF(A250=$X$35,K250/(D250*Vendas!$U$31),IF(A250=$X$36,K250/(D250*Vendas!$U$32),0))))))))</f>
        <v>1.0921867854931036</v>
      </c>
      <c r="Q250" s="170">
        <f>IF(A250=$X$29,K250/(D250*Vendas!$U$25),IF(A250=$X$30,K250/(D250*Vendas!$U$26),IF(A250=$X$31,K250/(D250*Vendas!$U$27),IF(A250=$X$32,K250/(D250*Vendas!$U$28),IF(A250=$X$33,K250/(D250*Vendas!$U$29),IF(A250=$X$34,K250/(D250*Vendas!$U$30),IF(A250=$X$35,K250/(D250*Vendas!$U$31),IF(A250=$X$36,K250/(D250*Vendas!$U$32),0))))))))</f>
        <v>1.0921867854931036</v>
      </c>
    </row>
    <row r="251" spans="1:17">
      <c r="A251" s="263" t="s">
        <v>33</v>
      </c>
      <c r="B251" s="337" t="s">
        <v>523</v>
      </c>
      <c r="C251" s="73">
        <v>8</v>
      </c>
      <c r="D251" s="315">
        <v>287.39999999999998</v>
      </c>
      <c r="E251" s="166">
        <v>4870</v>
      </c>
      <c r="F251" s="74" t="s">
        <v>1373</v>
      </c>
      <c r="G251" s="34" t="str">
        <f t="shared" si="16"/>
        <v>XL8M &amp; R MADEIRAS LTDA - ME</v>
      </c>
      <c r="H251" s="40">
        <v>44155</v>
      </c>
      <c r="I251" s="35">
        <v>168260.04</v>
      </c>
      <c r="J251" s="35" t="s">
        <v>834</v>
      </c>
      <c r="K251" s="35">
        <v>142984</v>
      </c>
      <c r="L251" s="170">
        <f t="shared" si="17"/>
        <v>0.84977990020684646</v>
      </c>
      <c r="M251" s="154">
        <v>173357.59</v>
      </c>
      <c r="N251" s="170">
        <f t="shared" si="18"/>
        <v>0.82479226897420532</v>
      </c>
      <c r="O251" s="170">
        <f t="shared" si="19"/>
        <v>0.83089008770966999</v>
      </c>
      <c r="P251" s="170">
        <f>IF(A251=$X$29,K251/(D251*Vendas!$U$25),IF(A251=$X$30,K251/(D251*Vendas!$U$26),IF(A251=$X$31,K251/(D251*Vendas!$U$27),IF(A251=$X$32,K251/(D251*Vendas!$U$28),IF(A251=$X$33,K251/(D251*Vendas!$U$29),IF(A251=$X$34,K251/(D251*Vendas!$U$30),IF(A251=$X$35,K251/(D251*Vendas!$U$31),IF(A251=$X$36,K251/(D251*Vendas!$U$32),0))))))))</f>
        <v>0.82318583818312441</v>
      </c>
      <c r="Q251" s="170">
        <f>IF(A251=$X$29,K251/(D251*Vendas!$U$25),IF(A251=$X$30,K251/(D251*Vendas!$U$26),IF(A251=$X$31,K251/(D251*Vendas!$U$27),IF(A251=$X$32,K251/(D251*Vendas!$U$28),IF(A251=$X$33,K251/(D251*Vendas!$U$29),IF(A251=$X$34,K251/(D251*Vendas!$U$30),IF(A251=$X$35,K251/(D251*Vendas!$U$31),IF(A251=$X$36,K251/(D251*Vendas!$U$32),0))))))))</f>
        <v>0.82318583818312441</v>
      </c>
    </row>
    <row r="252" spans="1:17">
      <c r="A252" s="263" t="s">
        <v>33</v>
      </c>
      <c r="B252" s="337" t="s">
        <v>523</v>
      </c>
      <c r="C252" s="166">
        <v>9</v>
      </c>
      <c r="D252" s="197">
        <v>287.39999999999998</v>
      </c>
      <c r="E252" s="166">
        <v>4103</v>
      </c>
      <c r="F252" s="338" t="s">
        <v>70</v>
      </c>
      <c r="G252" s="34" t="str">
        <f t="shared" si="16"/>
        <v>XL9ANDRE BOBROFF CANAVEZI</v>
      </c>
      <c r="H252" s="40">
        <v>41944</v>
      </c>
      <c r="I252" s="35">
        <v>143077.37</v>
      </c>
      <c r="J252" s="35" t="s">
        <v>1250</v>
      </c>
      <c r="K252" s="35">
        <v>284248.13</v>
      </c>
      <c r="L252" s="170">
        <f t="shared" si="17"/>
        <v>1.9866742728077824</v>
      </c>
      <c r="M252" s="154">
        <v>316934.56</v>
      </c>
      <c r="N252" s="170">
        <f t="shared" si="18"/>
        <v>0.89686694313173043</v>
      </c>
      <c r="O252" s="170">
        <f t="shared" si="19"/>
        <v>1.6517858897989264</v>
      </c>
      <c r="P252" s="170">
        <f>IF(A252=$X$29,K252/(D252*Vendas!$U$25),IF(A252=$X$30,K252/(D252*Vendas!$U$26),IF(A252=$X$31,K252/(D252*Vendas!$U$27),IF(A252=$X$32,K252/(D252*Vendas!$U$28),IF(A252=$X$33,K252/(D252*Vendas!$U$29),IF(A252=$X$34,K252/(D252*Vendas!$U$30),IF(A252=$X$35,K252/(D252*Vendas!$U$31),IF(A252=$X$36,K252/(D252*Vendas!$U$32),0))))))))</f>
        <v>1.6364700606084297</v>
      </c>
      <c r="Q252" s="170">
        <f>IF(A252=$X$29,K252/(D252*Vendas!$U$25),IF(A252=$X$30,K252/(D252*Vendas!$U$26),IF(A252=$X$31,K252/(D252*Vendas!$U$27),IF(A252=$X$32,K252/(D252*Vendas!$U$28),IF(A252=$X$33,K252/(D252*Vendas!$U$29),IF(A252=$X$34,K252/(D252*Vendas!$U$30),IF(A252=$X$35,K252/(D252*Vendas!$U$31),IF(A252=$X$36,K252/(D252*Vendas!$U$32),0))))))))</f>
        <v>1.6364700606084297</v>
      </c>
    </row>
    <row r="253" spans="1:17">
      <c r="A253" s="263" t="s">
        <v>33</v>
      </c>
      <c r="B253" s="337" t="s">
        <v>523</v>
      </c>
      <c r="C253" s="73">
        <v>10</v>
      </c>
      <c r="D253" s="315">
        <v>287.39999999999998</v>
      </c>
      <c r="E253" s="166">
        <v>3927</v>
      </c>
      <c r="F253" s="74" t="s">
        <v>70</v>
      </c>
      <c r="G253" s="34" t="str">
        <f t="shared" si="16"/>
        <v>XL10ANDRE BOBROFF CANAVEZI</v>
      </c>
      <c r="H253" s="40">
        <v>41913</v>
      </c>
      <c r="I253" s="35">
        <v>128912.47</v>
      </c>
      <c r="J253" s="35" t="s">
        <v>1250</v>
      </c>
      <c r="K253" s="35">
        <v>282202.22000000003</v>
      </c>
      <c r="L253" s="170">
        <f t="shared" si="17"/>
        <v>2.1890994719129968</v>
      </c>
      <c r="M253" s="154">
        <v>303388.75</v>
      </c>
      <c r="N253" s="170">
        <f t="shared" si="18"/>
        <v>0.93016705464523664</v>
      </c>
      <c r="O253" s="170">
        <f t="shared" si="19"/>
        <v>1.6398969627906872</v>
      </c>
      <c r="P253" s="170">
        <f>IF(A253=$X$29,K253/(D253*Vendas!$U$25),IF(A253=$X$30,K253/(D253*Vendas!$U$26),IF(A253=$X$31,K253/(D253*Vendas!$U$27),IF(A253=$X$32,K253/(D253*Vendas!$U$28),IF(A253=$X$33,K253/(D253*Vendas!$U$29),IF(A253=$X$34,K253/(D253*Vendas!$U$30),IF(A253=$X$35,K253/(D253*Vendas!$U$31),IF(A253=$X$36,K253/(D253*Vendas!$U$32),0))))))))</f>
        <v>1.6246913711173172</v>
      </c>
      <c r="Q253" s="170">
        <f>IF(A253=$X$29,K253/(D253*Vendas!$U$25),IF(A253=$X$30,K253/(D253*Vendas!$U$26),IF(A253=$X$31,K253/(D253*Vendas!$U$27),IF(A253=$X$32,K253/(D253*Vendas!$U$28),IF(A253=$X$33,K253/(D253*Vendas!$U$29),IF(A253=$X$34,K253/(D253*Vendas!$U$30),IF(A253=$X$35,K253/(D253*Vendas!$U$31),IF(A253=$X$36,K253/(D253*Vendas!$U$32),0))))))))</f>
        <v>1.6246913711173172</v>
      </c>
    </row>
    <row r="254" spans="1:17">
      <c r="A254" s="263" t="s">
        <v>33</v>
      </c>
      <c r="B254" s="337" t="s">
        <v>523</v>
      </c>
      <c r="C254" s="166">
        <v>11</v>
      </c>
      <c r="D254" s="197">
        <v>287.39999999999998</v>
      </c>
      <c r="E254" s="166">
        <v>4102</v>
      </c>
      <c r="F254" s="338" t="s">
        <v>70</v>
      </c>
      <c r="G254" s="34" t="str">
        <f t="shared" si="16"/>
        <v>XL11ANDRE BOBROFF CANAVEZI</v>
      </c>
      <c r="H254" s="40">
        <v>41944</v>
      </c>
      <c r="I254" s="35">
        <v>143077.37</v>
      </c>
      <c r="J254" s="35" t="s">
        <v>1250</v>
      </c>
      <c r="K254" s="35">
        <v>284247.93</v>
      </c>
      <c r="L254" s="170">
        <f t="shared" si="17"/>
        <v>1.9866728749626863</v>
      </c>
      <c r="M254" s="154">
        <v>316934.36</v>
      </c>
      <c r="N254" s="170">
        <f t="shared" si="18"/>
        <v>0.89686687805007959</v>
      </c>
      <c r="O254" s="170">
        <f t="shared" si="19"/>
        <v>1.6517847275848496</v>
      </c>
      <c r="P254" s="170">
        <f>IF(A254=$X$29,K254/(D254*Vendas!$U$25),IF(A254=$X$30,K254/(D254*Vendas!$U$26),IF(A254=$X$31,K254/(D254*Vendas!$U$27),IF(A254=$X$32,K254/(D254*Vendas!$U$28),IF(A254=$X$33,K254/(D254*Vendas!$U$29),IF(A254=$X$34,K254/(D254*Vendas!$U$30),IF(A254=$X$35,K254/(D254*Vendas!$U$31),IF(A254=$X$36,K254/(D254*Vendas!$U$32),0))))))))</f>
        <v>1.6364689091707327</v>
      </c>
      <c r="Q254" s="170">
        <f>IF(A254=$X$29,K254/(D254*Vendas!$U$25),IF(A254=$X$30,K254/(D254*Vendas!$U$26),IF(A254=$X$31,K254/(D254*Vendas!$U$27),IF(A254=$X$32,K254/(D254*Vendas!$U$28),IF(A254=$X$33,K254/(D254*Vendas!$U$29),IF(A254=$X$34,K254/(D254*Vendas!$U$30),IF(A254=$X$35,K254/(D254*Vendas!$U$31),IF(A254=$X$36,K254/(D254*Vendas!$U$32),0))))))))</f>
        <v>1.6364689091707327</v>
      </c>
    </row>
    <row r="255" spans="1:17">
      <c r="A255" s="263" t="s">
        <v>33</v>
      </c>
      <c r="B255" s="337" t="s">
        <v>523</v>
      </c>
      <c r="C255" s="73">
        <v>12</v>
      </c>
      <c r="D255" s="315">
        <v>287.39999999999998</v>
      </c>
      <c r="E255" s="166">
        <v>3800</v>
      </c>
      <c r="F255" s="74" t="s">
        <v>1150</v>
      </c>
      <c r="G255" s="34" t="str">
        <f t="shared" si="16"/>
        <v>XL12DIEGO RODRIGUES VIEIRA</v>
      </c>
      <c r="H255" s="40">
        <v>43892</v>
      </c>
      <c r="I255" s="35">
        <v>162093.6</v>
      </c>
      <c r="J255" s="35" t="s">
        <v>834</v>
      </c>
      <c r="K255" s="35">
        <v>155380.16</v>
      </c>
      <c r="L255" s="170">
        <f t="shared" si="17"/>
        <v>0.95858294220129603</v>
      </c>
      <c r="M255" s="154">
        <v>189219.14</v>
      </c>
      <c r="N255" s="170">
        <f t="shared" si="18"/>
        <v>0.82116513160349425</v>
      </c>
      <c r="O255" s="170">
        <f t="shared" si="19"/>
        <v>0.90292504595439049</v>
      </c>
      <c r="P255" s="170">
        <f>IF(A255=$X$29,K255/(D255*Vendas!$U$25),IF(A255=$X$30,K255/(D255*Vendas!$U$26),IF(A255=$X$31,K255/(D255*Vendas!$U$27),IF(A255=$X$32,K255/(D255*Vendas!$U$28),IF(A255=$X$33,K255/(D255*Vendas!$U$29),IF(A255=$X$34,K255/(D255*Vendas!$U$30),IF(A255=$X$35,K255/(D255*Vendas!$U$31),IF(A255=$X$36,K255/(D255*Vendas!$U$32),0))))))))</f>
        <v>0.89455286777980736</v>
      </c>
      <c r="Q255" s="170">
        <f>IF(A255=$X$29,K255/(D255*Vendas!$U$25),IF(A255=$X$30,K255/(D255*Vendas!$U$26),IF(A255=$X$31,K255/(D255*Vendas!$U$27),IF(A255=$X$32,K255/(D255*Vendas!$U$28),IF(A255=$X$33,K255/(D255*Vendas!$U$29),IF(A255=$X$34,K255/(D255*Vendas!$U$30),IF(A255=$X$35,K255/(D255*Vendas!$U$31),IF(A255=$X$36,K255/(D255*Vendas!$U$32),0))))))))</f>
        <v>0.89455286777980736</v>
      </c>
    </row>
    <row r="256" spans="1:17">
      <c r="A256" s="263" t="s">
        <v>33</v>
      </c>
      <c r="B256" s="337" t="s">
        <v>523</v>
      </c>
      <c r="C256" s="166">
        <v>13</v>
      </c>
      <c r="D256" s="197">
        <v>283.56</v>
      </c>
      <c r="E256" s="166">
        <v>4116</v>
      </c>
      <c r="F256" s="338" t="s">
        <v>202</v>
      </c>
      <c r="G256" s="34" t="str">
        <f t="shared" si="16"/>
        <v>XL13FABIO ANTUNES PEREIRA</v>
      </c>
      <c r="H256" s="40">
        <v>41953</v>
      </c>
      <c r="I256" s="35">
        <v>141221.4</v>
      </c>
      <c r="J256" s="35" t="s">
        <v>834</v>
      </c>
      <c r="K256" s="35">
        <v>110735.8</v>
      </c>
      <c r="L256" s="170">
        <f t="shared" si="17"/>
        <v>0.78412903426817759</v>
      </c>
      <c r="M256" s="154">
        <v>219209.96</v>
      </c>
      <c r="N256" s="170">
        <f t="shared" si="18"/>
        <v>0.50515861596799716</v>
      </c>
      <c r="O256" s="170">
        <f t="shared" si="19"/>
        <v>0.65220778629202614</v>
      </c>
      <c r="P256" s="170">
        <f>IF(A256=$X$29,K256/(D256*Vendas!$U$25),IF(A256=$X$30,K256/(D256*Vendas!$U$26),IF(A256=$X$31,K256/(D256*Vendas!$U$27),IF(A256=$X$32,K256/(D256*Vendas!$U$28),IF(A256=$X$33,K256/(D256*Vendas!$U$29),IF(A256=$X$34,K256/(D256*Vendas!$U$30),IF(A256=$X$35,K256/(D256*Vendas!$U$31),IF(A256=$X$36,K256/(D256*Vendas!$U$32),0))))))))</f>
        <v>0.64616032995204209</v>
      </c>
      <c r="Q256" s="170">
        <f>IF(A256=$X$29,K256/(D256*Vendas!$U$25),IF(A256=$X$30,K256/(D256*Vendas!$U$26),IF(A256=$X$31,K256/(D256*Vendas!$U$27),IF(A256=$X$32,K256/(D256*Vendas!$U$28),IF(A256=$X$33,K256/(D256*Vendas!$U$29),IF(A256=$X$34,K256/(D256*Vendas!$U$30),IF(A256=$X$35,K256/(D256*Vendas!$U$31),IF(A256=$X$36,K256/(D256*Vendas!$U$32),0))))))))</f>
        <v>0.64616032995204209</v>
      </c>
    </row>
    <row r="257" spans="1:17">
      <c r="A257" s="263" t="s">
        <v>33</v>
      </c>
      <c r="B257" s="337" t="s">
        <v>523</v>
      </c>
      <c r="C257" s="73">
        <v>15</v>
      </c>
      <c r="D257" s="315">
        <v>287.39999999999998</v>
      </c>
      <c r="E257" s="166">
        <v>5752</v>
      </c>
      <c r="F257" s="74" t="s">
        <v>46</v>
      </c>
      <c r="G257" s="34" t="str">
        <f t="shared" si="16"/>
        <v>XL15ADRIANO SEPE</v>
      </c>
      <c r="H257" s="40">
        <v>42921</v>
      </c>
      <c r="I257" s="35">
        <v>167628.32</v>
      </c>
      <c r="J257" s="35" t="s">
        <v>834</v>
      </c>
      <c r="K257" s="35">
        <v>91105.64</v>
      </c>
      <c r="L257" s="170">
        <f t="shared" si="17"/>
        <v>0.54349790059340808</v>
      </c>
      <c r="M257" s="154">
        <v>219426.46</v>
      </c>
      <c r="N257" s="170">
        <f t="shared" si="18"/>
        <v>0.41519896916716426</v>
      </c>
      <c r="O257" s="170">
        <f t="shared" si="19"/>
        <v>0.52942128637082209</v>
      </c>
      <c r="P257" s="170">
        <f>IF(A257=$X$29,K257/(D257*Vendas!$U$25),IF(A257=$X$30,K257/(D257*Vendas!$U$26),IF(A257=$X$31,K257/(D257*Vendas!$U$27),IF(A257=$X$32,K257/(D257*Vendas!$U$28),IF(A257=$X$33,K257/(D257*Vendas!$U$29),IF(A257=$X$34,K257/(D257*Vendas!$U$30),IF(A257=$X$35,K257/(D257*Vendas!$U$31),IF(A257=$X$36,K257/(D257*Vendas!$U$32),0))))))))</f>
        <v>0.52451234142708258</v>
      </c>
      <c r="Q257" s="170">
        <f>IF(A257=$X$29,K257/(D257*Vendas!$U$25),IF(A257=$X$30,K257/(D257*Vendas!$U$26),IF(A257=$X$31,K257/(D257*Vendas!$U$27),IF(A257=$X$32,K257/(D257*Vendas!$U$28),IF(A257=$X$33,K257/(D257*Vendas!$U$29),IF(A257=$X$34,K257/(D257*Vendas!$U$30),IF(A257=$X$35,K257/(D257*Vendas!$U$31),IF(A257=$X$36,K257/(D257*Vendas!$U$32),0))))))))</f>
        <v>0.52451234142708258</v>
      </c>
    </row>
    <row r="258" spans="1:17">
      <c r="A258" s="263" t="s">
        <v>33</v>
      </c>
      <c r="B258" s="337" t="s">
        <v>523</v>
      </c>
      <c r="C258" s="166">
        <v>18</v>
      </c>
      <c r="D258" s="197">
        <v>256.19</v>
      </c>
      <c r="E258" s="166">
        <v>4566</v>
      </c>
      <c r="F258" s="338" t="s">
        <v>1240</v>
      </c>
      <c r="G258" s="34" t="str">
        <f t="shared" si="16"/>
        <v>XL18LEANDRO LINO DA SILVA</v>
      </c>
      <c r="H258" s="40">
        <v>44034</v>
      </c>
      <c r="I258" s="35">
        <v>135970.6</v>
      </c>
      <c r="J258" s="35" t="s">
        <v>834</v>
      </c>
      <c r="K258" s="35">
        <v>123701.57</v>
      </c>
      <c r="L258" s="170">
        <f t="shared" si="17"/>
        <v>0.90976703787436408</v>
      </c>
      <c r="M258" s="154">
        <v>151765.86000000002</v>
      </c>
      <c r="N258" s="170">
        <f t="shared" si="18"/>
        <v>0.81508166592934661</v>
      </c>
      <c r="O258" s="170">
        <f t="shared" si="19"/>
        <v>0.80641006077108168</v>
      </c>
      <c r="P258" s="170">
        <f>IF(A258=$X$29,K258/(D258*Vendas!$U$25),IF(A258=$X$30,K258/(D258*Vendas!$U$26),IF(A258=$X$31,K258/(D258*Vendas!$U$27),IF(A258=$X$32,K258/(D258*Vendas!$U$28),IF(A258=$X$33,K258/(D258*Vendas!$U$29),IF(A258=$X$34,K258/(D258*Vendas!$U$30),IF(A258=$X$35,K258/(D258*Vendas!$U$31),IF(A258=$X$36,K258/(D258*Vendas!$U$32),0))))))))</f>
        <v>0.79893279702609865</v>
      </c>
      <c r="Q258" s="170">
        <f>IF(A258=$X$29,K258/(D258*Vendas!$U$25),IF(A258=$X$30,K258/(D258*Vendas!$U$26),IF(A258=$X$31,K258/(D258*Vendas!$U$27),IF(A258=$X$32,K258/(D258*Vendas!$U$28),IF(A258=$X$33,K258/(D258*Vendas!$U$29),IF(A258=$X$34,K258/(D258*Vendas!$U$30),IF(A258=$X$35,K258/(D258*Vendas!$U$31),IF(A258=$X$36,K258/(D258*Vendas!$U$32),0))))))))</f>
        <v>0.79893279702609865</v>
      </c>
    </row>
    <row r="259" spans="1:17">
      <c r="A259" s="263" t="s">
        <v>33</v>
      </c>
      <c r="B259" s="337" t="s">
        <v>523</v>
      </c>
      <c r="C259" s="73">
        <v>20</v>
      </c>
      <c r="D259" s="315">
        <v>256.19</v>
      </c>
      <c r="E259" s="166">
        <v>6080</v>
      </c>
      <c r="F259" s="74" t="s">
        <v>216</v>
      </c>
      <c r="G259" s="34" t="str">
        <f t="shared" si="16"/>
        <v>XL20FLAVIO DA SILVA SENA</v>
      </c>
      <c r="H259" s="40">
        <v>43102</v>
      </c>
      <c r="I259" s="35">
        <v>121260</v>
      </c>
      <c r="J259" s="35" t="s">
        <v>1249</v>
      </c>
      <c r="K259" s="35">
        <v>127795.77</v>
      </c>
      <c r="L259" s="170">
        <f t="shared" si="17"/>
        <v>1.0538988124690747</v>
      </c>
      <c r="M259" s="154">
        <v>175481.55000000002</v>
      </c>
      <c r="N259" s="170">
        <f t="shared" si="18"/>
        <v>0.72825758605391844</v>
      </c>
      <c r="O259" s="170">
        <f t="shared" si="19"/>
        <v>0.83310013488096535</v>
      </c>
      <c r="P259" s="170">
        <f>IF(A259=$X$29,K259/(D259*Vendas!$U$25),IF(A259=$X$30,K259/(D259*Vendas!$U$26),IF(A259=$X$31,K259/(D259*Vendas!$U$27),IF(A259=$X$32,K259/(D259*Vendas!$U$28),IF(A259=$X$33,K259/(D259*Vendas!$U$29),IF(A259=$X$34,K259/(D259*Vendas!$U$30),IF(A259=$X$35,K259/(D259*Vendas!$U$31),IF(A259=$X$36,K259/(D259*Vendas!$U$32),0))))))))</f>
        <v>0.82537539316763719</v>
      </c>
      <c r="Q259" s="170">
        <f>IF(A259=$X$29,K259/(D259*Vendas!$U$25),IF(A259=$X$30,K259/(D259*Vendas!$U$26),IF(A259=$X$31,K259/(D259*Vendas!$U$27),IF(A259=$X$32,K259/(D259*Vendas!$U$28),IF(A259=$X$33,K259/(D259*Vendas!$U$29),IF(A259=$X$34,K259/(D259*Vendas!$U$30),IF(A259=$X$35,K259/(D259*Vendas!$U$31),IF(A259=$X$36,K259/(D259*Vendas!$U$32),0))))))))</f>
        <v>0.82537539316763719</v>
      </c>
    </row>
    <row r="260" spans="1:17">
      <c r="A260" s="263" t="s">
        <v>33</v>
      </c>
      <c r="B260" s="337" t="s">
        <v>523</v>
      </c>
      <c r="C260" s="166">
        <v>22</v>
      </c>
      <c r="D260" s="197">
        <v>256.19</v>
      </c>
      <c r="E260" s="166">
        <v>4978</v>
      </c>
      <c r="F260" s="338" t="s">
        <v>1419</v>
      </c>
      <c r="G260" s="34" t="str">
        <f t="shared" si="16"/>
        <v>XL22IZALTINO CELESTE</v>
      </c>
      <c r="H260" s="40">
        <v>44211</v>
      </c>
      <c r="I260" s="35">
        <v>165440</v>
      </c>
      <c r="J260" s="35" t="s">
        <v>834</v>
      </c>
      <c r="K260" s="35">
        <v>99812.160000000003</v>
      </c>
      <c r="L260" s="170">
        <f t="shared" si="17"/>
        <v>0.60331334622823984</v>
      </c>
      <c r="M260" s="154">
        <v>167323.73000000001</v>
      </c>
      <c r="N260" s="170">
        <f t="shared" si="18"/>
        <v>0.59652124656795535</v>
      </c>
      <c r="O260" s="170">
        <f t="shared" si="19"/>
        <v>0.65067508853196387</v>
      </c>
      <c r="P260" s="170">
        <f>IF(A260=$X$29,K260/(D260*Vendas!$U$25),IF(A260=$X$30,K260/(D260*Vendas!$U$26),IF(A260=$X$31,K260/(D260*Vendas!$U$27),IF(A260=$X$32,K260/(D260*Vendas!$U$28),IF(A260=$X$33,K260/(D260*Vendas!$U$29),IF(A260=$X$34,K260/(D260*Vendas!$U$30),IF(A260=$X$35,K260/(D260*Vendas!$U$31),IF(A260=$X$36,K260/(D260*Vendas!$U$32),0))))))))</f>
        <v>0.64464184380211575</v>
      </c>
      <c r="Q260" s="170">
        <f>IF(A260=$X$29,K260/(D260*Vendas!$U$25),IF(A260=$X$30,K260/(D260*Vendas!$U$26),IF(A260=$X$31,K260/(D260*Vendas!$U$27),IF(A260=$X$32,K260/(D260*Vendas!$U$28),IF(A260=$X$33,K260/(D260*Vendas!$U$29),IF(A260=$X$34,K260/(D260*Vendas!$U$30),IF(A260=$X$35,K260/(D260*Vendas!$U$31),IF(A260=$X$36,K260/(D260*Vendas!$U$32),0))))))))</f>
        <v>0.64464184380211575</v>
      </c>
    </row>
    <row r="261" spans="1:17">
      <c r="A261" s="263" t="s">
        <v>33</v>
      </c>
      <c r="B261" s="337" t="s">
        <v>523</v>
      </c>
      <c r="C261" s="73">
        <v>25</v>
      </c>
      <c r="D261" s="315">
        <v>256.19</v>
      </c>
      <c r="E261" s="166">
        <v>5091</v>
      </c>
      <c r="F261" s="74" t="s">
        <v>356</v>
      </c>
      <c r="G261" s="34" t="str">
        <f t="shared" ref="G261:G324" si="20">CONCATENATE(B261,C261,F261)</f>
        <v>XL25MARILENA DE PAULO</v>
      </c>
      <c r="H261" s="40">
        <v>42401</v>
      </c>
      <c r="I261" s="35">
        <v>131500</v>
      </c>
      <c r="J261" s="35" t="s">
        <v>834</v>
      </c>
      <c r="K261" s="35">
        <v>124529.8</v>
      </c>
      <c r="L261" s="170">
        <f t="shared" ref="L261:L324" si="21">K261/I261</f>
        <v>0.94699467680608362</v>
      </c>
      <c r="M261" s="154">
        <v>237226.47</v>
      </c>
      <c r="N261" s="170">
        <f t="shared" ref="N261:N324" si="22">K261/M261</f>
        <v>0.5249405768251747</v>
      </c>
      <c r="O261" s="170">
        <f t="shared" ref="O261:O324" si="23">K261/(D261*$U$10)</f>
        <v>0.81180928896707327</v>
      </c>
      <c r="P261" s="170">
        <f>IF(A261=$X$29,K261/(D261*Vendas!$U$25),IF(A261=$X$30,K261/(D261*Vendas!$U$26),IF(A261=$X$31,K261/(D261*Vendas!$U$27),IF(A261=$X$32,K261/(D261*Vendas!$U$28),IF(A261=$X$33,K261/(D261*Vendas!$U$29),IF(A261=$X$34,K261/(D261*Vendas!$U$30),IF(A261=$X$35,K261/(D261*Vendas!$U$31),IF(A261=$X$36,K261/(D261*Vendas!$U$32),0))))))))</f>
        <v>0.80428196204058411</v>
      </c>
      <c r="Q261" s="170">
        <f>IF(A261=$X$29,K261/(D261*Vendas!$U$25),IF(A261=$X$30,K261/(D261*Vendas!$U$26),IF(A261=$X$31,K261/(D261*Vendas!$U$27),IF(A261=$X$32,K261/(D261*Vendas!$U$28),IF(A261=$X$33,K261/(D261*Vendas!$U$29),IF(A261=$X$34,K261/(D261*Vendas!$U$30),IF(A261=$X$35,K261/(D261*Vendas!$U$31),IF(A261=$X$36,K261/(D261*Vendas!$U$32),0))))))))</f>
        <v>0.80428196204058411</v>
      </c>
    </row>
    <row r="262" spans="1:17">
      <c r="A262" s="263" t="s">
        <v>33</v>
      </c>
      <c r="B262" s="337" t="s">
        <v>523</v>
      </c>
      <c r="C262" s="166">
        <v>26</v>
      </c>
      <c r="D262" s="197">
        <v>256.19</v>
      </c>
      <c r="E262" s="166">
        <v>6055</v>
      </c>
      <c r="F262" s="338" t="s">
        <v>168</v>
      </c>
      <c r="G262" s="34" t="str">
        <f t="shared" si="20"/>
        <v>XL26EDUARDO DA SILVA</v>
      </c>
      <c r="H262" s="40">
        <v>43081</v>
      </c>
      <c r="I262" s="35">
        <v>121259.76</v>
      </c>
      <c r="J262" s="35" t="s">
        <v>1250</v>
      </c>
      <c r="K262" s="35">
        <v>113581.63</v>
      </c>
      <c r="L262" s="170">
        <f t="shared" si="21"/>
        <v>0.93668031340322633</v>
      </c>
      <c r="M262" s="154">
        <v>174968.17</v>
      </c>
      <c r="N262" s="170">
        <f t="shared" si="22"/>
        <v>0.64915595790937286</v>
      </c>
      <c r="O262" s="170">
        <f t="shared" si="23"/>
        <v>0.74043821069351434</v>
      </c>
      <c r="P262" s="170">
        <f>IF(A262=$X$29,K262/(D262*Vendas!$U$25),IF(A262=$X$30,K262/(D262*Vendas!$U$26),IF(A262=$X$31,K262/(D262*Vendas!$U$27),IF(A262=$X$32,K262/(D262*Vendas!$U$28),IF(A262=$X$33,K262/(D262*Vendas!$U$29),IF(A262=$X$34,K262/(D262*Vendas!$U$30),IF(A262=$X$35,K262/(D262*Vendas!$U$31),IF(A262=$X$36,K262/(D262*Vendas!$U$32),0))))))))</f>
        <v>0.73357265673090033</v>
      </c>
      <c r="Q262" s="170">
        <f>IF(A262=$X$29,K262/(D262*Vendas!$U$25),IF(A262=$X$30,K262/(D262*Vendas!$U$26),IF(A262=$X$31,K262/(D262*Vendas!$U$27),IF(A262=$X$32,K262/(D262*Vendas!$U$28),IF(A262=$X$33,K262/(D262*Vendas!$U$29),IF(A262=$X$34,K262/(D262*Vendas!$U$30),IF(A262=$X$35,K262/(D262*Vendas!$U$31),IF(A262=$X$36,K262/(D262*Vendas!$U$32),0))))))))</f>
        <v>0.73357265673090033</v>
      </c>
    </row>
    <row r="263" spans="1:17">
      <c r="A263" s="263" t="s">
        <v>33</v>
      </c>
      <c r="B263" s="337" t="s">
        <v>523</v>
      </c>
      <c r="C263" s="73">
        <v>27</v>
      </c>
      <c r="D263" s="315">
        <v>256.19</v>
      </c>
      <c r="E263" s="166">
        <v>5295</v>
      </c>
      <c r="F263" s="74" t="s">
        <v>108</v>
      </c>
      <c r="G263" s="34" t="str">
        <f t="shared" si="20"/>
        <v>XL27CHRISTIAN RIBEIRO FRANCO</v>
      </c>
      <c r="H263" s="40">
        <v>42647</v>
      </c>
      <c r="I263" s="35">
        <v>137422.92000000001</v>
      </c>
      <c r="J263" s="35" t="s">
        <v>834</v>
      </c>
      <c r="K263" s="35">
        <v>120967.68000000001</v>
      </c>
      <c r="L263" s="170">
        <f t="shared" si="21"/>
        <v>0.88025840231018226</v>
      </c>
      <c r="M263" s="154">
        <v>219298.09</v>
      </c>
      <c r="N263" s="170">
        <f t="shared" si="22"/>
        <v>0.55161301222459347</v>
      </c>
      <c r="O263" s="170">
        <f t="shared" si="23"/>
        <v>0.78858784233811063</v>
      </c>
      <c r="P263" s="170">
        <f>IF(A263=$X$29,K263/(D263*Vendas!$U$25),IF(A263=$X$30,K263/(D263*Vendas!$U$26),IF(A263=$X$31,K263/(D263*Vendas!$U$27),IF(A263=$X$32,K263/(D263*Vendas!$U$28),IF(A263=$X$33,K263/(D263*Vendas!$U$29),IF(A263=$X$34,K263/(D263*Vendas!$U$30),IF(A263=$X$35,K263/(D263*Vendas!$U$31),IF(A263=$X$36,K263/(D263*Vendas!$U$32),0))))))))</f>
        <v>0.78127583127811606</v>
      </c>
      <c r="Q263" s="170">
        <f>IF(A263=$X$29,K263/(D263*Vendas!$U$25),IF(A263=$X$30,K263/(D263*Vendas!$U$26),IF(A263=$X$31,K263/(D263*Vendas!$U$27),IF(A263=$X$32,K263/(D263*Vendas!$U$28),IF(A263=$X$33,K263/(D263*Vendas!$U$29),IF(A263=$X$34,K263/(D263*Vendas!$U$30),IF(A263=$X$35,K263/(D263*Vendas!$U$31),IF(A263=$X$36,K263/(D263*Vendas!$U$32),0))))))))</f>
        <v>0.78127583127811606</v>
      </c>
    </row>
    <row r="264" spans="1:17">
      <c r="A264" s="263" t="s">
        <v>33</v>
      </c>
      <c r="B264" s="337" t="s">
        <v>523</v>
      </c>
      <c r="C264" s="166">
        <v>28</v>
      </c>
      <c r="D264" s="197">
        <v>256.19</v>
      </c>
      <c r="E264" s="166">
        <v>6127</v>
      </c>
      <c r="F264" s="338" t="s">
        <v>1136</v>
      </c>
      <c r="G264" s="34" t="str">
        <f t="shared" si="20"/>
        <v>XL28VANIA BALDUINO FARIAS</v>
      </c>
      <c r="H264" s="40">
        <v>43110</v>
      </c>
      <c r="I264" s="35">
        <v>121260</v>
      </c>
      <c r="J264" s="35" t="s">
        <v>1250</v>
      </c>
      <c r="K264" s="35">
        <v>69239.98</v>
      </c>
      <c r="L264" s="170">
        <f t="shared" si="21"/>
        <v>0.57100428830611905</v>
      </c>
      <c r="M264" s="154">
        <v>164948.81</v>
      </c>
      <c r="N264" s="170">
        <f t="shared" si="22"/>
        <v>0.41976647179206689</v>
      </c>
      <c r="O264" s="170">
        <f t="shared" si="23"/>
        <v>0.45137516427308461</v>
      </c>
      <c r="P264" s="170">
        <f>IF(A264=$X$29,K264/(D264*Vendas!$U$25),IF(A264=$X$30,K264/(D264*Vendas!$U$26),IF(A264=$X$31,K264/(D264*Vendas!$U$27),IF(A264=$X$32,K264/(D264*Vendas!$U$28),IF(A264=$X$33,K264/(D264*Vendas!$U$29),IF(A264=$X$34,K264/(D264*Vendas!$U$30),IF(A264=$X$35,K264/(D264*Vendas!$U$31),IF(A264=$X$36,K264/(D264*Vendas!$U$32),0))))))))</f>
        <v>0.4471898852005769</v>
      </c>
      <c r="Q264" s="170">
        <f>IF(A264=$X$29,K264/(D264*Vendas!$U$25),IF(A264=$X$30,K264/(D264*Vendas!$U$26),IF(A264=$X$31,K264/(D264*Vendas!$U$27),IF(A264=$X$32,K264/(D264*Vendas!$U$28),IF(A264=$X$33,K264/(D264*Vendas!$U$29),IF(A264=$X$34,K264/(D264*Vendas!$U$30),IF(A264=$X$35,K264/(D264*Vendas!$U$31),IF(A264=$X$36,K264/(D264*Vendas!$U$32),0))))))))</f>
        <v>0.4471898852005769</v>
      </c>
    </row>
    <row r="265" spans="1:17">
      <c r="A265" s="263" t="s">
        <v>33</v>
      </c>
      <c r="B265" s="337" t="s">
        <v>523</v>
      </c>
      <c r="C265" s="73">
        <v>29</v>
      </c>
      <c r="D265" s="315">
        <v>256.19</v>
      </c>
      <c r="E265" s="166">
        <v>6483</v>
      </c>
      <c r="F265" s="74" t="s">
        <v>637</v>
      </c>
      <c r="G265" s="34" t="str">
        <f t="shared" si="20"/>
        <v>XL29MIKAELA APARECIDA LIMA TEODORO</v>
      </c>
      <c r="H265" s="40">
        <v>43264</v>
      </c>
      <c r="I265" s="35">
        <v>131600</v>
      </c>
      <c r="J265" s="35" t="s">
        <v>1250</v>
      </c>
      <c r="K265" s="35">
        <v>140337.18</v>
      </c>
      <c r="L265" s="170">
        <f t="shared" si="21"/>
        <v>1.0663919452887538</v>
      </c>
      <c r="M265" s="154">
        <v>187985.45</v>
      </c>
      <c r="N265" s="170">
        <f t="shared" si="22"/>
        <v>0.74653213852455058</v>
      </c>
      <c r="O265" s="170">
        <f t="shared" si="23"/>
        <v>0.91485753860878416</v>
      </c>
      <c r="P265" s="170">
        <f>IF(A265=$X$29,K265/(D265*Vendas!$U$25),IF(A265=$X$30,K265/(D265*Vendas!$U$26),IF(A265=$X$31,K265/(D265*Vendas!$U$27),IF(A265=$X$32,K265/(D265*Vendas!$U$28),IF(A265=$X$33,K265/(D265*Vendas!$U$29),IF(A265=$X$34,K265/(D265*Vendas!$U$30),IF(A265=$X$35,K265/(D265*Vendas!$U$31),IF(A265=$X$36,K265/(D265*Vendas!$U$32),0))))))))</f>
        <v>0.90637471896399591</v>
      </c>
      <c r="Q265" s="170">
        <f>IF(A265=$X$29,K265/(D265*Vendas!$U$25),IF(A265=$X$30,K265/(D265*Vendas!$U$26),IF(A265=$X$31,K265/(D265*Vendas!$U$27),IF(A265=$X$32,K265/(D265*Vendas!$U$28),IF(A265=$X$33,K265/(D265*Vendas!$U$29),IF(A265=$X$34,K265/(D265*Vendas!$U$30),IF(A265=$X$35,K265/(D265*Vendas!$U$31),IF(A265=$X$36,K265/(D265*Vendas!$U$32),0))))))))</f>
        <v>0.90637471896399591</v>
      </c>
    </row>
    <row r="266" spans="1:17">
      <c r="A266" s="263" t="s">
        <v>33</v>
      </c>
      <c r="B266" s="337" t="s">
        <v>523</v>
      </c>
      <c r="C266" s="166">
        <v>30</v>
      </c>
      <c r="D266" s="197">
        <v>256.19</v>
      </c>
      <c r="E266" s="166">
        <v>4844</v>
      </c>
      <c r="F266" s="338" t="s">
        <v>1346</v>
      </c>
      <c r="G266" s="34" t="str">
        <f t="shared" si="20"/>
        <v>XL30SORAYA FERNANDES DA SILVA ARAUJO</v>
      </c>
      <c r="H266" s="40">
        <v>44127</v>
      </c>
      <c r="I266" s="35">
        <v>165360.18</v>
      </c>
      <c r="J266" s="35" t="s">
        <v>834</v>
      </c>
      <c r="K266" s="35">
        <v>155532.07</v>
      </c>
      <c r="L266" s="170">
        <f t="shared" si="21"/>
        <v>0.94056543721711006</v>
      </c>
      <c r="M266" s="154">
        <v>180496.18</v>
      </c>
      <c r="N266" s="170">
        <f t="shared" si="22"/>
        <v>0.86169175436289014</v>
      </c>
      <c r="O266" s="170">
        <f t="shared" si="23"/>
        <v>1.0139129682877277</v>
      </c>
      <c r="P266" s="170">
        <f>IF(A266=$X$29,K266/(D266*Vendas!$U$25),IF(A266=$X$30,K266/(D266*Vendas!$U$26),IF(A266=$X$31,K266/(D266*Vendas!$U$27),IF(A266=$X$32,K266/(D266*Vendas!$U$28),IF(A266=$X$33,K266/(D266*Vendas!$U$29),IF(A266=$X$34,K266/(D266*Vendas!$U$30),IF(A266=$X$35,K266/(D266*Vendas!$U$31),IF(A266=$X$36,K266/(D266*Vendas!$U$32),0))))))))</f>
        <v>1.00451167848847</v>
      </c>
      <c r="Q266" s="170">
        <f>IF(A266=$X$29,K266/(D266*Vendas!$U$25),IF(A266=$X$30,K266/(D266*Vendas!$U$26),IF(A266=$X$31,K266/(D266*Vendas!$U$27),IF(A266=$X$32,K266/(D266*Vendas!$U$28),IF(A266=$X$33,K266/(D266*Vendas!$U$29),IF(A266=$X$34,K266/(D266*Vendas!$U$30),IF(A266=$X$35,K266/(D266*Vendas!$U$31),IF(A266=$X$36,K266/(D266*Vendas!$U$32),0))))))))</f>
        <v>1.00451167848847</v>
      </c>
    </row>
    <row r="267" spans="1:17">
      <c r="A267" s="263" t="s">
        <v>33</v>
      </c>
      <c r="B267" s="337" t="s">
        <v>523</v>
      </c>
      <c r="C267" s="73">
        <v>31</v>
      </c>
      <c r="D267" s="315">
        <v>277.37</v>
      </c>
      <c r="E267" s="166">
        <v>6014</v>
      </c>
      <c r="F267" s="74" t="s">
        <v>292</v>
      </c>
      <c r="G267" s="34" t="str">
        <f t="shared" si="20"/>
        <v>XL31KAREN JEREMIAS FERMINO</v>
      </c>
      <c r="H267" s="40">
        <v>43061</v>
      </c>
      <c r="I267" s="35">
        <v>132539.85</v>
      </c>
      <c r="J267" s="35" t="s">
        <v>1249</v>
      </c>
      <c r="K267" s="35">
        <v>163230.29</v>
      </c>
      <c r="L267" s="170">
        <f t="shared" si="21"/>
        <v>1.2315563206084812</v>
      </c>
      <c r="M267" s="154">
        <v>207933.03</v>
      </c>
      <c r="N267" s="170">
        <f t="shared" si="22"/>
        <v>0.78501376140192836</v>
      </c>
      <c r="O267" s="170">
        <f t="shared" si="23"/>
        <v>0.98284303674492535</v>
      </c>
      <c r="P267" s="170">
        <f>IF(A267=$X$29,K267/(D267*Vendas!$U$25),IF(A267=$X$30,K267/(D267*Vendas!$U$26),IF(A267=$X$31,K267/(D267*Vendas!$U$27),IF(A267=$X$32,K267/(D267*Vendas!$U$28),IF(A267=$X$33,K267/(D267*Vendas!$U$29),IF(A267=$X$34,K267/(D267*Vendas!$U$30),IF(A267=$X$35,K267/(D267*Vendas!$U$31),IF(A267=$X$36,K267/(D267*Vendas!$U$32),0))))))))</f>
        <v>0.97372983619949205</v>
      </c>
      <c r="Q267" s="170">
        <f>IF(A267=$X$29,K267/(D267*Vendas!$U$25),IF(A267=$X$30,K267/(D267*Vendas!$U$26),IF(A267=$X$31,K267/(D267*Vendas!$U$27),IF(A267=$X$32,K267/(D267*Vendas!$U$28),IF(A267=$X$33,K267/(D267*Vendas!$U$29),IF(A267=$X$34,K267/(D267*Vendas!$U$30),IF(A267=$X$35,K267/(D267*Vendas!$U$31),IF(A267=$X$36,K267/(D267*Vendas!$U$32),0))))))))</f>
        <v>0.97372983619949205</v>
      </c>
    </row>
    <row r="268" spans="1:17">
      <c r="A268" s="263" t="s">
        <v>33</v>
      </c>
      <c r="B268" s="337" t="s">
        <v>524</v>
      </c>
      <c r="C268" s="166">
        <v>1</v>
      </c>
      <c r="D268" s="197">
        <v>370.23</v>
      </c>
      <c r="E268" s="166">
        <v>6816</v>
      </c>
      <c r="F268" s="338" t="s">
        <v>911</v>
      </c>
      <c r="G268" s="34" t="str">
        <f t="shared" si="20"/>
        <v>XLI1LEONARDO MEDEIROS GUILET PIRES</v>
      </c>
      <c r="H268" s="40">
        <v>43439</v>
      </c>
      <c r="I268" s="35">
        <v>155100</v>
      </c>
      <c r="J268" s="35" t="s">
        <v>834</v>
      </c>
      <c r="K268" s="35">
        <v>30491.79</v>
      </c>
      <c r="L268" s="170">
        <f t="shared" si="21"/>
        <v>0.19659439071566731</v>
      </c>
      <c r="M268" s="154">
        <v>164689.47</v>
      </c>
      <c r="N268" s="170">
        <f t="shared" si="22"/>
        <v>0.18514717425467458</v>
      </c>
      <c r="O268" s="170">
        <f t="shared" si="23"/>
        <v>0.13754797862407311</v>
      </c>
      <c r="P268" s="170">
        <f>IF(A268=$X$29,K268/(D268*Vendas!$U$25),IF(A268=$X$30,K268/(D268*Vendas!$U$26),IF(A268=$X$31,K268/(D268*Vendas!$U$27),IF(A268=$X$32,K268/(D268*Vendas!$U$28),IF(A268=$X$33,K268/(D268*Vendas!$U$29),IF(A268=$X$34,K268/(D268*Vendas!$U$30),IF(A268=$X$35,K268/(D268*Vendas!$U$31),IF(A268=$X$36,K268/(D268*Vendas!$U$32),0))))))))</f>
        <v>0.13627259459330093</v>
      </c>
      <c r="Q268" s="170">
        <f>IF(A268=$X$29,K268/(D268*Vendas!$U$25),IF(A268=$X$30,K268/(D268*Vendas!$U$26),IF(A268=$X$31,K268/(D268*Vendas!$U$27),IF(A268=$X$32,K268/(D268*Vendas!$U$28),IF(A268=$X$33,K268/(D268*Vendas!$U$29),IF(A268=$X$34,K268/(D268*Vendas!$U$30),IF(A268=$X$35,K268/(D268*Vendas!$U$31),IF(A268=$X$36,K268/(D268*Vendas!$U$32),0))))))))</f>
        <v>0.13627259459330093</v>
      </c>
    </row>
    <row r="269" spans="1:17">
      <c r="A269" s="263" t="s">
        <v>33</v>
      </c>
      <c r="B269" s="337" t="s">
        <v>524</v>
      </c>
      <c r="C269" s="73">
        <v>3</v>
      </c>
      <c r="D269" s="315">
        <v>262.42</v>
      </c>
      <c r="E269" s="166">
        <v>6594</v>
      </c>
      <c r="F269" s="74" t="s">
        <v>790</v>
      </c>
      <c r="G269" s="34" t="str">
        <f t="shared" si="20"/>
        <v>XLI3RICARDO CANDIDO RODRIGUES</v>
      </c>
      <c r="H269" s="40">
        <v>43328</v>
      </c>
      <c r="I269" s="35">
        <v>124456</v>
      </c>
      <c r="J269" s="35" t="s">
        <v>834</v>
      </c>
      <c r="K269" s="35">
        <v>118082.84</v>
      </c>
      <c r="L269" s="170">
        <f t="shared" si="21"/>
        <v>0.94879186218422573</v>
      </c>
      <c r="M269" s="154">
        <v>172341.16</v>
      </c>
      <c r="N269" s="170">
        <f t="shared" si="22"/>
        <v>0.68516911456323026</v>
      </c>
      <c r="O269" s="170">
        <f t="shared" si="23"/>
        <v>0.75150652902781667</v>
      </c>
      <c r="P269" s="170">
        <f>IF(A269=$X$29,K269/(D269*Vendas!$U$25),IF(A269=$X$30,K269/(D269*Vendas!$U$26),IF(A269=$X$31,K269/(D269*Vendas!$U$27),IF(A269=$X$32,K269/(D269*Vendas!$U$28),IF(A269=$X$33,K269/(D269*Vendas!$U$29),IF(A269=$X$34,K269/(D269*Vendas!$U$30),IF(A269=$X$35,K269/(D269*Vendas!$U$31),IF(A269=$X$36,K269/(D269*Vendas!$U$32),0))))))))</f>
        <v>0.74453834646540584</v>
      </c>
      <c r="Q269" s="170">
        <f>IF(A269=$X$29,K269/(D269*Vendas!$U$25),IF(A269=$X$30,K269/(D269*Vendas!$U$26),IF(A269=$X$31,K269/(D269*Vendas!$U$27),IF(A269=$X$32,K269/(D269*Vendas!$U$28),IF(A269=$X$33,K269/(D269*Vendas!$U$29),IF(A269=$X$34,K269/(D269*Vendas!$U$30),IF(A269=$X$35,K269/(D269*Vendas!$U$31),IF(A269=$X$36,K269/(D269*Vendas!$U$32),0))))))))</f>
        <v>0.74453834646540584</v>
      </c>
    </row>
    <row r="270" spans="1:17">
      <c r="A270" s="263" t="s">
        <v>33</v>
      </c>
      <c r="B270" s="337" t="s">
        <v>524</v>
      </c>
      <c r="C270" s="166">
        <v>4</v>
      </c>
      <c r="D270" s="197">
        <v>262.42</v>
      </c>
      <c r="E270" s="166">
        <v>6577</v>
      </c>
      <c r="F270" s="338" t="s">
        <v>791</v>
      </c>
      <c r="G270" s="34" t="str">
        <f t="shared" si="20"/>
        <v>XLI4POLEANE RODRIGUES</v>
      </c>
      <c r="H270" s="40">
        <v>43313</v>
      </c>
      <c r="I270" s="35">
        <v>126900</v>
      </c>
      <c r="J270" s="35" t="s">
        <v>1249</v>
      </c>
      <c r="K270" s="35">
        <v>45395.85</v>
      </c>
      <c r="L270" s="170">
        <f t="shared" si="21"/>
        <v>0.35772931442080375</v>
      </c>
      <c r="M270" s="154">
        <v>135625.29999999999</v>
      </c>
      <c r="N270" s="170">
        <f t="shared" si="22"/>
        <v>0.33471520431659879</v>
      </c>
      <c r="O270" s="170">
        <f t="shared" si="23"/>
        <v>0.28890969818957107</v>
      </c>
      <c r="P270" s="170">
        <f>IF(A270=$X$29,K270/(D270*Vendas!$U$25),IF(A270=$X$30,K270/(D270*Vendas!$U$26),IF(A270=$X$31,K270/(D270*Vendas!$U$27),IF(A270=$X$32,K270/(D270*Vendas!$U$28),IF(A270=$X$33,K270/(D270*Vendas!$U$29),IF(A270=$X$34,K270/(D270*Vendas!$U$30),IF(A270=$X$35,K270/(D270*Vendas!$U$31),IF(A270=$X$36,K270/(D270*Vendas!$U$32),0))))))))</f>
        <v>0.28623084518793407</v>
      </c>
      <c r="Q270" s="170">
        <f>IF(A270=$X$29,K270/(D270*Vendas!$U$25),IF(A270=$X$30,K270/(D270*Vendas!$U$26),IF(A270=$X$31,K270/(D270*Vendas!$U$27),IF(A270=$X$32,K270/(D270*Vendas!$U$28),IF(A270=$X$33,K270/(D270*Vendas!$U$29),IF(A270=$X$34,K270/(D270*Vendas!$U$30),IF(A270=$X$35,K270/(D270*Vendas!$U$31),IF(A270=$X$36,K270/(D270*Vendas!$U$32),0))))))))</f>
        <v>0.28623084518793407</v>
      </c>
    </row>
    <row r="271" spans="1:17">
      <c r="A271" s="263" t="s">
        <v>33</v>
      </c>
      <c r="B271" s="337" t="s">
        <v>524</v>
      </c>
      <c r="C271" s="73">
        <v>5</v>
      </c>
      <c r="D271" s="315">
        <v>262.42</v>
      </c>
      <c r="E271" s="166">
        <v>6810</v>
      </c>
      <c r="F271" s="74" t="s">
        <v>912</v>
      </c>
      <c r="G271" s="34" t="str">
        <f t="shared" si="20"/>
        <v>XLI5THAIS AMARILHA DE CASTRO</v>
      </c>
      <c r="H271" s="40">
        <v>43452</v>
      </c>
      <c r="I271" s="35">
        <v>117500</v>
      </c>
      <c r="J271" s="35" t="s">
        <v>834</v>
      </c>
      <c r="K271" s="35">
        <v>117212.25</v>
      </c>
      <c r="L271" s="170">
        <f t="shared" si="21"/>
        <v>0.9975510638297872</v>
      </c>
      <c r="M271" s="154">
        <v>157230.94</v>
      </c>
      <c r="N271" s="170">
        <f t="shared" si="22"/>
        <v>0.7454782754590159</v>
      </c>
      <c r="O271" s="170">
        <f t="shared" si="23"/>
        <v>0.74596589273293823</v>
      </c>
      <c r="P271" s="170">
        <f>IF(A271=$X$29,K271/(D271*Vendas!$U$25),IF(A271=$X$30,K271/(D271*Vendas!$U$26),IF(A271=$X$31,K271/(D271*Vendas!$U$27),IF(A271=$X$32,K271/(D271*Vendas!$U$28),IF(A271=$X$33,K271/(D271*Vendas!$U$29),IF(A271=$X$34,K271/(D271*Vendas!$U$30),IF(A271=$X$35,K271/(D271*Vendas!$U$31),IF(A271=$X$36,K271/(D271*Vendas!$U$32),0))))))))</f>
        <v>0.73904908452819873</v>
      </c>
      <c r="Q271" s="170">
        <f>IF(A271=$X$29,K271/(D271*Vendas!$U$25),IF(A271=$X$30,K271/(D271*Vendas!$U$26),IF(A271=$X$31,K271/(D271*Vendas!$U$27),IF(A271=$X$32,K271/(D271*Vendas!$U$28),IF(A271=$X$33,K271/(D271*Vendas!$U$29),IF(A271=$X$34,K271/(D271*Vendas!$U$30),IF(A271=$X$35,K271/(D271*Vendas!$U$31),IF(A271=$X$36,K271/(D271*Vendas!$U$32),0))))))))</f>
        <v>0.73904908452819873</v>
      </c>
    </row>
    <row r="272" spans="1:17">
      <c r="A272" s="263" t="s">
        <v>33</v>
      </c>
      <c r="B272" s="337" t="s">
        <v>524</v>
      </c>
      <c r="C272" s="166">
        <v>7</v>
      </c>
      <c r="D272" s="197">
        <v>262.42</v>
      </c>
      <c r="E272" s="166">
        <v>2954</v>
      </c>
      <c r="F272" s="338" t="s">
        <v>1060</v>
      </c>
      <c r="G272" s="34" t="str">
        <f t="shared" si="20"/>
        <v>XLI7WESLEY DE LIMA PICCIOLI</v>
      </c>
      <c r="H272" s="40">
        <v>43710</v>
      </c>
      <c r="I272" s="35">
        <v>117499.65</v>
      </c>
      <c r="J272" s="35" t="s">
        <v>834</v>
      </c>
      <c r="K272" s="35">
        <v>69226.09</v>
      </c>
      <c r="L272" s="170">
        <f t="shared" si="21"/>
        <v>0.58915996771054213</v>
      </c>
      <c r="M272" s="154">
        <v>134632.71</v>
      </c>
      <c r="N272" s="170">
        <f t="shared" si="22"/>
        <v>0.51418477723578471</v>
      </c>
      <c r="O272" s="170">
        <f t="shared" si="23"/>
        <v>0.44057086206655638</v>
      </c>
      <c r="P272" s="170">
        <f>IF(A272=$X$29,K272/(D272*Vendas!$U$25),IF(A272=$X$30,K272/(D272*Vendas!$U$26),IF(A272=$X$31,K272/(D272*Vendas!$U$27),IF(A272=$X$32,K272/(D272*Vendas!$U$28),IF(A272=$X$33,K272/(D272*Vendas!$U$29),IF(A272=$X$34,K272/(D272*Vendas!$U$30),IF(A272=$X$35,K272/(D272*Vendas!$U$31),IF(A272=$X$36,K272/(D272*Vendas!$U$32),0))))))))</f>
        <v>0.43648576356111829</v>
      </c>
      <c r="Q272" s="170">
        <f>IF(A272=$X$29,K272/(D272*Vendas!$U$25),IF(A272=$X$30,K272/(D272*Vendas!$U$26),IF(A272=$X$31,K272/(D272*Vendas!$U$27),IF(A272=$X$32,K272/(D272*Vendas!$U$28),IF(A272=$X$33,K272/(D272*Vendas!$U$29),IF(A272=$X$34,K272/(D272*Vendas!$U$30),IF(A272=$X$35,K272/(D272*Vendas!$U$31),IF(A272=$X$36,K272/(D272*Vendas!$U$32),0))))))))</f>
        <v>0.43648576356111829</v>
      </c>
    </row>
    <row r="273" spans="1:17">
      <c r="A273" s="263" t="s">
        <v>33</v>
      </c>
      <c r="B273" s="337" t="s">
        <v>524</v>
      </c>
      <c r="C273" s="73">
        <v>9</v>
      </c>
      <c r="D273" s="315">
        <v>262.42</v>
      </c>
      <c r="E273" s="166">
        <v>7066</v>
      </c>
      <c r="F273" s="74" t="s">
        <v>948</v>
      </c>
      <c r="G273" s="34" t="str">
        <f t="shared" si="20"/>
        <v>XLI9KRATOS ENGENHARIA LTDA</v>
      </c>
      <c r="H273" s="40">
        <v>43556</v>
      </c>
      <c r="I273" s="35">
        <v>121025</v>
      </c>
      <c r="J273" s="35" t="s">
        <v>834</v>
      </c>
      <c r="K273" s="35">
        <v>25423.65</v>
      </c>
      <c r="L273" s="170">
        <f t="shared" si="21"/>
        <v>0.21006940714728364</v>
      </c>
      <c r="M273" s="154">
        <v>126161.09</v>
      </c>
      <c r="N273" s="170">
        <f t="shared" si="22"/>
        <v>0.20151736165247147</v>
      </c>
      <c r="O273" s="170">
        <f t="shared" si="23"/>
        <v>0.16180199397912562</v>
      </c>
      <c r="P273" s="170">
        <f>IF(A273=$X$29,K273/(D273*Vendas!$U$25),IF(A273=$X$30,K273/(D273*Vendas!$U$26),IF(A273=$X$31,K273/(D273*Vendas!$U$27),IF(A273=$X$32,K273/(D273*Vendas!$U$28),IF(A273=$X$33,K273/(D273*Vendas!$U$29),IF(A273=$X$34,K273/(D273*Vendas!$U$30),IF(A273=$X$35,K273/(D273*Vendas!$U$31),IF(A273=$X$36,K273/(D273*Vendas!$U$32),0))))))))</f>
        <v>0.16030171981056024</v>
      </c>
      <c r="Q273" s="170">
        <f>IF(A273=$X$29,K273/(D273*Vendas!$U$25),IF(A273=$X$30,K273/(D273*Vendas!$U$26),IF(A273=$X$31,K273/(D273*Vendas!$U$27),IF(A273=$X$32,K273/(D273*Vendas!$U$28),IF(A273=$X$33,K273/(D273*Vendas!$U$29),IF(A273=$X$34,K273/(D273*Vendas!$U$30),IF(A273=$X$35,K273/(D273*Vendas!$U$31),IF(A273=$X$36,K273/(D273*Vendas!$U$32),0))))))))</f>
        <v>0.16030171981056024</v>
      </c>
    </row>
    <row r="274" spans="1:17">
      <c r="A274" s="263" t="s">
        <v>33</v>
      </c>
      <c r="B274" s="337" t="s">
        <v>524</v>
      </c>
      <c r="C274" s="166">
        <v>11</v>
      </c>
      <c r="D274" s="197">
        <v>262.42</v>
      </c>
      <c r="E274" s="166">
        <v>4776</v>
      </c>
      <c r="F274" s="338" t="s">
        <v>1314</v>
      </c>
      <c r="G274" s="34" t="str">
        <f t="shared" si="20"/>
        <v>XLI11SERGIO AUGUSTO POLO</v>
      </c>
      <c r="H274" s="40">
        <v>44084</v>
      </c>
      <c r="I274" s="35">
        <v>122199.9</v>
      </c>
      <c r="J274" s="35" t="s">
        <v>834</v>
      </c>
      <c r="K274" s="35">
        <v>96188.74</v>
      </c>
      <c r="L274" s="170">
        <f t="shared" si="21"/>
        <v>0.78714254266983863</v>
      </c>
      <c r="M274" s="154">
        <v>126531.05</v>
      </c>
      <c r="N274" s="170">
        <f t="shared" si="22"/>
        <v>0.76019870221578023</v>
      </c>
      <c r="O274" s="170">
        <f t="shared" si="23"/>
        <v>0.61216740831232641</v>
      </c>
      <c r="P274" s="170">
        <f>IF(A274=$X$29,K274/(D274*Vendas!$U$25),IF(A274=$X$30,K274/(D274*Vendas!$U$26),IF(A274=$X$31,K274/(D274*Vendas!$U$27),IF(A274=$X$32,K274/(D274*Vendas!$U$28),IF(A274=$X$33,K274/(D274*Vendas!$U$29),IF(A274=$X$34,K274/(D274*Vendas!$U$30),IF(A274=$X$35,K274/(D274*Vendas!$U$31),IF(A274=$X$36,K274/(D274*Vendas!$U$32),0))))))))</f>
        <v>0.6064912177602676</v>
      </c>
      <c r="Q274" s="170">
        <f>IF(A274=$X$29,K274/(D274*Vendas!$U$25),IF(A274=$X$30,K274/(D274*Vendas!$U$26),IF(A274=$X$31,K274/(D274*Vendas!$U$27),IF(A274=$X$32,K274/(D274*Vendas!$U$28),IF(A274=$X$33,K274/(D274*Vendas!$U$29),IF(A274=$X$34,K274/(D274*Vendas!$U$30),IF(A274=$X$35,K274/(D274*Vendas!$U$31),IF(A274=$X$36,K274/(D274*Vendas!$U$32),0))))))))</f>
        <v>0.6064912177602676</v>
      </c>
    </row>
    <row r="275" spans="1:17">
      <c r="A275" s="263" t="s">
        <v>33</v>
      </c>
      <c r="B275" s="337" t="s">
        <v>524</v>
      </c>
      <c r="C275" s="73">
        <v>12</v>
      </c>
      <c r="D275" s="315">
        <v>277.48</v>
      </c>
      <c r="E275" s="166">
        <v>2955</v>
      </c>
      <c r="F275" s="74" t="s">
        <v>1061</v>
      </c>
      <c r="G275" s="34" t="str">
        <f t="shared" si="20"/>
        <v>XLI12CINTHYA DE CARVALHO SOVENHI DIAS</v>
      </c>
      <c r="H275" s="40">
        <v>43710</v>
      </c>
      <c r="I275" s="35">
        <v>122800</v>
      </c>
      <c r="J275" s="35" t="s">
        <v>1250</v>
      </c>
      <c r="K275" s="35">
        <v>147726.12</v>
      </c>
      <c r="L275" s="170">
        <f t="shared" si="21"/>
        <v>1.2029814332247557</v>
      </c>
      <c r="M275" s="154">
        <v>155813.66</v>
      </c>
      <c r="N275" s="170">
        <f t="shared" si="22"/>
        <v>0.94809479476959846</v>
      </c>
      <c r="O275" s="170">
        <f t="shared" si="23"/>
        <v>0.88913663522026465</v>
      </c>
      <c r="P275" s="170">
        <f>IF(A275=$X$29,K275/(D275*Vendas!$U$25),IF(A275=$X$30,K275/(D275*Vendas!$U$26),IF(A275=$X$31,K275/(D275*Vendas!$U$27),IF(A275=$X$32,K275/(D275*Vendas!$U$28),IF(A275=$X$33,K275/(D275*Vendas!$U$29),IF(A275=$X$34,K275/(D275*Vendas!$U$30),IF(A275=$X$35,K275/(D275*Vendas!$U$31),IF(A275=$X$36,K275/(D275*Vendas!$U$32),0))))))))</f>
        <v>0.88089230711687827</v>
      </c>
      <c r="Q275" s="170">
        <f>IF(A275=$X$29,K275/(D275*Vendas!$U$25),IF(A275=$X$30,K275/(D275*Vendas!$U$26),IF(A275=$X$31,K275/(D275*Vendas!$U$27),IF(A275=$X$32,K275/(D275*Vendas!$U$28),IF(A275=$X$33,K275/(D275*Vendas!$U$29),IF(A275=$X$34,K275/(D275*Vendas!$U$30),IF(A275=$X$35,K275/(D275*Vendas!$U$31),IF(A275=$X$36,K275/(D275*Vendas!$U$32),0))))))))</f>
        <v>0.88089230711687827</v>
      </c>
    </row>
    <row r="276" spans="1:17">
      <c r="A276" s="263" t="s">
        <v>33</v>
      </c>
      <c r="B276" s="337" t="s">
        <v>524</v>
      </c>
      <c r="C276" s="166">
        <v>13</v>
      </c>
      <c r="D276" s="197">
        <v>277.48</v>
      </c>
      <c r="E276" s="166">
        <v>2056</v>
      </c>
      <c r="F276" s="338" t="s">
        <v>1061</v>
      </c>
      <c r="G276" s="34" t="str">
        <f t="shared" si="20"/>
        <v>XLI13CINTHYA DE CARVALHO SOVENHI DIAS</v>
      </c>
      <c r="H276" s="40">
        <v>43710</v>
      </c>
      <c r="I276" s="35">
        <v>122800</v>
      </c>
      <c r="J276" s="35" t="s">
        <v>1250</v>
      </c>
      <c r="K276" s="35">
        <v>147726.12</v>
      </c>
      <c r="L276" s="170">
        <f t="shared" si="21"/>
        <v>1.2029814332247557</v>
      </c>
      <c r="M276" s="154">
        <v>155846.9</v>
      </c>
      <c r="N276" s="170">
        <f t="shared" si="22"/>
        <v>0.94789257919150138</v>
      </c>
      <c r="O276" s="170">
        <f t="shared" si="23"/>
        <v>0.88913663522026465</v>
      </c>
      <c r="P276" s="170">
        <f>IF(A276=$X$29,K276/(D276*Vendas!$U$25),IF(A276=$X$30,K276/(D276*Vendas!$U$26),IF(A276=$X$31,K276/(D276*Vendas!$U$27),IF(A276=$X$32,K276/(D276*Vendas!$U$28),IF(A276=$X$33,K276/(D276*Vendas!$U$29),IF(A276=$X$34,K276/(D276*Vendas!$U$30),IF(A276=$X$35,K276/(D276*Vendas!$U$31),IF(A276=$X$36,K276/(D276*Vendas!$U$32),0))))))))</f>
        <v>0.88089230711687827</v>
      </c>
      <c r="Q276" s="170">
        <f>IF(A276=$X$29,K276/(D276*Vendas!$U$25),IF(A276=$X$30,K276/(D276*Vendas!$U$26),IF(A276=$X$31,K276/(D276*Vendas!$U$27),IF(A276=$X$32,K276/(D276*Vendas!$U$28),IF(A276=$X$33,K276/(D276*Vendas!$U$29),IF(A276=$X$34,K276/(D276*Vendas!$U$30),IF(A276=$X$35,K276/(D276*Vendas!$U$31),IF(A276=$X$36,K276/(D276*Vendas!$U$32),0))))))))</f>
        <v>0.88089230711687827</v>
      </c>
    </row>
    <row r="277" spans="1:17">
      <c r="A277" s="263" t="s">
        <v>33</v>
      </c>
      <c r="B277" s="337" t="s">
        <v>524</v>
      </c>
      <c r="C277" s="73">
        <v>15</v>
      </c>
      <c r="D277" s="315">
        <v>255.46</v>
      </c>
      <c r="E277" s="166">
        <v>4869</v>
      </c>
      <c r="F277" s="74" t="s">
        <v>977</v>
      </c>
      <c r="G277" s="34" t="str">
        <f t="shared" si="20"/>
        <v>XLI15ROBERTA REIS DA SILVA TERRA</v>
      </c>
      <c r="H277" s="40">
        <v>42192</v>
      </c>
      <c r="I277" s="35">
        <v>118400.8</v>
      </c>
      <c r="J277" s="35" t="s">
        <v>834</v>
      </c>
      <c r="K277" s="35">
        <v>12661.970000000001</v>
      </c>
      <c r="L277" s="170">
        <f t="shared" si="21"/>
        <v>0.1069415916108675</v>
      </c>
      <c r="M277" s="154">
        <v>163766.87</v>
      </c>
      <c r="N277" s="170">
        <f t="shared" si="22"/>
        <v>7.7317042207621117E-2</v>
      </c>
      <c r="O277" s="170">
        <f t="shared" si="23"/>
        <v>8.2779208930269854E-2</v>
      </c>
      <c r="P277" s="170">
        <f>IF(A277=$X$29,K277/(D277*Vendas!$U$25),IF(A277=$X$30,K277/(D277*Vendas!$U$26),IF(A277=$X$31,K277/(D277*Vendas!$U$27),IF(A277=$X$32,K277/(D277*Vendas!$U$28),IF(A277=$X$33,K277/(D277*Vendas!$U$29),IF(A277=$X$34,K277/(D277*Vendas!$U$30),IF(A277=$X$35,K277/(D277*Vendas!$U$31),IF(A277=$X$36,K277/(D277*Vendas!$U$32),0))))))))</f>
        <v>8.2011656529967683E-2</v>
      </c>
      <c r="Q277" s="170">
        <f>IF(A277=$X$29,K277/(D277*Vendas!$U$25),IF(A277=$X$30,K277/(D277*Vendas!$U$26),IF(A277=$X$31,K277/(D277*Vendas!$U$27),IF(A277=$X$32,K277/(D277*Vendas!$U$28),IF(A277=$X$33,K277/(D277*Vendas!$U$29),IF(A277=$X$34,K277/(D277*Vendas!$U$30),IF(A277=$X$35,K277/(D277*Vendas!$U$31),IF(A277=$X$36,K277/(D277*Vendas!$U$32),0))))))))</f>
        <v>8.2011656529967683E-2</v>
      </c>
    </row>
    <row r="278" spans="1:17">
      <c r="A278" s="263" t="s">
        <v>33</v>
      </c>
      <c r="B278" s="337" t="s">
        <v>524</v>
      </c>
      <c r="C278" s="166">
        <v>16</v>
      </c>
      <c r="D278" s="197">
        <v>255.46</v>
      </c>
      <c r="E278" s="166">
        <v>4785</v>
      </c>
      <c r="F278" s="338" t="s">
        <v>1326</v>
      </c>
      <c r="G278" s="34" t="str">
        <f t="shared" si="20"/>
        <v>XLI16CALEBE GUEDES SILVA</v>
      </c>
      <c r="H278" s="40">
        <v>44098</v>
      </c>
      <c r="I278" s="35">
        <v>122200.09</v>
      </c>
      <c r="J278" s="35" t="s">
        <v>834</v>
      </c>
      <c r="K278" s="35">
        <v>66913.919999999998</v>
      </c>
      <c r="L278" s="170">
        <f t="shared" si="21"/>
        <v>0.54757668345416111</v>
      </c>
      <c r="M278" s="154">
        <v>125184.32000000001</v>
      </c>
      <c r="N278" s="170">
        <f t="shared" si="22"/>
        <v>0.53452317350927014</v>
      </c>
      <c r="O278" s="170">
        <f t="shared" si="23"/>
        <v>0.4374581020191457</v>
      </c>
      <c r="P278" s="170">
        <f>IF(A278=$X$29,K278/(D278*Vendas!$U$25),IF(A278=$X$30,K278/(D278*Vendas!$U$26),IF(A278=$X$31,K278/(D278*Vendas!$U$27),IF(A278=$X$32,K278/(D278*Vendas!$U$28),IF(A278=$X$33,K278/(D278*Vendas!$U$29),IF(A278=$X$34,K278/(D278*Vendas!$U$30),IF(A278=$X$35,K278/(D278*Vendas!$U$31),IF(A278=$X$36,K278/(D278*Vendas!$U$32),0))))))))</f>
        <v>0.43340186591136559</v>
      </c>
      <c r="Q278" s="170">
        <f>IF(A278=$X$29,K278/(D278*Vendas!$U$25),IF(A278=$X$30,K278/(D278*Vendas!$U$26),IF(A278=$X$31,K278/(D278*Vendas!$U$27),IF(A278=$X$32,K278/(D278*Vendas!$U$28),IF(A278=$X$33,K278/(D278*Vendas!$U$29),IF(A278=$X$34,K278/(D278*Vendas!$U$30),IF(A278=$X$35,K278/(D278*Vendas!$U$31),IF(A278=$X$36,K278/(D278*Vendas!$U$32),0))))))))</f>
        <v>0.43340186591136559</v>
      </c>
    </row>
    <row r="279" spans="1:17">
      <c r="A279" s="263" t="s">
        <v>33</v>
      </c>
      <c r="B279" s="337" t="s">
        <v>524</v>
      </c>
      <c r="C279" s="73">
        <v>17</v>
      </c>
      <c r="D279" s="315">
        <v>255.46</v>
      </c>
      <c r="E279" s="166">
        <v>4863</v>
      </c>
      <c r="F279" s="74" t="s">
        <v>1374</v>
      </c>
      <c r="G279" s="34" t="str">
        <f t="shared" si="20"/>
        <v>XLI17LUCIMARA LOPES DA SILVA</v>
      </c>
      <c r="H279" s="40">
        <v>44138</v>
      </c>
      <c r="I279" s="35">
        <v>129531.6</v>
      </c>
      <c r="J279" s="35" t="s">
        <v>834</v>
      </c>
      <c r="K279" s="35">
        <v>128753.04000000001</v>
      </c>
      <c r="L279" s="170">
        <f t="shared" si="21"/>
        <v>0.99398942034221771</v>
      </c>
      <c r="M279" s="154">
        <v>139972.34</v>
      </c>
      <c r="N279" s="170">
        <f t="shared" si="22"/>
        <v>0.9198463067774677</v>
      </c>
      <c r="O279" s="170">
        <f t="shared" si="23"/>
        <v>0.84173906576681135</v>
      </c>
      <c r="P279" s="170">
        <f>IF(A279=$X$29,K279/(D279*Vendas!$U$25),IF(A279=$X$30,K279/(D279*Vendas!$U$26),IF(A279=$X$31,K279/(D279*Vendas!$U$27),IF(A279=$X$32,K279/(D279*Vendas!$U$28),IF(A279=$X$33,K279/(D279*Vendas!$U$29),IF(A279=$X$34,K279/(D279*Vendas!$U$30),IF(A279=$X$35,K279/(D279*Vendas!$U$31),IF(A279=$X$36,K279/(D279*Vendas!$U$32),0))))))))</f>
        <v>0.83393422142598583</v>
      </c>
      <c r="Q279" s="170">
        <f>IF(A279=$X$29,K279/(D279*Vendas!$U$25),IF(A279=$X$30,K279/(D279*Vendas!$U$26),IF(A279=$X$31,K279/(D279*Vendas!$U$27),IF(A279=$X$32,K279/(D279*Vendas!$U$28),IF(A279=$X$33,K279/(D279*Vendas!$U$29),IF(A279=$X$34,K279/(D279*Vendas!$U$30),IF(A279=$X$35,K279/(D279*Vendas!$U$31),IF(A279=$X$36,K279/(D279*Vendas!$U$32),0))))))))</f>
        <v>0.83393422142598583</v>
      </c>
    </row>
    <row r="280" spans="1:17">
      <c r="A280" s="263" t="s">
        <v>33</v>
      </c>
      <c r="B280" s="337" t="s">
        <v>1079</v>
      </c>
      <c r="C280" s="166">
        <v>2</v>
      </c>
      <c r="D280" s="197">
        <v>255.45</v>
      </c>
      <c r="E280" s="166">
        <v>4742</v>
      </c>
      <c r="F280" s="338" t="s">
        <v>1266</v>
      </c>
      <c r="G280" s="34" t="str">
        <f t="shared" si="20"/>
        <v>XLI - A2MATEUS HOFSTATTER</v>
      </c>
      <c r="H280" s="40">
        <v>44062</v>
      </c>
      <c r="I280" s="35">
        <v>122200</v>
      </c>
      <c r="J280" s="35" t="s">
        <v>834</v>
      </c>
      <c r="K280" s="35">
        <v>73660.320000000007</v>
      </c>
      <c r="L280" s="170">
        <f t="shared" si="21"/>
        <v>0.60278494271685767</v>
      </c>
      <c r="M280" s="154">
        <v>125771.89</v>
      </c>
      <c r="N280" s="170">
        <f t="shared" si="22"/>
        <v>0.58566600215676179</v>
      </c>
      <c r="O280" s="170">
        <f t="shared" si="23"/>
        <v>0.48158238546234716</v>
      </c>
      <c r="P280" s="170">
        <f>IF(A280=$X$29,K280/(D280*Vendas!$U$25),IF(A280=$X$30,K280/(D280*Vendas!$U$26),IF(A280=$X$31,K280/(D280*Vendas!$U$27),IF(A280=$X$32,K280/(D280*Vendas!$U$28),IF(A280=$X$33,K280/(D280*Vendas!$U$29),IF(A280=$X$34,K280/(D280*Vendas!$U$30),IF(A280=$X$35,K280/(D280*Vendas!$U$31),IF(A280=$X$36,K280/(D280*Vendas!$U$32),0))))))))</f>
        <v>0.47711701643210847</v>
      </c>
      <c r="Q280" s="170">
        <f>IF(A280=$X$29,K280/(D280*Vendas!$U$25),IF(A280=$X$30,K280/(D280*Vendas!$U$26),IF(A280=$X$31,K280/(D280*Vendas!$U$27),IF(A280=$X$32,K280/(D280*Vendas!$U$28),IF(A280=$X$33,K280/(D280*Vendas!$U$29),IF(A280=$X$34,K280/(D280*Vendas!$U$30),IF(A280=$X$35,K280/(D280*Vendas!$U$31),IF(A280=$X$36,K280/(D280*Vendas!$U$32),0))))))))</f>
        <v>0.47711701643210847</v>
      </c>
    </row>
    <row r="281" spans="1:17">
      <c r="A281" s="263" t="s">
        <v>33</v>
      </c>
      <c r="B281" s="337" t="s">
        <v>1079</v>
      </c>
      <c r="C281" s="73">
        <v>3</v>
      </c>
      <c r="D281" s="315">
        <v>255.45</v>
      </c>
      <c r="E281" s="166">
        <v>5199</v>
      </c>
      <c r="F281" s="74" t="s">
        <v>237</v>
      </c>
      <c r="G281" s="34" t="str">
        <f t="shared" si="20"/>
        <v>XLI - A3HELTON ERNANI DE AGUIAR</v>
      </c>
      <c r="H281" s="40">
        <v>42461</v>
      </c>
      <c r="I281" s="35">
        <v>116730</v>
      </c>
      <c r="J281" s="35" t="s">
        <v>834</v>
      </c>
      <c r="K281" s="35">
        <v>80712.56</v>
      </c>
      <c r="L281" s="170">
        <f t="shared" si="21"/>
        <v>0.69144658613895316</v>
      </c>
      <c r="M281" s="154">
        <v>198252.66</v>
      </c>
      <c r="N281" s="170">
        <f t="shared" si="22"/>
        <v>0.40711968253036301</v>
      </c>
      <c r="O281" s="170">
        <f t="shared" si="23"/>
        <v>0.52768908934379888</v>
      </c>
      <c r="P281" s="170">
        <f>IF(A281=$X$29,K281/(D281*Vendas!$U$25),IF(A281=$X$30,K281/(D281*Vendas!$U$26),IF(A281=$X$31,K281/(D281*Vendas!$U$27),IF(A281=$X$32,K281/(D281*Vendas!$U$28),IF(A281=$X$33,K281/(D281*Vendas!$U$29),IF(A281=$X$34,K281/(D281*Vendas!$U$30),IF(A281=$X$35,K281/(D281*Vendas!$U$31),IF(A281=$X$36,K281/(D281*Vendas!$U$32),0))))))))</f>
        <v>0.52279620582421493</v>
      </c>
      <c r="Q281" s="170">
        <f>IF(A281=$X$29,K281/(D281*Vendas!$U$25),IF(A281=$X$30,K281/(D281*Vendas!$U$26),IF(A281=$X$31,K281/(D281*Vendas!$U$27),IF(A281=$X$32,K281/(D281*Vendas!$U$28),IF(A281=$X$33,K281/(D281*Vendas!$U$29),IF(A281=$X$34,K281/(D281*Vendas!$U$30),IF(A281=$X$35,K281/(D281*Vendas!$U$31),IF(A281=$X$36,K281/(D281*Vendas!$U$32),0))))))))</f>
        <v>0.52279620582421493</v>
      </c>
    </row>
    <row r="282" spans="1:17">
      <c r="A282" s="263" t="s">
        <v>33</v>
      </c>
      <c r="B282" s="337" t="s">
        <v>1079</v>
      </c>
      <c r="C282" s="166">
        <v>4</v>
      </c>
      <c r="D282" s="197">
        <v>277.48</v>
      </c>
      <c r="E282" s="166">
        <v>6385</v>
      </c>
      <c r="F282" s="338" t="s">
        <v>870</v>
      </c>
      <c r="G282" s="34" t="str">
        <f t="shared" si="20"/>
        <v>XLI - A4RODRIGO LAFORE DOMENE</v>
      </c>
      <c r="H282" s="40">
        <v>43234</v>
      </c>
      <c r="I282" s="35">
        <v>123140</v>
      </c>
      <c r="J282" s="35" t="s">
        <v>834</v>
      </c>
      <c r="K282" s="35">
        <v>124101.22</v>
      </c>
      <c r="L282" s="170">
        <f t="shared" si="21"/>
        <v>1.0078059119701153</v>
      </c>
      <c r="M282" s="154">
        <v>179731.26</v>
      </c>
      <c r="N282" s="170">
        <f t="shared" si="22"/>
        <v>0.69048211201546128</v>
      </c>
      <c r="O282" s="170">
        <f t="shared" si="23"/>
        <v>0.74694266103739693</v>
      </c>
      <c r="P282" s="170">
        <f>IF(A282=$X$29,K282/(D282*Vendas!$U$25),IF(A282=$X$30,K282/(D282*Vendas!$U$26),IF(A282=$X$31,K282/(D282*Vendas!$U$27),IF(A282=$X$32,K282/(D282*Vendas!$U$28),IF(A282=$X$33,K282/(D282*Vendas!$U$29),IF(A282=$X$34,K282/(D282*Vendas!$U$30),IF(A282=$X$35,K282/(D282*Vendas!$U$31),IF(A282=$X$36,K282/(D282*Vendas!$U$32),0))))))))</f>
        <v>0.74001679595875991</v>
      </c>
      <c r="Q282" s="170">
        <f>IF(A282=$X$29,K282/(D282*Vendas!$U$25),IF(A282=$X$30,K282/(D282*Vendas!$U$26),IF(A282=$X$31,K282/(D282*Vendas!$U$27),IF(A282=$X$32,K282/(D282*Vendas!$U$28),IF(A282=$X$33,K282/(D282*Vendas!$U$29),IF(A282=$X$34,K282/(D282*Vendas!$U$30),IF(A282=$X$35,K282/(D282*Vendas!$U$31),IF(A282=$X$36,K282/(D282*Vendas!$U$32),0))))))))</f>
        <v>0.74001679595875991</v>
      </c>
    </row>
    <row r="283" spans="1:17">
      <c r="A283" s="263" t="s">
        <v>33</v>
      </c>
      <c r="B283" s="337" t="s">
        <v>1079</v>
      </c>
      <c r="C283" s="73">
        <v>5</v>
      </c>
      <c r="D283" s="315">
        <v>277.48</v>
      </c>
      <c r="E283" s="166">
        <v>6252</v>
      </c>
      <c r="F283" s="74" t="s">
        <v>562</v>
      </c>
      <c r="G283" s="34" t="str">
        <f t="shared" si="20"/>
        <v>XLI - A5BRUNO RODRIGUES CROCE</v>
      </c>
      <c r="H283" s="40">
        <v>43175</v>
      </c>
      <c r="I283" s="35">
        <v>124140</v>
      </c>
      <c r="J283" s="35" t="s">
        <v>834</v>
      </c>
      <c r="K283" s="35">
        <v>130367.01000000001</v>
      </c>
      <c r="L283" s="170">
        <f t="shared" si="21"/>
        <v>1.0501611889801838</v>
      </c>
      <c r="M283" s="154">
        <v>175902.54</v>
      </c>
      <c r="N283" s="170">
        <f t="shared" si="22"/>
        <v>0.74113204959973855</v>
      </c>
      <c r="O283" s="170">
        <f t="shared" si="23"/>
        <v>0.78465531088968299</v>
      </c>
      <c r="P283" s="170">
        <f>IF(A283=$X$29,K283/(D283*Vendas!$U$25),IF(A283=$X$30,K283/(D283*Vendas!$U$26),IF(A283=$X$31,K283/(D283*Vendas!$U$27),IF(A283=$X$32,K283/(D283*Vendas!$U$28),IF(A283=$X$33,K283/(D283*Vendas!$U$29),IF(A283=$X$34,K283/(D283*Vendas!$U$30),IF(A283=$X$35,K283/(D283*Vendas!$U$31),IF(A283=$X$36,K283/(D283*Vendas!$U$32),0))))))))</f>
        <v>0.77737976338124326</v>
      </c>
      <c r="Q283" s="170">
        <f>IF(A283=$X$29,K283/(D283*Vendas!$U$25),IF(A283=$X$30,K283/(D283*Vendas!$U$26),IF(A283=$X$31,K283/(D283*Vendas!$U$27),IF(A283=$X$32,K283/(D283*Vendas!$U$28),IF(A283=$X$33,K283/(D283*Vendas!$U$29),IF(A283=$X$34,K283/(D283*Vendas!$U$30),IF(A283=$X$35,K283/(D283*Vendas!$U$31),IF(A283=$X$36,K283/(D283*Vendas!$U$32),0))))))))</f>
        <v>0.77737976338124326</v>
      </c>
    </row>
    <row r="284" spans="1:17">
      <c r="A284" s="263" t="s">
        <v>33</v>
      </c>
      <c r="B284" s="337" t="s">
        <v>1079</v>
      </c>
      <c r="C284" s="166">
        <v>6</v>
      </c>
      <c r="D284" s="197">
        <v>277.48</v>
      </c>
      <c r="E284" s="166">
        <v>6282</v>
      </c>
      <c r="F284" s="338" t="s">
        <v>563</v>
      </c>
      <c r="G284" s="34" t="str">
        <f t="shared" si="20"/>
        <v>XLI - A6CRISTIANE CAROLINA CRUZES</v>
      </c>
      <c r="H284" s="40">
        <v>43187</v>
      </c>
      <c r="I284" s="35">
        <v>123140</v>
      </c>
      <c r="J284" s="35" t="s">
        <v>834</v>
      </c>
      <c r="K284" s="35">
        <v>125483.95</v>
      </c>
      <c r="L284" s="170">
        <f t="shared" si="21"/>
        <v>1.0190348383953223</v>
      </c>
      <c r="M284" s="154">
        <v>181657.26</v>
      </c>
      <c r="N284" s="170">
        <f t="shared" si="22"/>
        <v>0.69077310755430299</v>
      </c>
      <c r="O284" s="170">
        <f t="shared" si="23"/>
        <v>0.75526506129821813</v>
      </c>
      <c r="P284" s="170">
        <f>IF(A284=$X$29,K284/(D284*Vendas!$U$25),IF(A284=$X$30,K284/(D284*Vendas!$U$26),IF(A284=$X$31,K284/(D284*Vendas!$U$27),IF(A284=$X$32,K284/(D284*Vendas!$U$28),IF(A284=$X$33,K284/(D284*Vendas!$U$29),IF(A284=$X$34,K284/(D284*Vendas!$U$30),IF(A284=$X$35,K284/(D284*Vendas!$U$31),IF(A284=$X$36,K284/(D284*Vendas!$U$32),0))))))))</f>
        <v>0.74826202855418522</v>
      </c>
      <c r="Q284" s="170">
        <f>IF(A284=$X$29,K284/(D284*Vendas!$U$25),IF(A284=$X$30,K284/(D284*Vendas!$U$26),IF(A284=$X$31,K284/(D284*Vendas!$U$27),IF(A284=$X$32,K284/(D284*Vendas!$U$28),IF(A284=$X$33,K284/(D284*Vendas!$U$29),IF(A284=$X$34,K284/(D284*Vendas!$U$30),IF(A284=$X$35,K284/(D284*Vendas!$U$31),IF(A284=$X$36,K284/(D284*Vendas!$U$32),0))))))))</f>
        <v>0.74826202855418522</v>
      </c>
    </row>
    <row r="285" spans="1:17">
      <c r="A285" s="263" t="s">
        <v>33</v>
      </c>
      <c r="B285" s="337" t="s">
        <v>1079</v>
      </c>
      <c r="C285" s="73">
        <v>7</v>
      </c>
      <c r="D285" s="315">
        <v>277.48</v>
      </c>
      <c r="E285" s="166">
        <v>3699</v>
      </c>
      <c r="F285" s="74" t="s">
        <v>1123</v>
      </c>
      <c r="G285" s="34" t="str">
        <f t="shared" si="20"/>
        <v>XLI - A7LUIZ GUILHERME DE GOES</v>
      </c>
      <c r="H285" s="40">
        <v>43845</v>
      </c>
      <c r="I285" s="35">
        <v>122200.2</v>
      </c>
      <c r="J285" s="35" t="s">
        <v>834</v>
      </c>
      <c r="K285" s="35">
        <v>121811.39</v>
      </c>
      <c r="L285" s="170">
        <f t="shared" si="21"/>
        <v>0.99681825397994439</v>
      </c>
      <c r="M285" s="154">
        <v>147037.63</v>
      </c>
      <c r="N285" s="170">
        <f t="shared" si="22"/>
        <v>0.82843684300406639</v>
      </c>
      <c r="O285" s="170">
        <f t="shared" si="23"/>
        <v>0.73316059093749564</v>
      </c>
      <c r="P285" s="170">
        <f>IF(A285=$X$29,K285/(D285*Vendas!$U$25),IF(A285=$X$30,K285/(D285*Vendas!$U$26),IF(A285=$X$31,K285/(D285*Vendas!$U$27),IF(A285=$X$32,K285/(D285*Vendas!$U$28),IF(A285=$X$33,K285/(D285*Vendas!$U$29),IF(A285=$X$34,K285/(D285*Vendas!$U$30),IF(A285=$X$35,K285/(D285*Vendas!$U$31),IF(A285=$X$36,K285/(D285*Vendas!$U$32),0))))))))</f>
        <v>0.72636251713788891</v>
      </c>
      <c r="Q285" s="170">
        <f>IF(A285=$X$29,K285/(D285*Vendas!$U$25),IF(A285=$X$30,K285/(D285*Vendas!$U$26),IF(A285=$X$31,K285/(D285*Vendas!$U$27),IF(A285=$X$32,K285/(D285*Vendas!$U$28),IF(A285=$X$33,K285/(D285*Vendas!$U$29),IF(A285=$X$34,K285/(D285*Vendas!$U$30),IF(A285=$X$35,K285/(D285*Vendas!$U$31),IF(A285=$X$36,K285/(D285*Vendas!$U$32),0))))))))</f>
        <v>0.72636251713788891</v>
      </c>
    </row>
    <row r="286" spans="1:17">
      <c r="A286" s="263" t="s">
        <v>33</v>
      </c>
      <c r="B286" s="337" t="s">
        <v>1079</v>
      </c>
      <c r="C286" s="166">
        <v>9</v>
      </c>
      <c r="D286" s="197">
        <v>376.97</v>
      </c>
      <c r="E286" s="166">
        <v>5110</v>
      </c>
      <c r="F286" s="338" t="s">
        <v>1499</v>
      </c>
      <c r="G286" s="34" t="str">
        <f t="shared" si="20"/>
        <v>XLI - A9WESLEY ROQUE SIQUEIRA</v>
      </c>
      <c r="H286" s="40">
        <v>44270</v>
      </c>
      <c r="I286" s="35">
        <v>220249.24</v>
      </c>
      <c r="J286" s="35" t="s">
        <v>834</v>
      </c>
      <c r="K286" s="35">
        <v>211387.68</v>
      </c>
      <c r="L286" s="170">
        <f t="shared" si="21"/>
        <v>0.95976576355042131</v>
      </c>
      <c r="M286" s="154">
        <v>220759.42</v>
      </c>
      <c r="N286" s="170">
        <f t="shared" si="22"/>
        <v>0.95754772321833415</v>
      </c>
      <c r="O286" s="170">
        <f t="shared" si="23"/>
        <v>0.93651725217181725</v>
      </c>
      <c r="P286" s="170">
        <f>IF(A286=$X$29,K286/(D286*Vendas!$U$25),IF(A286=$X$30,K286/(D286*Vendas!$U$26),IF(A286=$X$31,K286/(D286*Vendas!$U$27),IF(A286=$X$32,K286/(D286*Vendas!$U$28),IF(A286=$X$33,K286/(D286*Vendas!$U$29),IF(A286=$X$34,K286/(D286*Vendas!$U$30),IF(A286=$X$35,K286/(D286*Vendas!$U$31),IF(A286=$X$36,K286/(D286*Vendas!$U$32),0))))))))</f>
        <v>0.92783359749429539</v>
      </c>
      <c r="Q286" s="170">
        <f>IF(A286=$X$29,K286/(D286*Vendas!$U$25),IF(A286=$X$30,K286/(D286*Vendas!$U$26),IF(A286=$X$31,K286/(D286*Vendas!$U$27),IF(A286=$X$32,K286/(D286*Vendas!$U$28),IF(A286=$X$33,K286/(D286*Vendas!$U$29),IF(A286=$X$34,K286/(D286*Vendas!$U$30),IF(A286=$X$35,K286/(D286*Vendas!$U$31),IF(A286=$X$36,K286/(D286*Vendas!$U$32),0))))))))</f>
        <v>0.92783359749429539</v>
      </c>
    </row>
    <row r="287" spans="1:17">
      <c r="A287" s="263" t="s">
        <v>33</v>
      </c>
      <c r="B287" s="337" t="s">
        <v>525</v>
      </c>
      <c r="C287" s="73">
        <v>1</v>
      </c>
      <c r="D287" s="315">
        <v>275.16000000000003</v>
      </c>
      <c r="E287" s="166">
        <v>6150</v>
      </c>
      <c r="F287" s="74" t="s">
        <v>259</v>
      </c>
      <c r="G287" s="34" t="str">
        <f t="shared" si="20"/>
        <v>XLII1JEFFERSON MOREIRA FRANCA</v>
      </c>
      <c r="H287" s="40">
        <v>43129</v>
      </c>
      <c r="I287" s="35">
        <v>129720</v>
      </c>
      <c r="J287" s="35" t="s">
        <v>834</v>
      </c>
      <c r="K287" s="35">
        <v>85348.24</v>
      </c>
      <c r="L287" s="170">
        <f t="shared" si="21"/>
        <v>0.65794202898550724</v>
      </c>
      <c r="M287" s="154">
        <v>184009</v>
      </c>
      <c r="N287" s="170">
        <f t="shared" si="22"/>
        <v>0.46382644327179651</v>
      </c>
      <c r="O287" s="170">
        <f t="shared" si="23"/>
        <v>0.51802672840793296</v>
      </c>
      <c r="P287" s="170">
        <f>IF(A287=$X$29,K287/(D287*Vendas!$U$25),IF(A287=$X$30,K287/(D287*Vendas!$U$26),IF(A287=$X$31,K287/(D287*Vendas!$U$27),IF(A287=$X$32,K287/(D287*Vendas!$U$28),IF(A287=$X$33,K287/(D287*Vendas!$U$29),IF(A287=$X$34,K287/(D287*Vendas!$U$30),IF(A287=$X$35,K287/(D287*Vendas!$U$31),IF(A287=$X$36,K287/(D287*Vendas!$U$32),0))))))))</f>
        <v>0.51322343705073803</v>
      </c>
      <c r="Q287" s="170">
        <f>IF(A287=$X$29,K287/(D287*Vendas!$U$25),IF(A287=$X$30,K287/(D287*Vendas!$U$26),IF(A287=$X$31,K287/(D287*Vendas!$U$27),IF(A287=$X$32,K287/(D287*Vendas!$U$28),IF(A287=$X$33,K287/(D287*Vendas!$U$29),IF(A287=$X$34,K287/(D287*Vendas!$U$30),IF(A287=$X$35,K287/(D287*Vendas!$U$31),IF(A287=$X$36,K287/(D287*Vendas!$U$32),0))))))))</f>
        <v>0.51322343705073803</v>
      </c>
    </row>
    <row r="288" spans="1:17">
      <c r="A288" s="263" t="s">
        <v>33</v>
      </c>
      <c r="B288" s="337" t="s">
        <v>525</v>
      </c>
      <c r="C288" s="166">
        <v>2</v>
      </c>
      <c r="D288" s="197">
        <v>262.92</v>
      </c>
      <c r="E288" s="166"/>
      <c r="F288" s="338" t="s">
        <v>1013</v>
      </c>
      <c r="G288" s="34" t="str">
        <f t="shared" si="20"/>
        <v>XLII2EDNILSON APARECIDO DA SILVA</v>
      </c>
      <c r="H288" s="40">
        <v>43647</v>
      </c>
      <c r="I288" s="35">
        <v>122200</v>
      </c>
      <c r="J288" s="35" t="s">
        <v>834</v>
      </c>
      <c r="K288" s="35">
        <v>121047.08</v>
      </c>
      <c r="L288" s="170">
        <f t="shared" si="21"/>
        <v>0.99056530278232402</v>
      </c>
      <c r="M288" s="154">
        <v>154804.06</v>
      </c>
      <c r="N288" s="170">
        <f t="shared" si="22"/>
        <v>0.78193737296037324</v>
      </c>
      <c r="O288" s="170">
        <f t="shared" si="23"/>
        <v>0.7689066080856547</v>
      </c>
      <c r="P288" s="170">
        <f>IF(A288=$X$29,K288/(D288*Vendas!$U$25),IF(A288=$X$30,K288/(D288*Vendas!$U$26),IF(A288=$X$31,K288/(D288*Vendas!$U$27),IF(A288=$X$32,K288/(D288*Vendas!$U$28),IF(A288=$X$33,K288/(D288*Vendas!$U$29),IF(A288=$X$34,K288/(D288*Vendas!$U$30),IF(A288=$X$35,K288/(D288*Vendas!$U$31),IF(A288=$X$36,K288/(D288*Vendas!$U$32),0))))))))</f>
        <v>0.76177708703476488</v>
      </c>
      <c r="Q288" s="170">
        <f>IF(A288=$X$29,K288/(D288*Vendas!$U$25),IF(A288=$X$30,K288/(D288*Vendas!$U$26),IF(A288=$X$31,K288/(D288*Vendas!$U$27),IF(A288=$X$32,K288/(D288*Vendas!$U$28),IF(A288=$X$33,K288/(D288*Vendas!$U$29),IF(A288=$X$34,K288/(D288*Vendas!$U$30),IF(A288=$X$35,K288/(D288*Vendas!$U$31),IF(A288=$X$36,K288/(D288*Vendas!$U$32),0))))))))</f>
        <v>0.76177708703476488</v>
      </c>
    </row>
    <row r="289" spans="1:17">
      <c r="A289" s="263" t="s">
        <v>33</v>
      </c>
      <c r="B289" s="337" t="s">
        <v>525</v>
      </c>
      <c r="C289" s="73">
        <v>4</v>
      </c>
      <c r="D289" s="315">
        <v>253.01</v>
      </c>
      <c r="E289" s="166">
        <v>6524</v>
      </c>
      <c r="F289" s="74" t="s">
        <v>763</v>
      </c>
      <c r="G289" s="34" t="str">
        <f t="shared" si="20"/>
        <v>XLII4LEONARDO NUNES BUONO</v>
      </c>
      <c r="H289" s="40">
        <v>43284</v>
      </c>
      <c r="I289" s="35">
        <v>131600</v>
      </c>
      <c r="J289" s="35" t="s">
        <v>1250</v>
      </c>
      <c r="K289" s="35">
        <v>187475.79</v>
      </c>
      <c r="L289" s="170">
        <f t="shared" si="21"/>
        <v>1.4245880699088147</v>
      </c>
      <c r="M289" s="154">
        <v>198863.57</v>
      </c>
      <c r="N289" s="170">
        <f t="shared" si="22"/>
        <v>0.94273571574723314</v>
      </c>
      <c r="O289" s="170">
        <f t="shared" si="23"/>
        <v>1.2375148101998668</v>
      </c>
      <c r="P289" s="170">
        <f>IF(A289=$X$29,K289/(D289*Vendas!$U$25),IF(A289=$X$30,K289/(D289*Vendas!$U$26),IF(A289=$X$31,K289/(D289*Vendas!$U$27),IF(A289=$X$32,K289/(D289*Vendas!$U$28),IF(A289=$X$33,K289/(D289*Vendas!$U$29),IF(A289=$X$34,K289/(D289*Vendas!$U$30),IF(A289=$X$35,K289/(D289*Vendas!$U$31),IF(A289=$X$36,K289/(D289*Vendas!$U$32),0))))))))</f>
        <v>1.226040220441724</v>
      </c>
      <c r="Q289" s="170">
        <f>IF(A289=$X$29,K289/(D289*Vendas!$U$25),IF(A289=$X$30,K289/(D289*Vendas!$U$26),IF(A289=$X$31,K289/(D289*Vendas!$U$27),IF(A289=$X$32,K289/(D289*Vendas!$U$28),IF(A289=$X$33,K289/(D289*Vendas!$U$29),IF(A289=$X$34,K289/(D289*Vendas!$U$30),IF(A289=$X$35,K289/(D289*Vendas!$U$31),IF(A289=$X$36,K289/(D289*Vendas!$U$32),0))))))))</f>
        <v>1.226040220441724</v>
      </c>
    </row>
    <row r="290" spans="1:17">
      <c r="A290" s="263" t="s">
        <v>33</v>
      </c>
      <c r="B290" s="337" t="s">
        <v>525</v>
      </c>
      <c r="C290" s="166">
        <v>5</v>
      </c>
      <c r="D290" s="197">
        <v>253.01</v>
      </c>
      <c r="E290" s="166"/>
      <c r="F290" s="338" t="s">
        <v>858</v>
      </c>
      <c r="G290" s="34" t="str">
        <f t="shared" si="20"/>
        <v>XLII5GIOVANO APARECIDO DE LIMA</v>
      </c>
      <c r="H290" s="40">
        <v>43427</v>
      </c>
      <c r="I290" s="35">
        <v>272538.23</v>
      </c>
      <c r="J290" s="35" t="s">
        <v>834</v>
      </c>
      <c r="K290" s="35">
        <v>112927.77</v>
      </c>
      <c r="L290" s="170">
        <f t="shared" si="21"/>
        <v>0.41435570341819572</v>
      </c>
      <c r="M290" s="154">
        <v>184456.7</v>
      </c>
      <c r="N290" s="170">
        <f t="shared" si="22"/>
        <v>0.61221831465053855</v>
      </c>
      <c r="O290" s="170">
        <f t="shared" si="23"/>
        <v>0.7454284516301769</v>
      </c>
      <c r="P290" s="170">
        <f>IF(A290=$X$29,K290/(D290*Vendas!$U$25),IF(A290=$X$30,K290/(D290*Vendas!$U$26),IF(A290=$X$31,K290/(D290*Vendas!$U$27),IF(A290=$X$32,K290/(D290*Vendas!$U$28),IF(A290=$X$33,K290/(D290*Vendas!$U$29),IF(A290=$X$34,K290/(D290*Vendas!$U$30),IF(A290=$X$35,K290/(D290*Vendas!$U$31),IF(A290=$X$36,K290/(D290*Vendas!$U$32),0))))))))</f>
        <v>0.7385166267324027</v>
      </c>
      <c r="Q290" s="170">
        <f>IF(A290=$X$29,K290/(D290*Vendas!$U$25),IF(A290=$X$30,K290/(D290*Vendas!$U$26),IF(A290=$X$31,K290/(D290*Vendas!$U$27),IF(A290=$X$32,K290/(D290*Vendas!$U$28),IF(A290=$X$33,K290/(D290*Vendas!$U$29),IF(A290=$X$34,K290/(D290*Vendas!$U$30),IF(A290=$X$35,K290/(D290*Vendas!$U$31),IF(A290=$X$36,K290/(D290*Vendas!$U$32),0))))))))</f>
        <v>0.7385166267324027</v>
      </c>
    </row>
    <row r="291" spans="1:17">
      <c r="A291" s="263" t="s">
        <v>33</v>
      </c>
      <c r="B291" s="337" t="s">
        <v>525</v>
      </c>
      <c r="C291" s="73">
        <v>6</v>
      </c>
      <c r="D291" s="315">
        <v>253.01</v>
      </c>
      <c r="E291" s="166">
        <v>6331</v>
      </c>
      <c r="F291" s="74" t="s">
        <v>586</v>
      </c>
      <c r="G291" s="34" t="str">
        <f t="shared" si="20"/>
        <v>XLII6FRANCIELLE SANCHES CARNELOSSI</v>
      </c>
      <c r="H291" s="40">
        <v>43215</v>
      </c>
      <c r="I291" s="35">
        <v>141353.45000000001</v>
      </c>
      <c r="J291" s="35" t="s">
        <v>1249</v>
      </c>
      <c r="K291" s="35">
        <v>143906.65</v>
      </c>
      <c r="L291" s="170">
        <f t="shared" si="21"/>
        <v>1.0180625234120566</v>
      </c>
      <c r="M291" s="154">
        <v>203283.25</v>
      </c>
      <c r="N291" s="170">
        <f t="shared" si="22"/>
        <v>0.70791198979748693</v>
      </c>
      <c r="O291" s="170">
        <f t="shared" si="23"/>
        <v>0.9499179102605656</v>
      </c>
      <c r="P291" s="170">
        <f>IF(A291=$X$29,K291/(D291*Vendas!$U$25),IF(A291=$X$30,K291/(D291*Vendas!$U$26),IF(A291=$X$31,K291/(D291*Vendas!$U$27),IF(A291=$X$32,K291/(D291*Vendas!$U$28),IF(A291=$X$33,K291/(D291*Vendas!$U$29),IF(A291=$X$34,K291/(D291*Vendas!$U$30),IF(A291=$X$35,K291/(D291*Vendas!$U$31),IF(A291=$X$36,K291/(D291*Vendas!$U$32),0))))))))</f>
        <v>0.94111000086480512</v>
      </c>
      <c r="Q291" s="170">
        <f>IF(A291=$X$29,K291/(D291*Vendas!$U$25),IF(A291=$X$30,K291/(D291*Vendas!$U$26),IF(A291=$X$31,K291/(D291*Vendas!$U$27),IF(A291=$X$32,K291/(D291*Vendas!$U$28),IF(A291=$X$33,K291/(D291*Vendas!$U$29),IF(A291=$X$34,K291/(D291*Vendas!$U$30),IF(A291=$X$35,K291/(D291*Vendas!$U$31),IF(A291=$X$36,K291/(D291*Vendas!$U$32),0))))))))</f>
        <v>0.94111000086480512</v>
      </c>
    </row>
    <row r="292" spans="1:17">
      <c r="A292" s="263" t="s">
        <v>33</v>
      </c>
      <c r="B292" s="337" t="s">
        <v>525</v>
      </c>
      <c r="C292" s="166">
        <v>7</v>
      </c>
      <c r="D292" s="197">
        <v>253.01</v>
      </c>
      <c r="E292" s="166">
        <v>5530</v>
      </c>
      <c r="F292" s="338" t="s">
        <v>413</v>
      </c>
      <c r="G292" s="34" t="str">
        <f t="shared" si="20"/>
        <v>XLII7RENAN VINICIUS GOUVEIA ANCIOTO</v>
      </c>
      <c r="H292" s="40">
        <v>42772</v>
      </c>
      <c r="I292" s="35">
        <v>128212.23</v>
      </c>
      <c r="J292" s="35" t="s">
        <v>1249</v>
      </c>
      <c r="K292" s="35">
        <v>128443.17</v>
      </c>
      <c r="L292" s="170">
        <f t="shared" si="21"/>
        <v>1.0018012322225422</v>
      </c>
      <c r="M292" s="154">
        <v>199851.87</v>
      </c>
      <c r="N292" s="170">
        <f t="shared" si="22"/>
        <v>0.64269185972590603</v>
      </c>
      <c r="O292" s="170">
        <f t="shared" si="23"/>
        <v>0.84784454112191876</v>
      </c>
      <c r="P292" s="170">
        <f>IF(A292=$X$29,K292/(D292*Vendas!$U$25),IF(A292=$X$30,K292/(D292*Vendas!$U$26),IF(A292=$X$31,K292/(D292*Vendas!$U$27),IF(A292=$X$32,K292/(D292*Vendas!$U$28),IF(A292=$X$33,K292/(D292*Vendas!$U$29),IF(A292=$X$34,K292/(D292*Vendas!$U$30),IF(A292=$X$35,K292/(D292*Vendas!$U$31),IF(A292=$X$36,K292/(D292*Vendas!$U$32),0))))))))</f>
        <v>0.83998308507479191</v>
      </c>
      <c r="Q292" s="170">
        <f>IF(A292=$X$29,K292/(D292*Vendas!$U$25),IF(A292=$X$30,K292/(D292*Vendas!$U$26),IF(A292=$X$31,K292/(D292*Vendas!$U$27),IF(A292=$X$32,K292/(D292*Vendas!$U$28),IF(A292=$X$33,K292/(D292*Vendas!$U$29),IF(A292=$X$34,K292/(D292*Vendas!$U$30),IF(A292=$X$35,K292/(D292*Vendas!$U$31),IF(A292=$X$36,K292/(D292*Vendas!$U$32),0))))))))</f>
        <v>0.83998308507479191</v>
      </c>
    </row>
    <row r="293" spans="1:17">
      <c r="A293" s="263" t="s">
        <v>33</v>
      </c>
      <c r="B293" s="337" t="s">
        <v>525</v>
      </c>
      <c r="C293" s="73">
        <v>9</v>
      </c>
      <c r="D293" s="315">
        <v>253.01</v>
      </c>
      <c r="E293" s="166">
        <v>5349</v>
      </c>
      <c r="F293" s="74" t="s">
        <v>121</v>
      </c>
      <c r="G293" s="34" t="str">
        <f t="shared" si="20"/>
        <v>XLII9CRISTINA DA SILVA GERMANI</v>
      </c>
      <c r="H293" s="40">
        <v>42705</v>
      </c>
      <c r="I293" s="35">
        <v>136395.99</v>
      </c>
      <c r="J293" s="35" t="s">
        <v>834</v>
      </c>
      <c r="K293" s="35">
        <v>128083.93000000001</v>
      </c>
      <c r="L293" s="170">
        <f t="shared" si="21"/>
        <v>0.93905935211145153</v>
      </c>
      <c r="M293" s="154">
        <v>218977.86000000002</v>
      </c>
      <c r="N293" s="170">
        <f t="shared" si="22"/>
        <v>0.58491726058515692</v>
      </c>
      <c r="O293" s="170">
        <f t="shared" si="23"/>
        <v>0.84547322256171331</v>
      </c>
      <c r="P293" s="170">
        <f>IF(A293=$X$29,K293/(D293*Vendas!$U$25),IF(A293=$X$30,K293/(D293*Vendas!$U$26),IF(A293=$X$31,K293/(D293*Vendas!$U$27),IF(A293=$X$32,K293/(D293*Vendas!$U$28),IF(A293=$X$33,K293/(D293*Vendas!$U$29),IF(A293=$X$34,K293/(D293*Vendas!$U$30),IF(A293=$X$35,K293/(D293*Vendas!$U$31),IF(A293=$X$36,K293/(D293*Vendas!$U$32),0))))))))</f>
        <v>0.83763375405561624</v>
      </c>
      <c r="Q293" s="170">
        <f>IF(A293=$X$29,K293/(D293*Vendas!$U$25),IF(A293=$X$30,K293/(D293*Vendas!$U$26),IF(A293=$X$31,K293/(D293*Vendas!$U$27),IF(A293=$X$32,K293/(D293*Vendas!$U$28),IF(A293=$X$33,K293/(D293*Vendas!$U$29),IF(A293=$X$34,K293/(D293*Vendas!$U$30),IF(A293=$X$35,K293/(D293*Vendas!$U$31),IF(A293=$X$36,K293/(D293*Vendas!$U$32),0))))))))</f>
        <v>0.83763375405561624</v>
      </c>
    </row>
    <row r="294" spans="1:17">
      <c r="A294" s="263" t="s">
        <v>33</v>
      </c>
      <c r="B294" s="337" t="s">
        <v>525</v>
      </c>
      <c r="C294" s="166">
        <v>11</v>
      </c>
      <c r="D294" s="197">
        <v>253.01</v>
      </c>
      <c r="E294" s="166">
        <v>4811</v>
      </c>
      <c r="F294" s="338" t="s">
        <v>124</v>
      </c>
      <c r="G294" s="34" t="str">
        <f t="shared" si="20"/>
        <v>XLII11DANIEL BRAGUETO MARTINS</v>
      </c>
      <c r="H294" s="40">
        <v>42156</v>
      </c>
      <c r="I294" s="35">
        <v>129699.4</v>
      </c>
      <c r="J294" s="35" t="s">
        <v>1250</v>
      </c>
      <c r="K294" s="35">
        <v>212076.51</v>
      </c>
      <c r="L294" s="170">
        <f t="shared" si="21"/>
        <v>1.6351387130549564</v>
      </c>
      <c r="M294" s="154">
        <v>230561.52000000002</v>
      </c>
      <c r="N294" s="170">
        <f t="shared" si="22"/>
        <v>0.91982612710048062</v>
      </c>
      <c r="O294" s="170">
        <f t="shared" si="23"/>
        <v>1.3999024728499618</v>
      </c>
      <c r="P294" s="170">
        <f>IF(A294=$X$29,K294/(D294*Vendas!$U$25),IF(A294=$X$30,K294/(D294*Vendas!$U$26),IF(A294=$X$31,K294/(D294*Vendas!$U$27),IF(A294=$X$32,K294/(D294*Vendas!$U$28),IF(A294=$X$33,K294/(D294*Vendas!$U$29),IF(A294=$X$34,K294/(D294*Vendas!$U$30),IF(A294=$X$35,K294/(D294*Vendas!$U$31),IF(A294=$X$36,K294/(D294*Vendas!$U$32),0))))))))</f>
        <v>1.3869221784365411</v>
      </c>
      <c r="Q294" s="170">
        <f>IF(A294=$X$29,K294/(D294*Vendas!$U$25),IF(A294=$X$30,K294/(D294*Vendas!$U$26),IF(A294=$X$31,K294/(D294*Vendas!$U$27),IF(A294=$X$32,K294/(D294*Vendas!$U$28),IF(A294=$X$33,K294/(D294*Vendas!$U$29),IF(A294=$X$34,K294/(D294*Vendas!$U$30),IF(A294=$X$35,K294/(D294*Vendas!$U$31),IF(A294=$X$36,K294/(D294*Vendas!$U$32),0))))))))</f>
        <v>1.3869221784365411</v>
      </c>
    </row>
    <row r="295" spans="1:17">
      <c r="A295" s="263" t="s">
        <v>33</v>
      </c>
      <c r="B295" s="337" t="s">
        <v>525</v>
      </c>
      <c r="C295" s="73">
        <v>12</v>
      </c>
      <c r="D295" s="315">
        <v>253.01</v>
      </c>
      <c r="E295" s="166">
        <v>3868</v>
      </c>
      <c r="F295" s="74" t="s">
        <v>935</v>
      </c>
      <c r="G295" s="34" t="str">
        <f t="shared" si="20"/>
        <v>XLII12FELIPE MARTINS SCOTTON</v>
      </c>
      <c r="H295" s="40">
        <v>41859</v>
      </c>
      <c r="I295" s="35">
        <v>102223.52</v>
      </c>
      <c r="J295" s="35" t="s">
        <v>834</v>
      </c>
      <c r="K295" s="35">
        <v>100190.21</v>
      </c>
      <c r="L295" s="170">
        <f t="shared" si="21"/>
        <v>0.98010917644002082</v>
      </c>
      <c r="M295" s="154">
        <v>179727.17</v>
      </c>
      <c r="N295" s="170">
        <f t="shared" si="22"/>
        <v>0.55745722808632658</v>
      </c>
      <c r="O295" s="170">
        <f t="shared" si="23"/>
        <v>0.66134869314077727</v>
      </c>
      <c r="P295" s="170">
        <f>IF(A295=$X$29,K295/(D295*Vendas!$U$25),IF(A295=$X$30,K295/(D295*Vendas!$U$26),IF(A295=$X$31,K295/(D295*Vendas!$U$27),IF(A295=$X$32,K295/(D295*Vendas!$U$28),IF(A295=$X$33,K295/(D295*Vendas!$U$29),IF(A295=$X$34,K295/(D295*Vendas!$U$30),IF(A295=$X$35,K295/(D295*Vendas!$U$31),IF(A295=$X$36,K295/(D295*Vendas!$U$32),0))))))))</f>
        <v>0.65521647970920738</v>
      </c>
      <c r="Q295" s="170">
        <f>IF(A295=$X$29,K295/(D295*Vendas!$U$25),IF(A295=$X$30,K295/(D295*Vendas!$U$26),IF(A295=$X$31,K295/(D295*Vendas!$U$27),IF(A295=$X$32,K295/(D295*Vendas!$U$28),IF(A295=$X$33,K295/(D295*Vendas!$U$29),IF(A295=$X$34,K295/(D295*Vendas!$U$30),IF(A295=$X$35,K295/(D295*Vendas!$U$31),IF(A295=$X$36,K295/(D295*Vendas!$U$32),0))))))))</f>
        <v>0.65521647970920738</v>
      </c>
    </row>
    <row r="296" spans="1:17">
      <c r="A296" s="263" t="s">
        <v>33</v>
      </c>
      <c r="B296" s="337" t="s">
        <v>525</v>
      </c>
      <c r="C296" s="166">
        <v>15</v>
      </c>
      <c r="D296" s="197">
        <v>272.5</v>
      </c>
      <c r="E296" s="166">
        <v>4313</v>
      </c>
      <c r="F296" s="338" t="s">
        <v>421</v>
      </c>
      <c r="G296" s="34" t="str">
        <f t="shared" si="20"/>
        <v>XLII15RODRIGO AUGUSTO MODESTO</v>
      </c>
      <c r="H296" s="40">
        <v>41990</v>
      </c>
      <c r="I296" s="35">
        <v>134352.85</v>
      </c>
      <c r="J296" s="35" t="s">
        <v>834</v>
      </c>
      <c r="K296" s="35">
        <v>75808.94</v>
      </c>
      <c r="L296" s="170">
        <f t="shared" si="21"/>
        <v>0.56425256330624918</v>
      </c>
      <c r="M296" s="154">
        <v>193401.44</v>
      </c>
      <c r="N296" s="170">
        <f t="shared" si="22"/>
        <v>0.39197712281769981</v>
      </c>
      <c r="O296" s="170">
        <f t="shared" si="23"/>
        <v>0.46461884083213884</v>
      </c>
      <c r="P296" s="170">
        <f>IF(A296=$X$29,K296/(D296*Vendas!$U$25),IF(A296=$X$30,K296/(D296*Vendas!$U$26),IF(A296=$X$31,K296/(D296*Vendas!$U$27),IF(A296=$X$32,K296/(D296*Vendas!$U$28),IF(A296=$X$33,K296/(D296*Vendas!$U$29),IF(A296=$X$34,K296/(D296*Vendas!$U$30),IF(A296=$X$35,K296/(D296*Vendas!$U$31),IF(A296=$X$36,K296/(D296*Vendas!$U$32),0))))))))</f>
        <v>0.46031076261884335</v>
      </c>
      <c r="Q296" s="170">
        <f>IF(A296=$X$29,K296/(D296*Vendas!$U$25),IF(A296=$X$30,K296/(D296*Vendas!$U$26),IF(A296=$X$31,K296/(D296*Vendas!$U$27),IF(A296=$X$32,K296/(D296*Vendas!$U$28),IF(A296=$X$33,K296/(D296*Vendas!$U$29),IF(A296=$X$34,K296/(D296*Vendas!$U$30),IF(A296=$X$35,K296/(D296*Vendas!$U$31),IF(A296=$X$36,K296/(D296*Vendas!$U$32),0))))))))</f>
        <v>0.46031076261884335</v>
      </c>
    </row>
    <row r="297" spans="1:17">
      <c r="A297" s="263" t="s">
        <v>33</v>
      </c>
      <c r="B297" s="337" t="s">
        <v>525</v>
      </c>
      <c r="C297" s="73">
        <v>16</v>
      </c>
      <c r="D297" s="315">
        <v>272.5</v>
      </c>
      <c r="E297" s="166">
        <v>4312</v>
      </c>
      <c r="F297" s="74" t="s">
        <v>354</v>
      </c>
      <c r="G297" s="34" t="str">
        <f t="shared" si="20"/>
        <v>XLII16MARIA INEZ BUENO MODESTO</v>
      </c>
      <c r="H297" s="40">
        <v>41990</v>
      </c>
      <c r="I297" s="35">
        <v>134352.85</v>
      </c>
      <c r="J297" s="35" t="s">
        <v>834</v>
      </c>
      <c r="K297" s="35">
        <v>125209.93000000001</v>
      </c>
      <c r="L297" s="170">
        <f t="shared" si="21"/>
        <v>0.93194844768830731</v>
      </c>
      <c r="M297" s="154">
        <v>218294.14</v>
      </c>
      <c r="N297" s="170">
        <f t="shared" si="22"/>
        <v>0.57358356023666046</v>
      </c>
      <c r="O297" s="170">
        <f t="shared" si="23"/>
        <v>0.76738828609492826</v>
      </c>
      <c r="P297" s="170">
        <f>IF(A297=$X$29,K297/(D297*Vendas!$U$25),IF(A297=$X$30,K297/(D297*Vendas!$U$26),IF(A297=$X$31,K297/(D297*Vendas!$U$27),IF(A297=$X$32,K297/(D297*Vendas!$U$28),IF(A297=$X$33,K297/(D297*Vendas!$U$29),IF(A297=$X$34,K297/(D297*Vendas!$U$30),IF(A297=$X$35,K297/(D297*Vendas!$U$31),IF(A297=$X$36,K297/(D297*Vendas!$U$32),0))))))))</f>
        <v>0.76027284335794687</v>
      </c>
      <c r="Q297" s="170">
        <f>IF(A297=$X$29,K297/(D297*Vendas!$U$25),IF(A297=$X$30,K297/(D297*Vendas!$U$26),IF(A297=$X$31,K297/(D297*Vendas!$U$27),IF(A297=$X$32,K297/(D297*Vendas!$U$28),IF(A297=$X$33,K297/(D297*Vendas!$U$29),IF(A297=$X$34,K297/(D297*Vendas!$U$30),IF(A297=$X$35,K297/(D297*Vendas!$U$31),IF(A297=$X$36,K297/(D297*Vendas!$U$32),0))))))))</f>
        <v>0.76027284335794687</v>
      </c>
    </row>
    <row r="298" spans="1:17">
      <c r="A298" s="263" t="s">
        <v>33</v>
      </c>
      <c r="B298" s="337" t="s">
        <v>525</v>
      </c>
      <c r="C298" s="166">
        <v>19</v>
      </c>
      <c r="D298" s="197">
        <v>304.64</v>
      </c>
      <c r="E298" s="166"/>
      <c r="F298" s="338" t="s">
        <v>1047</v>
      </c>
      <c r="G298" s="34" t="str">
        <f t="shared" si="20"/>
        <v>XLII19BENEDITA DE LOURDES CARDOSO</v>
      </c>
      <c r="H298" s="40">
        <v>43700</v>
      </c>
      <c r="I298" s="35">
        <v>154160.6</v>
      </c>
      <c r="J298" s="35" t="s">
        <v>834</v>
      </c>
      <c r="K298" s="35">
        <v>147993.18</v>
      </c>
      <c r="L298" s="170">
        <f t="shared" si="21"/>
        <v>0.95999353920521835</v>
      </c>
      <c r="M298" s="154">
        <v>192614</v>
      </c>
      <c r="N298" s="170">
        <f t="shared" si="22"/>
        <v>0.76834072289657029</v>
      </c>
      <c r="O298" s="170">
        <f t="shared" si="23"/>
        <v>0.81133026156036114</v>
      </c>
      <c r="P298" s="170">
        <f>IF(A298=$X$29,K298/(D298*Vendas!$U$25),IF(A298=$X$30,K298/(D298*Vendas!$U$26),IF(A298=$X$31,K298/(D298*Vendas!$U$27),IF(A298=$X$32,K298/(D298*Vendas!$U$28),IF(A298=$X$33,K298/(D298*Vendas!$U$29),IF(A298=$X$34,K298/(D298*Vendas!$U$30),IF(A298=$X$35,K298/(D298*Vendas!$U$31),IF(A298=$X$36,K298/(D298*Vendas!$U$32),0))))))))</f>
        <v>0.80380737631241161</v>
      </c>
      <c r="Q298" s="170">
        <f>IF(A298=$X$29,K298/(D298*Vendas!$U$25),IF(A298=$X$30,K298/(D298*Vendas!$U$26),IF(A298=$X$31,K298/(D298*Vendas!$U$27),IF(A298=$X$32,K298/(D298*Vendas!$U$28),IF(A298=$X$33,K298/(D298*Vendas!$U$29),IF(A298=$X$34,K298/(D298*Vendas!$U$30),IF(A298=$X$35,K298/(D298*Vendas!$U$31),IF(A298=$X$36,K298/(D298*Vendas!$U$32),0))))))))</f>
        <v>0.80380737631241161</v>
      </c>
    </row>
    <row r="299" spans="1:17">
      <c r="A299" s="263" t="s">
        <v>33</v>
      </c>
      <c r="B299" s="337" t="s">
        <v>526</v>
      </c>
      <c r="C299" s="73">
        <v>1</v>
      </c>
      <c r="D299" s="315">
        <v>300.63</v>
      </c>
      <c r="E299" s="166"/>
      <c r="F299" s="74" t="s">
        <v>929</v>
      </c>
      <c r="G299" s="34" t="str">
        <f t="shared" si="20"/>
        <v>XLIII1ROBERTO CARDOSO</v>
      </c>
      <c r="H299" s="40">
        <v>43500</v>
      </c>
      <c r="I299" s="35">
        <v>141000</v>
      </c>
      <c r="J299" s="35" t="s">
        <v>834</v>
      </c>
      <c r="K299" s="35">
        <v>133427.33000000002</v>
      </c>
      <c r="L299" s="170">
        <f t="shared" si="21"/>
        <v>0.94629312056737602</v>
      </c>
      <c r="M299" s="154">
        <v>187577.58000000002</v>
      </c>
      <c r="N299" s="170">
        <f t="shared" si="22"/>
        <v>0.71131811168477599</v>
      </c>
      <c r="O299" s="170">
        <f t="shared" si="23"/>
        <v>0.74123407870308422</v>
      </c>
      <c r="P299" s="170">
        <f>IF(A299=$X$29,K299/(D299*Vendas!$U$25),IF(A299=$X$30,K299/(D299*Vendas!$U$26),IF(A299=$X$31,K299/(D299*Vendas!$U$27),IF(A299=$X$32,K299/(D299*Vendas!$U$28),IF(A299=$X$33,K299/(D299*Vendas!$U$29),IF(A299=$X$34,K299/(D299*Vendas!$U$30),IF(A299=$X$35,K299/(D299*Vendas!$U$31),IF(A299=$X$36,K299/(D299*Vendas!$U$32),0))))))))</f>
        <v>0.73436114522562634</v>
      </c>
      <c r="Q299" s="170">
        <f>IF(A299=$X$29,K299/(D299*Vendas!$U$25),IF(A299=$X$30,K299/(D299*Vendas!$U$26),IF(A299=$X$31,K299/(D299*Vendas!$U$27),IF(A299=$X$32,K299/(D299*Vendas!$U$28),IF(A299=$X$33,K299/(D299*Vendas!$U$29),IF(A299=$X$34,K299/(D299*Vendas!$U$30),IF(A299=$X$35,K299/(D299*Vendas!$U$31),IF(A299=$X$36,K299/(D299*Vendas!$U$32),0))))))))</f>
        <v>0.73436114522562634</v>
      </c>
    </row>
    <row r="300" spans="1:17">
      <c r="A300" s="263" t="s">
        <v>33</v>
      </c>
      <c r="B300" s="337" t="s">
        <v>526</v>
      </c>
      <c r="C300" s="166">
        <v>2</v>
      </c>
      <c r="D300" s="197">
        <v>265.06</v>
      </c>
      <c r="E300" s="166"/>
      <c r="F300" s="338" t="s">
        <v>876</v>
      </c>
      <c r="G300" s="34" t="str">
        <f t="shared" si="20"/>
        <v>XLIII2GILBERTO MILLE</v>
      </c>
      <c r="H300" s="40">
        <v>43432</v>
      </c>
      <c r="I300" s="35">
        <v>117500</v>
      </c>
      <c r="J300" s="35" t="s">
        <v>834</v>
      </c>
      <c r="K300" s="35">
        <v>117768.98</v>
      </c>
      <c r="L300" s="170">
        <f t="shared" si="21"/>
        <v>1.0022891914893617</v>
      </c>
      <c r="M300" s="154">
        <v>161215.05000000002</v>
      </c>
      <c r="N300" s="170">
        <f t="shared" si="22"/>
        <v>0.73050859705716054</v>
      </c>
      <c r="O300" s="170">
        <f t="shared" si="23"/>
        <v>0.74204393439391136</v>
      </c>
      <c r="P300" s="170">
        <f>IF(A300=$X$29,K300/(D300*Vendas!$U$25),IF(A300=$X$30,K300/(D300*Vendas!$U$26),IF(A300=$X$31,K300/(D300*Vendas!$U$27),IF(A300=$X$32,K300/(D300*Vendas!$U$28),IF(A300=$X$33,K300/(D300*Vendas!$U$29),IF(A300=$X$34,K300/(D300*Vendas!$U$30),IF(A300=$X$35,K300/(D300*Vendas!$U$31),IF(A300=$X$36,K300/(D300*Vendas!$U$32),0))))))))</f>
        <v>0.73516349170384532</v>
      </c>
      <c r="Q300" s="170">
        <f>IF(A300=$X$29,K300/(D300*Vendas!$U$25),IF(A300=$X$30,K300/(D300*Vendas!$U$26),IF(A300=$X$31,K300/(D300*Vendas!$U$27),IF(A300=$X$32,K300/(D300*Vendas!$U$28),IF(A300=$X$33,K300/(D300*Vendas!$U$29),IF(A300=$X$34,K300/(D300*Vendas!$U$30),IF(A300=$X$35,K300/(D300*Vendas!$U$31),IF(A300=$X$36,K300/(D300*Vendas!$U$32),0))))))))</f>
        <v>0.73516349170384532</v>
      </c>
    </row>
    <row r="301" spans="1:17">
      <c r="A301" s="263" t="s">
        <v>33</v>
      </c>
      <c r="B301" s="337" t="s">
        <v>526</v>
      </c>
      <c r="C301" s="73">
        <v>6</v>
      </c>
      <c r="D301" s="315">
        <v>253.77</v>
      </c>
      <c r="E301" s="166"/>
      <c r="F301" s="74" t="s">
        <v>982</v>
      </c>
      <c r="G301" s="34" t="str">
        <f t="shared" si="20"/>
        <v>XLIII6LEO ANTONIO RAMOS</v>
      </c>
      <c r="H301" s="40">
        <v>43619</v>
      </c>
      <c r="I301" s="35">
        <v>122200.1</v>
      </c>
      <c r="J301" s="35" t="s">
        <v>834</v>
      </c>
      <c r="K301" s="35">
        <v>25945.02</v>
      </c>
      <c r="L301" s="170">
        <f t="shared" si="21"/>
        <v>0.21231586553529824</v>
      </c>
      <c r="M301" s="154">
        <v>125218.39</v>
      </c>
      <c r="N301" s="170">
        <f t="shared" si="22"/>
        <v>0.20719815995078678</v>
      </c>
      <c r="O301" s="170">
        <f t="shared" si="23"/>
        <v>0.17074839479016898</v>
      </c>
      <c r="P301" s="170">
        <f>IF(A301=$X$29,K301/(D301*Vendas!$U$25),IF(A301=$X$30,K301/(D301*Vendas!$U$26),IF(A301=$X$31,K301/(D301*Vendas!$U$27),IF(A301=$X$32,K301/(D301*Vendas!$U$28),IF(A301=$X$33,K301/(D301*Vendas!$U$29),IF(A301=$X$34,K301/(D301*Vendas!$U$30),IF(A301=$X$35,K301/(D301*Vendas!$U$31),IF(A301=$X$36,K301/(D301*Vendas!$U$32),0))))))))</f>
        <v>0.16916516704539386</v>
      </c>
      <c r="Q301" s="170">
        <f>IF(A301=$X$29,K301/(D301*Vendas!$U$25),IF(A301=$X$30,K301/(D301*Vendas!$U$26),IF(A301=$X$31,K301/(D301*Vendas!$U$27),IF(A301=$X$32,K301/(D301*Vendas!$U$28),IF(A301=$X$33,K301/(D301*Vendas!$U$29),IF(A301=$X$34,K301/(D301*Vendas!$U$30),IF(A301=$X$35,K301/(D301*Vendas!$U$31),IF(A301=$X$36,K301/(D301*Vendas!$U$32),0))))))))</f>
        <v>0.16916516704539386</v>
      </c>
    </row>
    <row r="302" spans="1:17">
      <c r="A302" s="263" t="s">
        <v>33</v>
      </c>
      <c r="B302" s="337" t="s">
        <v>526</v>
      </c>
      <c r="C302" s="166">
        <v>7</v>
      </c>
      <c r="D302" s="197">
        <v>253.77</v>
      </c>
      <c r="E302" s="166">
        <v>4681</v>
      </c>
      <c r="F302" s="338" t="s">
        <v>1267</v>
      </c>
      <c r="G302" s="34" t="str">
        <f t="shared" si="20"/>
        <v>XLIII7WESLY APARECIDO WEBER</v>
      </c>
      <c r="H302" s="40">
        <v>44046</v>
      </c>
      <c r="I302" s="35">
        <v>122200</v>
      </c>
      <c r="J302" s="35" t="s">
        <v>834</v>
      </c>
      <c r="K302" s="35">
        <v>120931.79000000001</v>
      </c>
      <c r="L302" s="170">
        <f t="shared" si="21"/>
        <v>0.98962184942716869</v>
      </c>
      <c r="M302" s="154">
        <v>136689.79999999999</v>
      </c>
      <c r="N302" s="170">
        <f t="shared" si="22"/>
        <v>0.88471700156119926</v>
      </c>
      <c r="O302" s="170">
        <f t="shared" si="23"/>
        <v>0.79587177121473829</v>
      </c>
      <c r="P302" s="170">
        <f>IF(A302=$X$29,K302/(D302*Vendas!$U$25),IF(A302=$X$30,K302/(D302*Vendas!$U$26),IF(A302=$X$31,K302/(D302*Vendas!$U$27),IF(A302=$X$32,K302/(D302*Vendas!$U$28),IF(A302=$X$33,K302/(D302*Vendas!$U$29),IF(A302=$X$34,K302/(D302*Vendas!$U$30),IF(A302=$X$35,K302/(D302*Vendas!$U$31),IF(A302=$X$36,K302/(D302*Vendas!$U$32),0))))))))</f>
        <v>0.78849222149177345</v>
      </c>
      <c r="Q302" s="170">
        <f>IF(A302=$X$29,K302/(D302*Vendas!$U$25),IF(A302=$X$30,K302/(D302*Vendas!$U$26),IF(A302=$X$31,K302/(D302*Vendas!$U$27),IF(A302=$X$32,K302/(D302*Vendas!$U$28),IF(A302=$X$33,K302/(D302*Vendas!$U$29),IF(A302=$X$34,K302/(D302*Vendas!$U$30),IF(A302=$X$35,K302/(D302*Vendas!$U$31),IF(A302=$X$36,K302/(D302*Vendas!$U$32),0))))))))</f>
        <v>0.78849222149177345</v>
      </c>
    </row>
    <row r="303" spans="1:17">
      <c r="A303" s="263" t="s">
        <v>33</v>
      </c>
      <c r="B303" s="337" t="s">
        <v>526</v>
      </c>
      <c r="C303" s="73">
        <v>8</v>
      </c>
      <c r="D303" s="315">
        <v>253.77</v>
      </c>
      <c r="E303" s="166">
        <v>4795</v>
      </c>
      <c r="F303" s="74" t="s">
        <v>1317</v>
      </c>
      <c r="G303" s="34" t="str">
        <f t="shared" si="20"/>
        <v>XLIII8KATIA MUNARETTO</v>
      </c>
      <c r="H303" s="40">
        <v>44104</v>
      </c>
      <c r="I303" s="35">
        <v>122200</v>
      </c>
      <c r="J303" s="35" t="s">
        <v>834</v>
      </c>
      <c r="K303" s="35">
        <v>124491.75</v>
      </c>
      <c r="L303" s="170">
        <f t="shared" si="21"/>
        <v>1.0187540916530278</v>
      </c>
      <c r="M303" s="154">
        <v>133989.48000000001</v>
      </c>
      <c r="N303" s="170">
        <f t="shared" si="22"/>
        <v>0.92911585297592014</v>
      </c>
      <c r="O303" s="170">
        <f t="shared" si="23"/>
        <v>0.81930044675698921</v>
      </c>
      <c r="P303" s="170">
        <f>IF(A303=$X$29,K303/(D303*Vendas!$U$25),IF(A303=$X$30,K303/(D303*Vendas!$U$26),IF(A303=$X$31,K303/(D303*Vendas!$U$27),IF(A303=$X$32,K303/(D303*Vendas!$U$28),IF(A303=$X$33,K303/(D303*Vendas!$U$29),IF(A303=$X$34,K303/(D303*Vendas!$U$30),IF(A303=$X$35,K303/(D303*Vendas!$U$31),IF(A303=$X$36,K303/(D303*Vendas!$U$32),0))))))))</f>
        <v>0.81170365968202807</v>
      </c>
      <c r="Q303" s="170">
        <f>IF(A303=$X$29,K303/(D303*Vendas!$U$25),IF(A303=$X$30,K303/(D303*Vendas!$U$26),IF(A303=$X$31,K303/(D303*Vendas!$U$27),IF(A303=$X$32,K303/(D303*Vendas!$U$28),IF(A303=$X$33,K303/(D303*Vendas!$U$29),IF(A303=$X$34,K303/(D303*Vendas!$U$30),IF(A303=$X$35,K303/(D303*Vendas!$U$31),IF(A303=$X$36,K303/(D303*Vendas!$U$32),0))))))))</f>
        <v>0.81170365968202807</v>
      </c>
    </row>
    <row r="304" spans="1:17">
      <c r="A304" s="263" t="s">
        <v>33</v>
      </c>
      <c r="B304" s="337" t="s">
        <v>526</v>
      </c>
      <c r="C304" s="166">
        <v>9</v>
      </c>
      <c r="D304" s="197">
        <v>251.25</v>
      </c>
      <c r="E304" s="166">
        <v>3445</v>
      </c>
      <c r="F304" s="338" t="s">
        <v>1116</v>
      </c>
      <c r="G304" s="34" t="str">
        <f t="shared" si="20"/>
        <v>XLIII9LEWI PETHRUS COSTA</v>
      </c>
      <c r="H304" s="40">
        <v>43802</v>
      </c>
      <c r="I304" s="35">
        <v>136299.75</v>
      </c>
      <c r="J304" s="35" t="s">
        <v>1250</v>
      </c>
      <c r="K304" s="35">
        <v>135365.07</v>
      </c>
      <c r="L304" s="170">
        <f t="shared" si="21"/>
        <v>0.99314246724590471</v>
      </c>
      <c r="M304" s="154">
        <v>164464.64000000001</v>
      </c>
      <c r="N304" s="170">
        <f t="shared" si="22"/>
        <v>0.82306488495034558</v>
      </c>
      <c r="O304" s="170">
        <f t="shared" si="23"/>
        <v>0.89979472163006102</v>
      </c>
      <c r="P304" s="170">
        <f>IF(A304=$X$29,K304/(D304*Vendas!$U$25),IF(A304=$X$30,K304/(D304*Vendas!$U$26),IF(A304=$X$31,K304/(D304*Vendas!$U$27),IF(A304=$X$32,K304/(D304*Vendas!$U$28),IF(A304=$X$33,K304/(D304*Vendas!$U$29),IF(A304=$X$34,K304/(D304*Vendas!$U$30),IF(A304=$X$35,K304/(D304*Vendas!$U$31),IF(A304=$X$36,K304/(D304*Vendas!$U$32),0))))))))</f>
        <v>0.8914515687141138</v>
      </c>
      <c r="Q304" s="170">
        <f>IF(A304=$X$29,K304/(D304*Vendas!$U$25),IF(A304=$X$30,K304/(D304*Vendas!$U$26),IF(A304=$X$31,K304/(D304*Vendas!$U$27),IF(A304=$X$32,K304/(D304*Vendas!$U$28),IF(A304=$X$33,K304/(D304*Vendas!$U$29),IF(A304=$X$34,K304/(D304*Vendas!$U$30),IF(A304=$X$35,K304/(D304*Vendas!$U$31),IF(A304=$X$36,K304/(D304*Vendas!$U$32),0))))))))</f>
        <v>0.8914515687141138</v>
      </c>
    </row>
    <row r="305" spans="1:17">
      <c r="A305" s="263" t="s">
        <v>33</v>
      </c>
      <c r="B305" s="337" t="s">
        <v>527</v>
      </c>
      <c r="C305" s="73">
        <v>1</v>
      </c>
      <c r="D305" s="315">
        <v>332.84</v>
      </c>
      <c r="E305" s="166">
        <v>4812</v>
      </c>
      <c r="F305" s="74" t="s">
        <v>352</v>
      </c>
      <c r="G305" s="34" t="str">
        <f t="shared" si="20"/>
        <v>XXXIX1MARIA DAS GRACAS PICCININI</v>
      </c>
      <c r="H305" s="40">
        <v>42156</v>
      </c>
      <c r="I305" s="35">
        <v>174300</v>
      </c>
      <c r="J305" s="35" t="s">
        <v>834</v>
      </c>
      <c r="K305" s="35">
        <v>161207.79</v>
      </c>
      <c r="L305" s="170">
        <f t="shared" si="21"/>
        <v>0.92488691910499143</v>
      </c>
      <c r="M305" s="154">
        <v>264813.26</v>
      </c>
      <c r="N305" s="170">
        <f t="shared" si="22"/>
        <v>0.60876026374208003</v>
      </c>
      <c r="O305" s="170">
        <f t="shared" si="23"/>
        <v>0.80889734574837258</v>
      </c>
      <c r="P305" s="170">
        <f>IF(A305=$X$29,K305/(D305*Vendas!$U$25),IF(A305=$X$30,K305/(D305*Vendas!$U$26),IF(A305=$X$31,K305/(D305*Vendas!$U$27),IF(A305=$X$32,K305/(D305*Vendas!$U$28),IF(A305=$X$33,K305/(D305*Vendas!$U$29),IF(A305=$X$34,K305/(D305*Vendas!$U$30),IF(A305=$X$35,K305/(D305*Vendas!$U$31),IF(A305=$X$36,K305/(D305*Vendas!$U$32),0))))))))</f>
        <v>0.80139701918871387</v>
      </c>
      <c r="Q305" s="170">
        <f>IF(A305=$X$29,K305/(D305*Vendas!$U$25),IF(A305=$X$30,K305/(D305*Vendas!$U$26),IF(A305=$X$31,K305/(D305*Vendas!$U$27),IF(A305=$X$32,K305/(D305*Vendas!$U$28),IF(A305=$X$33,K305/(D305*Vendas!$U$29),IF(A305=$X$34,K305/(D305*Vendas!$U$30),IF(A305=$X$35,K305/(D305*Vendas!$U$31),IF(A305=$X$36,K305/(D305*Vendas!$U$32),0))))))))</f>
        <v>0.80139701918871387</v>
      </c>
    </row>
    <row r="306" spans="1:17">
      <c r="A306" s="263" t="s">
        <v>33</v>
      </c>
      <c r="B306" s="337" t="s">
        <v>527</v>
      </c>
      <c r="C306" s="166">
        <v>3</v>
      </c>
      <c r="D306" s="197">
        <v>250.5</v>
      </c>
      <c r="E306" s="166">
        <v>4567</v>
      </c>
      <c r="F306" s="338" t="s">
        <v>1231</v>
      </c>
      <c r="G306" s="34" t="str">
        <f t="shared" si="20"/>
        <v>XXXIX3VALDEIR MAGALHAES</v>
      </c>
      <c r="H306" s="40">
        <v>44032</v>
      </c>
      <c r="I306" s="35">
        <v>141940</v>
      </c>
      <c r="J306" s="35" t="s">
        <v>834</v>
      </c>
      <c r="K306" s="35">
        <v>46288.88</v>
      </c>
      <c r="L306" s="170">
        <f t="shared" si="21"/>
        <v>0.3261158235874313</v>
      </c>
      <c r="M306" s="154">
        <v>144512.73000000001</v>
      </c>
      <c r="N306" s="170">
        <f t="shared" si="22"/>
        <v>0.32031005157815506</v>
      </c>
      <c r="O306" s="170">
        <f t="shared" si="23"/>
        <v>0.3086113127981886</v>
      </c>
      <c r="P306" s="170">
        <f>IF(A306=$X$29,K306/(D306*Vendas!$U$25),IF(A306=$X$30,K306/(D306*Vendas!$U$26),IF(A306=$X$31,K306/(D306*Vendas!$U$27),IF(A306=$X$32,K306/(D306*Vendas!$U$28),IF(A306=$X$33,K306/(D306*Vendas!$U$29),IF(A306=$X$34,K306/(D306*Vendas!$U$30),IF(A306=$X$35,K306/(D306*Vendas!$U$31),IF(A306=$X$36,K306/(D306*Vendas!$U$32),0))))))))</f>
        <v>0.30574978081498017</v>
      </c>
      <c r="Q306" s="170">
        <f>IF(A306=$X$29,K306/(D306*Vendas!$U$25),IF(A306=$X$30,K306/(D306*Vendas!$U$26),IF(A306=$X$31,K306/(D306*Vendas!$U$27),IF(A306=$X$32,K306/(D306*Vendas!$U$28),IF(A306=$X$33,K306/(D306*Vendas!$U$29),IF(A306=$X$34,K306/(D306*Vendas!$U$30),IF(A306=$X$35,K306/(D306*Vendas!$U$31),IF(A306=$X$36,K306/(D306*Vendas!$U$32),0))))))))</f>
        <v>0.30574978081498017</v>
      </c>
    </row>
    <row r="307" spans="1:17">
      <c r="A307" s="263" t="s">
        <v>33</v>
      </c>
      <c r="B307" s="337" t="s">
        <v>527</v>
      </c>
      <c r="C307" s="73">
        <v>5</v>
      </c>
      <c r="D307" s="315">
        <v>250.5</v>
      </c>
      <c r="E307" s="166">
        <v>5165</v>
      </c>
      <c r="F307" s="74" t="s">
        <v>230</v>
      </c>
      <c r="G307" s="34" t="str">
        <f t="shared" si="20"/>
        <v>XXXIX5GUILHERME GALAN CORDEIRO</v>
      </c>
      <c r="H307" s="40">
        <v>42453</v>
      </c>
      <c r="I307" s="35">
        <v>126990.9</v>
      </c>
      <c r="J307" s="35" t="s">
        <v>1250</v>
      </c>
      <c r="K307" s="35">
        <v>192782.07</v>
      </c>
      <c r="L307" s="170">
        <f t="shared" si="21"/>
        <v>1.5180778307737013</v>
      </c>
      <c r="M307" s="154">
        <v>239557.5</v>
      </c>
      <c r="N307" s="170">
        <f t="shared" si="22"/>
        <v>0.80474236874236882</v>
      </c>
      <c r="O307" s="170">
        <f t="shared" si="23"/>
        <v>1.2852920119616698</v>
      </c>
      <c r="P307" s="170">
        <f>IF(A307=$X$29,K307/(D307*Vendas!$U$25),IF(A307=$X$30,K307/(D307*Vendas!$U$26),IF(A307=$X$31,K307/(D307*Vendas!$U$27),IF(A307=$X$32,K307/(D307*Vendas!$U$28),IF(A307=$X$33,K307/(D307*Vendas!$U$29),IF(A307=$X$34,K307/(D307*Vendas!$U$30),IF(A307=$X$35,K307/(D307*Vendas!$U$31),IF(A307=$X$36,K307/(D307*Vendas!$U$32),0))))))))</f>
        <v>1.2733744183820861</v>
      </c>
      <c r="Q307" s="170">
        <f>IF(A307=$X$29,K307/(D307*Vendas!$U$25),IF(A307=$X$30,K307/(D307*Vendas!$U$26),IF(A307=$X$31,K307/(D307*Vendas!$U$27),IF(A307=$X$32,K307/(D307*Vendas!$U$28),IF(A307=$X$33,K307/(D307*Vendas!$U$29),IF(A307=$X$34,K307/(D307*Vendas!$U$30),IF(A307=$X$35,K307/(D307*Vendas!$U$31),IF(A307=$X$36,K307/(D307*Vendas!$U$32),0))))))))</f>
        <v>1.2733744183820861</v>
      </c>
    </row>
    <row r="308" spans="1:17">
      <c r="A308" s="263" t="s">
        <v>33</v>
      </c>
      <c r="B308" s="337" t="s">
        <v>527</v>
      </c>
      <c r="C308" s="166">
        <v>7</v>
      </c>
      <c r="D308" s="197">
        <v>250.5</v>
      </c>
      <c r="E308" s="166">
        <v>5526</v>
      </c>
      <c r="F308" s="338" t="s">
        <v>102</v>
      </c>
      <c r="G308" s="34" t="str">
        <f t="shared" si="20"/>
        <v>XXXIX7CASSIA REGINA BACELAR</v>
      </c>
      <c r="H308" s="40">
        <v>42775</v>
      </c>
      <c r="I308" s="35">
        <v>133280.68</v>
      </c>
      <c r="J308" s="35" t="s">
        <v>834</v>
      </c>
      <c r="K308" s="35">
        <v>132115.21</v>
      </c>
      <c r="L308" s="170">
        <f t="shared" si="21"/>
        <v>0.99125552180556098</v>
      </c>
      <c r="M308" s="154">
        <v>219504.66</v>
      </c>
      <c r="N308" s="170">
        <f t="shared" si="22"/>
        <v>0.6018788393831821</v>
      </c>
      <c r="O308" s="170">
        <f t="shared" si="23"/>
        <v>0.8808216659964202</v>
      </c>
      <c r="P308" s="170">
        <f>IF(A308=$X$29,K308/(D308*Vendas!$U$25),IF(A308=$X$30,K308/(D308*Vendas!$U$26),IF(A308=$X$31,K308/(D308*Vendas!$U$27),IF(A308=$X$32,K308/(D308*Vendas!$U$28),IF(A308=$X$33,K308/(D308*Vendas!$U$29),IF(A308=$X$34,K308/(D308*Vendas!$U$30),IF(A308=$X$35,K308/(D308*Vendas!$U$31),IF(A308=$X$36,K308/(D308*Vendas!$U$32),0))))))))</f>
        <v>0.8726544366557385</v>
      </c>
      <c r="Q308" s="170">
        <f>IF(A308=$X$29,K308/(D308*Vendas!$U$25),IF(A308=$X$30,K308/(D308*Vendas!$U$26),IF(A308=$X$31,K308/(D308*Vendas!$U$27),IF(A308=$X$32,K308/(D308*Vendas!$U$28),IF(A308=$X$33,K308/(D308*Vendas!$U$29),IF(A308=$X$34,K308/(D308*Vendas!$U$30),IF(A308=$X$35,K308/(D308*Vendas!$U$31),IF(A308=$X$36,K308/(D308*Vendas!$U$32),0))))))))</f>
        <v>0.8726544366557385</v>
      </c>
    </row>
    <row r="309" spans="1:17">
      <c r="A309" s="263" t="s">
        <v>33</v>
      </c>
      <c r="B309" s="337" t="s">
        <v>527</v>
      </c>
      <c r="C309" s="73">
        <v>9</v>
      </c>
      <c r="D309" s="315">
        <v>250.5</v>
      </c>
      <c r="E309" s="166">
        <v>6158</v>
      </c>
      <c r="F309" s="74" t="s">
        <v>107</v>
      </c>
      <c r="G309" s="34" t="str">
        <f t="shared" si="20"/>
        <v>XXXIX9CEZAR ALVES MOREIRA</v>
      </c>
      <c r="H309" s="40">
        <v>43130</v>
      </c>
      <c r="I309" s="35">
        <v>141000</v>
      </c>
      <c r="J309" s="35" t="s">
        <v>834</v>
      </c>
      <c r="K309" s="35">
        <v>142350.22</v>
      </c>
      <c r="L309" s="170">
        <f t="shared" si="21"/>
        <v>1.0095760283687942</v>
      </c>
      <c r="M309" s="154">
        <v>211026.52000000002</v>
      </c>
      <c r="N309" s="170">
        <f t="shared" si="22"/>
        <v>0.67456080875522184</v>
      </c>
      <c r="O309" s="170">
        <f t="shared" si="23"/>
        <v>0.94905921835462359</v>
      </c>
      <c r="P309" s="170">
        <f>IF(A309=$X$29,K309/(D309*Vendas!$U$25),IF(A309=$X$30,K309/(D309*Vendas!$U$26),IF(A309=$X$31,K309/(D309*Vendas!$U$27),IF(A309=$X$32,K309/(D309*Vendas!$U$28),IF(A309=$X$33,K309/(D309*Vendas!$U$29),IF(A309=$X$34,K309/(D309*Vendas!$U$30),IF(A309=$X$35,K309/(D309*Vendas!$U$31),IF(A309=$X$36,K309/(D309*Vendas!$U$32),0))))))))</f>
        <v>0.94025927099476614</v>
      </c>
      <c r="Q309" s="170">
        <f>IF(A309=$X$29,K309/(D309*Vendas!$U$25),IF(A309=$X$30,K309/(D309*Vendas!$U$26),IF(A309=$X$31,K309/(D309*Vendas!$U$27),IF(A309=$X$32,K309/(D309*Vendas!$U$28),IF(A309=$X$33,K309/(D309*Vendas!$U$29),IF(A309=$X$34,K309/(D309*Vendas!$U$30),IF(A309=$X$35,K309/(D309*Vendas!$U$31),IF(A309=$X$36,K309/(D309*Vendas!$U$32),0))))))))</f>
        <v>0.94025927099476614</v>
      </c>
    </row>
    <row r="310" spans="1:17">
      <c r="A310" s="263" t="s">
        <v>33</v>
      </c>
      <c r="B310" s="337" t="s">
        <v>527</v>
      </c>
      <c r="C310" s="166">
        <v>10</v>
      </c>
      <c r="D310" s="197">
        <v>250.5</v>
      </c>
      <c r="E310" s="166">
        <v>5172</v>
      </c>
      <c r="F310" s="338" t="s">
        <v>477</v>
      </c>
      <c r="G310" s="34" t="str">
        <f t="shared" si="20"/>
        <v>XXXIX10WALMI PEREIRA DE SOUZA</v>
      </c>
      <c r="H310" s="40">
        <v>42464</v>
      </c>
      <c r="I310" s="35">
        <v>141099.45000000001</v>
      </c>
      <c r="J310" s="35" t="s">
        <v>834</v>
      </c>
      <c r="K310" s="35">
        <v>122898.7</v>
      </c>
      <c r="L310" s="170">
        <f t="shared" si="21"/>
        <v>0.87100764744299131</v>
      </c>
      <c r="M310" s="154">
        <v>234001.48</v>
      </c>
      <c r="N310" s="170">
        <f t="shared" si="22"/>
        <v>0.52520479784999652</v>
      </c>
      <c r="O310" s="170">
        <f t="shared" si="23"/>
        <v>0.81937452684512446</v>
      </c>
      <c r="P310" s="170">
        <f>IF(A310=$X$29,K310/(D310*Vendas!$U$25),IF(A310=$X$30,K310/(D310*Vendas!$U$26),IF(A310=$X$31,K310/(D310*Vendas!$U$27),IF(A310=$X$32,K310/(D310*Vendas!$U$28),IF(A310=$X$33,K310/(D310*Vendas!$U$29),IF(A310=$X$34,K310/(D310*Vendas!$U$30),IF(A310=$X$35,K310/(D310*Vendas!$U$31),IF(A310=$X$36,K310/(D310*Vendas!$U$32),0))))))))</f>
        <v>0.81177705287848845</v>
      </c>
      <c r="Q310" s="170">
        <f>IF(A310=$X$29,K310/(D310*Vendas!$U$25),IF(A310=$X$30,K310/(D310*Vendas!$U$26),IF(A310=$X$31,K310/(D310*Vendas!$U$27),IF(A310=$X$32,K310/(D310*Vendas!$U$28),IF(A310=$X$33,K310/(D310*Vendas!$U$29),IF(A310=$X$34,K310/(D310*Vendas!$U$30),IF(A310=$X$35,K310/(D310*Vendas!$U$31),IF(A310=$X$36,K310/(D310*Vendas!$U$32),0))))))))</f>
        <v>0.81177705287848845</v>
      </c>
    </row>
    <row r="311" spans="1:17">
      <c r="A311" s="263" t="s">
        <v>33</v>
      </c>
      <c r="B311" s="337" t="s">
        <v>527</v>
      </c>
      <c r="C311" s="73">
        <v>11</v>
      </c>
      <c r="D311" s="315">
        <v>250.5</v>
      </c>
      <c r="E311" s="166">
        <v>5164</v>
      </c>
      <c r="F311" s="74" t="s">
        <v>212</v>
      </c>
      <c r="G311" s="34" t="str">
        <f t="shared" si="20"/>
        <v>XXXIX11FERNANDO JUNIOR DE SOUZA</v>
      </c>
      <c r="H311" s="40">
        <v>42461</v>
      </c>
      <c r="I311" s="35">
        <v>141099.45000000001</v>
      </c>
      <c r="J311" s="35" t="s">
        <v>834</v>
      </c>
      <c r="K311" s="35">
        <v>142156.04</v>
      </c>
      <c r="L311" s="170">
        <f t="shared" si="21"/>
        <v>1.0074882644829586</v>
      </c>
      <c r="M311" s="154">
        <v>248062.17</v>
      </c>
      <c r="N311" s="170">
        <f t="shared" si="22"/>
        <v>0.57306617933722015</v>
      </c>
      <c r="O311" s="170">
        <f t="shared" si="23"/>
        <v>0.94776460624218639</v>
      </c>
      <c r="P311" s="170">
        <f>IF(A311=$X$29,K311/(D311*Vendas!$U$25),IF(A311=$X$30,K311/(D311*Vendas!$U$26),IF(A311=$X$31,K311/(D311*Vendas!$U$27),IF(A311=$X$32,K311/(D311*Vendas!$U$28),IF(A311=$X$33,K311/(D311*Vendas!$U$29),IF(A311=$X$34,K311/(D311*Vendas!$U$30),IF(A311=$X$35,K311/(D311*Vendas!$U$31),IF(A311=$X$36,K311/(D311*Vendas!$U$32),0))))))))</f>
        <v>0.93897666289453452</v>
      </c>
      <c r="Q311" s="170">
        <f>IF(A311=$X$29,K311/(D311*Vendas!$U$25),IF(A311=$X$30,K311/(D311*Vendas!$U$26),IF(A311=$X$31,K311/(D311*Vendas!$U$27),IF(A311=$X$32,K311/(D311*Vendas!$U$28),IF(A311=$X$33,K311/(D311*Vendas!$U$29),IF(A311=$X$34,K311/(D311*Vendas!$U$30),IF(A311=$X$35,K311/(D311*Vendas!$U$31),IF(A311=$X$36,K311/(D311*Vendas!$U$32),0))))))))</f>
        <v>0.93897666289453452</v>
      </c>
    </row>
    <row r="312" spans="1:17">
      <c r="A312" s="263" t="s">
        <v>33</v>
      </c>
      <c r="B312" s="337" t="s">
        <v>527</v>
      </c>
      <c r="C312" s="166">
        <v>12</v>
      </c>
      <c r="D312" s="197">
        <v>250.5</v>
      </c>
      <c r="E312" s="166">
        <v>4914</v>
      </c>
      <c r="F312" s="338" t="s">
        <v>271</v>
      </c>
      <c r="G312" s="34" t="str">
        <f t="shared" si="20"/>
        <v>XXXIX12JOSE CARLOS OLIVEIRA</v>
      </c>
      <c r="H312" s="40">
        <v>44166</v>
      </c>
      <c r="I312" s="35">
        <v>159799.6</v>
      </c>
      <c r="J312" s="35" t="s">
        <v>834</v>
      </c>
      <c r="K312" s="35">
        <v>85692.73</v>
      </c>
      <c r="L312" s="170">
        <f t="shared" si="21"/>
        <v>0.53625121714947965</v>
      </c>
      <c r="M312" s="154">
        <v>165074.23000000001</v>
      </c>
      <c r="N312" s="170">
        <f t="shared" si="22"/>
        <v>0.5191163393583601</v>
      </c>
      <c r="O312" s="170">
        <f t="shared" si="23"/>
        <v>0.57131963232985383</v>
      </c>
      <c r="P312" s="170">
        <f>IF(A312=$X$29,K312/(D312*Vendas!$U$25),IF(A312=$X$30,K312/(D312*Vendas!$U$26),IF(A312=$X$31,K312/(D312*Vendas!$U$27),IF(A312=$X$32,K312/(D312*Vendas!$U$28),IF(A312=$X$33,K312/(D312*Vendas!$U$29),IF(A312=$X$34,K312/(D312*Vendas!$U$30),IF(A312=$X$35,K312/(D312*Vendas!$U$31),IF(A312=$X$36,K312/(D312*Vendas!$U$32),0))))))))</f>
        <v>0.5660221939899448</v>
      </c>
      <c r="Q312" s="170">
        <f>IF(A312=$X$29,K312/(D312*Vendas!$U$25),IF(A312=$X$30,K312/(D312*Vendas!$U$26),IF(A312=$X$31,K312/(D312*Vendas!$U$27),IF(A312=$X$32,K312/(D312*Vendas!$U$28),IF(A312=$X$33,K312/(D312*Vendas!$U$29),IF(A312=$X$34,K312/(D312*Vendas!$U$30),IF(A312=$X$35,K312/(D312*Vendas!$U$31),IF(A312=$X$36,K312/(D312*Vendas!$U$32),0))))))))</f>
        <v>0.5660221939899448</v>
      </c>
    </row>
    <row r="313" spans="1:17">
      <c r="A313" s="263" t="s">
        <v>33</v>
      </c>
      <c r="B313" s="337" t="s">
        <v>527</v>
      </c>
      <c r="C313" s="73">
        <v>13</v>
      </c>
      <c r="D313" s="315">
        <v>250.5</v>
      </c>
      <c r="E313" s="166">
        <v>4813</v>
      </c>
      <c r="F313" s="74" t="s">
        <v>1347</v>
      </c>
      <c r="G313" s="34" t="str">
        <f t="shared" si="20"/>
        <v>XXXIX13EDUARDO GUIMARAES REZENDE JUNIOR</v>
      </c>
      <c r="H313" s="40">
        <v>44105</v>
      </c>
      <c r="I313" s="35">
        <v>147580.4</v>
      </c>
      <c r="J313" s="35" t="s">
        <v>1249</v>
      </c>
      <c r="K313" s="35">
        <v>115523.98</v>
      </c>
      <c r="L313" s="170">
        <f t="shared" si="21"/>
        <v>0.78278673861840731</v>
      </c>
      <c r="M313" s="154">
        <v>158288.35</v>
      </c>
      <c r="N313" s="170">
        <f t="shared" si="22"/>
        <v>0.72983248609262774</v>
      </c>
      <c r="O313" s="170">
        <f t="shared" si="23"/>
        <v>0.77020673491066727</v>
      </c>
      <c r="P313" s="170">
        <f>IF(A313=$X$29,K313/(D313*Vendas!$U$25),IF(A313=$X$30,K313/(D313*Vendas!$U$26),IF(A313=$X$31,K313/(D313*Vendas!$U$27),IF(A313=$X$32,K313/(D313*Vendas!$U$28),IF(A313=$X$33,K313/(D313*Vendas!$U$29),IF(A313=$X$34,K313/(D313*Vendas!$U$30),IF(A313=$X$35,K313/(D313*Vendas!$U$31),IF(A313=$X$36,K313/(D313*Vendas!$U$32),0))))))))</f>
        <v>0.76306515871358638</v>
      </c>
      <c r="Q313" s="170">
        <f>IF(A313=$X$29,K313/(D313*Vendas!$U$25),IF(A313=$X$30,K313/(D313*Vendas!$U$26),IF(A313=$X$31,K313/(D313*Vendas!$U$27),IF(A313=$X$32,K313/(D313*Vendas!$U$28),IF(A313=$X$33,K313/(D313*Vendas!$U$29),IF(A313=$X$34,K313/(D313*Vendas!$U$30),IF(A313=$X$35,K313/(D313*Vendas!$U$31),IF(A313=$X$36,K313/(D313*Vendas!$U$32),0))))))))</f>
        <v>0.76306515871358638</v>
      </c>
    </row>
    <row r="314" spans="1:17">
      <c r="A314" s="263" t="s">
        <v>33</v>
      </c>
      <c r="B314" s="337" t="s">
        <v>527</v>
      </c>
      <c r="C314" s="166">
        <v>19</v>
      </c>
      <c r="D314" s="197">
        <v>250.5</v>
      </c>
      <c r="E314" s="166">
        <v>6631</v>
      </c>
      <c r="F314" s="338" t="s">
        <v>809</v>
      </c>
      <c r="G314" s="34" t="str">
        <f t="shared" si="20"/>
        <v>XXXIX19CARLOS ROBERTO GOMES DOS SANTOS</v>
      </c>
      <c r="H314" s="40">
        <v>43357</v>
      </c>
      <c r="I314" s="35">
        <v>152082.60999999999</v>
      </c>
      <c r="J314" s="35" t="s">
        <v>834</v>
      </c>
      <c r="K314" s="35">
        <v>145400.79</v>
      </c>
      <c r="L314" s="170">
        <f t="shared" si="21"/>
        <v>0.9560645362411917</v>
      </c>
      <c r="M314" s="154">
        <v>210102.77000000002</v>
      </c>
      <c r="N314" s="170">
        <f t="shared" si="22"/>
        <v>0.69204604013550131</v>
      </c>
      <c r="O314" s="170">
        <f t="shared" si="23"/>
        <v>0.96939758930857134</v>
      </c>
      <c r="P314" s="170">
        <f>IF(A314=$X$29,K314/(D314*Vendas!$U$25),IF(A314=$X$30,K314/(D314*Vendas!$U$26),IF(A314=$X$31,K314/(D314*Vendas!$U$27),IF(A314=$X$32,K314/(D314*Vendas!$U$28),IF(A314=$X$33,K314/(D314*Vendas!$U$29),IF(A314=$X$34,K314/(D314*Vendas!$U$30),IF(A314=$X$35,K314/(D314*Vendas!$U$31),IF(A314=$X$36,K314/(D314*Vendas!$U$32),0))))))))</f>
        <v>0.9604090587809635</v>
      </c>
      <c r="Q314" s="170">
        <f>IF(A314=$X$29,K314/(D314*Vendas!$U$25),IF(A314=$X$30,K314/(D314*Vendas!$U$26),IF(A314=$X$31,K314/(D314*Vendas!$U$27),IF(A314=$X$32,K314/(D314*Vendas!$U$28),IF(A314=$X$33,K314/(D314*Vendas!$U$29),IF(A314=$X$34,K314/(D314*Vendas!$U$30),IF(A314=$X$35,K314/(D314*Vendas!$U$31),IF(A314=$X$36,K314/(D314*Vendas!$U$32),0))))))))</f>
        <v>0.9604090587809635</v>
      </c>
    </row>
    <row r="315" spans="1:17">
      <c r="A315" s="263" t="s">
        <v>33</v>
      </c>
      <c r="B315" s="337" t="s">
        <v>527</v>
      </c>
      <c r="C315" s="73">
        <v>20</v>
      </c>
      <c r="D315" s="315">
        <v>250.5</v>
      </c>
      <c r="E315" s="166">
        <v>4734</v>
      </c>
      <c r="F315" s="74" t="s">
        <v>1268</v>
      </c>
      <c r="G315" s="34" t="str">
        <f t="shared" si="20"/>
        <v>XXXIX20MURILO COMAR ALENCAR</v>
      </c>
      <c r="H315" s="40">
        <v>44046</v>
      </c>
      <c r="I315" s="35">
        <v>143820</v>
      </c>
      <c r="J315" s="35" t="s">
        <v>834</v>
      </c>
      <c r="K315" s="35">
        <v>137142.63</v>
      </c>
      <c r="L315" s="170">
        <f t="shared" si="21"/>
        <v>0.95357133917396752</v>
      </c>
      <c r="M315" s="154">
        <v>150494.12</v>
      </c>
      <c r="N315" s="170">
        <f t="shared" si="22"/>
        <v>0.91128231455155861</v>
      </c>
      <c r="O315" s="170">
        <f t="shared" si="23"/>
        <v>0.91433983896124194</v>
      </c>
      <c r="P315" s="170">
        <f>IF(A315=$X$29,K315/(D315*Vendas!$U$25),IF(A315=$X$30,K315/(D315*Vendas!$U$26),IF(A315=$X$31,K315/(D315*Vendas!$U$27),IF(A315=$X$32,K315/(D315*Vendas!$U$28),IF(A315=$X$33,K315/(D315*Vendas!$U$29),IF(A315=$X$34,K315/(D315*Vendas!$U$30),IF(A315=$X$35,K315/(D315*Vendas!$U$31),IF(A315=$X$36,K315/(D315*Vendas!$U$32),0))))))))</f>
        <v>0.90586181957502387</v>
      </c>
      <c r="Q315" s="170">
        <f>IF(A315=$X$29,K315/(D315*Vendas!$U$25),IF(A315=$X$30,K315/(D315*Vendas!$U$26),IF(A315=$X$31,K315/(D315*Vendas!$U$27),IF(A315=$X$32,K315/(D315*Vendas!$U$28),IF(A315=$X$33,K315/(D315*Vendas!$U$29),IF(A315=$X$34,K315/(D315*Vendas!$U$30),IF(A315=$X$35,K315/(D315*Vendas!$U$31),IF(A315=$X$36,K315/(D315*Vendas!$U$32),0))))))))</f>
        <v>0.90586181957502387</v>
      </c>
    </row>
    <row r="316" spans="1:17">
      <c r="A316" s="263" t="s">
        <v>33</v>
      </c>
      <c r="B316" s="337" t="s">
        <v>527</v>
      </c>
      <c r="C316" s="166">
        <v>23</v>
      </c>
      <c r="D316" s="197">
        <v>351.9</v>
      </c>
      <c r="E316" s="166">
        <v>5115</v>
      </c>
      <c r="F316" s="338" t="s">
        <v>1500</v>
      </c>
      <c r="G316" s="34" t="str">
        <f t="shared" si="20"/>
        <v>XXXIX23PAULO HENRIQUE GOMES PERUSSI</v>
      </c>
      <c r="H316" s="40">
        <v>44271</v>
      </c>
      <c r="I316" s="35">
        <v>214320</v>
      </c>
      <c r="J316" s="35" t="s">
        <v>834</v>
      </c>
      <c r="K316" s="35">
        <v>153129.46</v>
      </c>
      <c r="L316" s="170">
        <f t="shared" si="21"/>
        <v>0.71448982829413954</v>
      </c>
      <c r="M316" s="154">
        <v>214689.46</v>
      </c>
      <c r="N316" s="170">
        <f t="shared" si="22"/>
        <v>0.7132602597258384</v>
      </c>
      <c r="O316" s="170">
        <f t="shared" si="23"/>
        <v>0.7267455540570702</v>
      </c>
      <c r="P316" s="170">
        <f>IF(A316=$X$29,K316/(D316*Vendas!$U$25),IF(A316=$X$30,K316/(D316*Vendas!$U$26),IF(A316=$X$31,K316/(D316*Vendas!$U$27),IF(A316=$X$32,K316/(D316*Vendas!$U$28),IF(A316=$X$33,K316/(D316*Vendas!$U$29),IF(A316=$X$34,K316/(D316*Vendas!$U$30),IF(A316=$X$35,K316/(D316*Vendas!$U$31),IF(A316=$X$36,K316/(D316*Vendas!$U$32),0))))))))</f>
        <v>0.72000696230638883</v>
      </c>
      <c r="Q316" s="170">
        <f>IF(A316=$X$29,K316/(D316*Vendas!$U$25),IF(A316=$X$30,K316/(D316*Vendas!$U$26),IF(A316=$X$31,K316/(D316*Vendas!$U$27),IF(A316=$X$32,K316/(D316*Vendas!$U$28),IF(A316=$X$33,K316/(D316*Vendas!$U$29),IF(A316=$X$34,K316/(D316*Vendas!$U$30),IF(A316=$X$35,K316/(D316*Vendas!$U$31),IF(A316=$X$36,K316/(D316*Vendas!$U$32),0))))))))</f>
        <v>0.72000696230638883</v>
      </c>
    </row>
    <row r="317" spans="1:17">
      <c r="A317" s="263" t="s">
        <v>33</v>
      </c>
      <c r="B317" s="337" t="s">
        <v>527</v>
      </c>
      <c r="C317" s="73">
        <v>24</v>
      </c>
      <c r="D317" s="315">
        <v>256.75</v>
      </c>
      <c r="E317" s="166">
        <v>5962</v>
      </c>
      <c r="F317" s="74" t="s">
        <v>137</v>
      </c>
      <c r="G317" s="34" t="str">
        <f t="shared" si="20"/>
        <v>XXXIX24DEIVIN BUSUTTIL</v>
      </c>
      <c r="H317" s="40">
        <v>43038</v>
      </c>
      <c r="I317" s="35">
        <v>140999.6</v>
      </c>
      <c r="J317" s="35" t="s">
        <v>834</v>
      </c>
      <c r="K317" s="35">
        <v>131199.92000000001</v>
      </c>
      <c r="L317" s="170">
        <f t="shared" si="21"/>
        <v>0.93049852623695395</v>
      </c>
      <c r="M317" s="154">
        <v>212237.04</v>
      </c>
      <c r="N317" s="170">
        <f t="shared" si="22"/>
        <v>0.6181763560215503</v>
      </c>
      <c r="O317" s="170">
        <f t="shared" si="23"/>
        <v>0.8534262902154639</v>
      </c>
      <c r="P317" s="170">
        <f>IF(A317=$X$29,K317/(D317*Vendas!$U$25),IF(A317=$X$30,K317/(D317*Vendas!$U$26),IF(A317=$X$31,K317/(D317*Vendas!$U$27),IF(A317=$X$32,K317/(D317*Vendas!$U$28),IF(A317=$X$33,K317/(D317*Vendas!$U$29),IF(A317=$X$34,K317/(D317*Vendas!$U$30),IF(A317=$X$35,K317/(D317*Vendas!$U$31),IF(A317=$X$36,K317/(D317*Vendas!$U$32),0))))))))</f>
        <v>0.84551307860108793</v>
      </c>
      <c r="Q317" s="170">
        <f>IF(A317=$X$29,K317/(D317*Vendas!$U$25),IF(A317=$X$30,K317/(D317*Vendas!$U$26),IF(A317=$X$31,K317/(D317*Vendas!$U$27),IF(A317=$X$32,K317/(D317*Vendas!$U$28),IF(A317=$X$33,K317/(D317*Vendas!$U$29),IF(A317=$X$34,K317/(D317*Vendas!$U$30),IF(A317=$X$35,K317/(D317*Vendas!$U$31),IF(A317=$X$36,K317/(D317*Vendas!$U$32),0))))))))</f>
        <v>0.84551307860108793</v>
      </c>
    </row>
    <row r="318" spans="1:17">
      <c r="A318" s="263" t="s">
        <v>33</v>
      </c>
      <c r="B318" s="337" t="s">
        <v>527</v>
      </c>
      <c r="C318" s="166">
        <v>25</v>
      </c>
      <c r="D318" s="197">
        <v>256.75</v>
      </c>
      <c r="E318" s="166">
        <v>5982</v>
      </c>
      <c r="F318" s="338" t="s">
        <v>300</v>
      </c>
      <c r="G318" s="34" t="str">
        <f t="shared" si="20"/>
        <v>XXXIX25LEANDRO NOGUEIRA SILVA</v>
      </c>
      <c r="H318" s="40">
        <v>43046</v>
      </c>
      <c r="I318" s="35">
        <v>133479.79999999999</v>
      </c>
      <c r="J318" s="35" t="s">
        <v>834</v>
      </c>
      <c r="K318" s="35">
        <v>114456.51000000001</v>
      </c>
      <c r="L318" s="170">
        <f t="shared" si="21"/>
        <v>0.85748188115355295</v>
      </c>
      <c r="M318" s="154">
        <v>195704.82</v>
      </c>
      <c r="N318" s="170">
        <f t="shared" si="22"/>
        <v>0.58484257056111344</v>
      </c>
      <c r="O318" s="170">
        <f t="shared" si="23"/>
        <v>0.74451413324268145</v>
      </c>
      <c r="P318" s="170">
        <f>IF(A318=$X$29,K318/(D318*Vendas!$U$25),IF(A318=$X$30,K318/(D318*Vendas!$U$26),IF(A318=$X$31,K318/(D318*Vendas!$U$27),IF(A318=$X$32,K318/(D318*Vendas!$U$28),IF(A318=$X$33,K318/(D318*Vendas!$U$29),IF(A318=$X$34,K318/(D318*Vendas!$U$30),IF(A318=$X$35,K318/(D318*Vendas!$U$31),IF(A318=$X$36,K318/(D318*Vendas!$U$32),0))))))))</f>
        <v>0.73761078616538955</v>
      </c>
      <c r="Q318" s="170">
        <f>IF(A318=$X$29,K318/(D318*Vendas!$U$25),IF(A318=$X$30,K318/(D318*Vendas!$U$26),IF(A318=$X$31,K318/(D318*Vendas!$U$27),IF(A318=$X$32,K318/(D318*Vendas!$U$28),IF(A318=$X$33,K318/(D318*Vendas!$U$29),IF(A318=$X$34,K318/(D318*Vendas!$U$30),IF(A318=$X$35,K318/(D318*Vendas!$U$31),IF(A318=$X$36,K318/(D318*Vendas!$U$32),0))))))))</f>
        <v>0.73761078616538955</v>
      </c>
    </row>
    <row r="319" spans="1:17">
      <c r="A319" s="263" t="s">
        <v>33</v>
      </c>
      <c r="B319" s="337" t="s">
        <v>527</v>
      </c>
      <c r="C319" s="73">
        <v>31</v>
      </c>
      <c r="D319" s="315">
        <v>256.75</v>
      </c>
      <c r="E319" s="166">
        <v>5192</v>
      </c>
      <c r="F319" s="74" t="s">
        <v>277</v>
      </c>
      <c r="G319" s="34" t="str">
        <f t="shared" si="20"/>
        <v>XXXIX31JOSE ORLANDO TAVARES CELESTINO</v>
      </c>
      <c r="H319" s="40">
        <v>42475</v>
      </c>
      <c r="I319" s="35">
        <v>145800.20000000001</v>
      </c>
      <c r="J319" s="35" t="s">
        <v>1250</v>
      </c>
      <c r="K319" s="35">
        <v>237795.29</v>
      </c>
      <c r="L319" s="170">
        <f t="shared" si="21"/>
        <v>1.6309668299494788</v>
      </c>
      <c r="M319" s="154">
        <v>270995.28999999998</v>
      </c>
      <c r="N319" s="170">
        <f t="shared" si="22"/>
        <v>0.87748864565136919</v>
      </c>
      <c r="O319" s="170">
        <f t="shared" si="23"/>
        <v>1.5468054567061504</v>
      </c>
      <c r="P319" s="170">
        <f>IF(A319=$X$29,K319/(D319*Vendas!$U$25),IF(A319=$X$30,K319/(D319*Vendas!$U$26),IF(A319=$X$31,K319/(D319*Vendas!$U$27),IF(A319=$X$32,K319/(D319*Vendas!$U$28),IF(A319=$X$33,K319/(D319*Vendas!$U$29),IF(A319=$X$34,K319/(D319*Vendas!$U$30),IF(A319=$X$35,K319/(D319*Vendas!$U$31),IF(A319=$X$36,K319/(D319*Vendas!$U$32),0))))))))</f>
        <v>1.5324630359891873</v>
      </c>
      <c r="Q319" s="170">
        <f>IF(A319=$X$29,K319/(D319*Vendas!$U$25),IF(A319=$X$30,K319/(D319*Vendas!$U$26),IF(A319=$X$31,K319/(D319*Vendas!$U$27),IF(A319=$X$32,K319/(D319*Vendas!$U$28),IF(A319=$X$33,K319/(D319*Vendas!$U$29),IF(A319=$X$34,K319/(D319*Vendas!$U$30),IF(A319=$X$35,K319/(D319*Vendas!$U$31),IF(A319=$X$36,K319/(D319*Vendas!$U$32),0))))))))</f>
        <v>1.5324630359891873</v>
      </c>
    </row>
    <row r="320" spans="1:17">
      <c r="A320" s="263" t="s">
        <v>33</v>
      </c>
      <c r="B320" s="337" t="s">
        <v>527</v>
      </c>
      <c r="C320" s="166">
        <v>34</v>
      </c>
      <c r="D320" s="197">
        <v>256.75</v>
      </c>
      <c r="E320" s="166">
        <v>5963</v>
      </c>
      <c r="F320" s="338" t="s">
        <v>365</v>
      </c>
      <c r="G320" s="34" t="str">
        <f t="shared" si="20"/>
        <v>XXXIX34MARVIN PARREIRA BUSUTTIL</v>
      </c>
      <c r="H320" s="40">
        <v>43038</v>
      </c>
      <c r="I320" s="35">
        <v>140999.6</v>
      </c>
      <c r="J320" s="35" t="s">
        <v>834</v>
      </c>
      <c r="K320" s="35">
        <v>131199.92000000001</v>
      </c>
      <c r="L320" s="170">
        <f t="shared" si="21"/>
        <v>0.93049852623695395</v>
      </c>
      <c r="M320" s="154">
        <v>212582.21</v>
      </c>
      <c r="N320" s="170">
        <f t="shared" si="22"/>
        <v>0.61717262229986236</v>
      </c>
      <c r="O320" s="170">
        <f t="shared" si="23"/>
        <v>0.8534262902154639</v>
      </c>
      <c r="P320" s="170">
        <f>IF(A320=$X$29,K320/(D320*Vendas!$U$25),IF(A320=$X$30,K320/(D320*Vendas!$U$26),IF(A320=$X$31,K320/(D320*Vendas!$U$27),IF(A320=$X$32,K320/(D320*Vendas!$U$28),IF(A320=$X$33,K320/(D320*Vendas!$U$29),IF(A320=$X$34,K320/(D320*Vendas!$U$30),IF(A320=$X$35,K320/(D320*Vendas!$U$31),IF(A320=$X$36,K320/(D320*Vendas!$U$32),0))))))))</f>
        <v>0.84551307860108793</v>
      </c>
      <c r="Q320" s="170">
        <f>IF(A320=$X$29,K320/(D320*Vendas!$U$25),IF(A320=$X$30,K320/(D320*Vendas!$U$26),IF(A320=$X$31,K320/(D320*Vendas!$U$27),IF(A320=$X$32,K320/(D320*Vendas!$U$28),IF(A320=$X$33,K320/(D320*Vendas!$U$29),IF(A320=$X$34,K320/(D320*Vendas!$U$30),IF(A320=$X$35,K320/(D320*Vendas!$U$31),IF(A320=$X$36,K320/(D320*Vendas!$U$32),0))))))))</f>
        <v>0.84551307860108793</v>
      </c>
    </row>
    <row r="321" spans="1:17">
      <c r="A321" s="263" t="s">
        <v>33</v>
      </c>
      <c r="B321" s="337" t="s">
        <v>527</v>
      </c>
      <c r="C321" s="73">
        <v>35</v>
      </c>
      <c r="D321" s="315">
        <v>256.75</v>
      </c>
      <c r="E321" s="166">
        <v>6072</v>
      </c>
      <c r="F321" s="74" t="s">
        <v>428</v>
      </c>
      <c r="G321" s="34" t="str">
        <f t="shared" si="20"/>
        <v>XXXIX35SAMUEL ANTONIO VIANA</v>
      </c>
      <c r="H321" s="40">
        <v>43102</v>
      </c>
      <c r="I321" s="35">
        <v>140999.6</v>
      </c>
      <c r="J321" s="35" t="s">
        <v>834</v>
      </c>
      <c r="K321" s="35">
        <v>69648.100000000006</v>
      </c>
      <c r="L321" s="170">
        <f t="shared" si="21"/>
        <v>0.49395955733207758</v>
      </c>
      <c r="M321" s="154">
        <v>202402.12</v>
      </c>
      <c r="N321" s="170">
        <f t="shared" si="22"/>
        <v>0.34410756171921525</v>
      </c>
      <c r="O321" s="170">
        <f t="shared" si="23"/>
        <v>0.4530453951767322</v>
      </c>
      <c r="P321" s="170">
        <f>IF(A321=$X$29,K321/(D321*Vendas!$U$25),IF(A321=$X$30,K321/(D321*Vendas!$U$26),IF(A321=$X$31,K321/(D321*Vendas!$U$27),IF(A321=$X$32,K321/(D321*Vendas!$U$28),IF(A321=$X$33,K321/(D321*Vendas!$U$29),IF(A321=$X$34,K321/(D321*Vendas!$U$30),IF(A321=$X$35,K321/(D321*Vendas!$U$31),IF(A321=$X$36,K321/(D321*Vendas!$U$32),0))))))))</f>
        <v>0.44884462924761259</v>
      </c>
      <c r="Q321" s="170">
        <f>IF(A321=$X$29,K321/(D321*Vendas!$U$25),IF(A321=$X$30,K321/(D321*Vendas!$U$26),IF(A321=$X$31,K321/(D321*Vendas!$U$27),IF(A321=$X$32,K321/(D321*Vendas!$U$28),IF(A321=$X$33,K321/(D321*Vendas!$U$29),IF(A321=$X$34,K321/(D321*Vendas!$U$30),IF(A321=$X$35,K321/(D321*Vendas!$U$31),IF(A321=$X$36,K321/(D321*Vendas!$U$32),0))))))))</f>
        <v>0.44884462924761259</v>
      </c>
    </row>
    <row r="322" spans="1:17">
      <c r="A322" s="263" t="s">
        <v>33</v>
      </c>
      <c r="B322" s="337" t="s">
        <v>527</v>
      </c>
      <c r="C322" s="166">
        <v>36</v>
      </c>
      <c r="D322" s="197">
        <v>256.75</v>
      </c>
      <c r="E322" s="166">
        <v>6200</v>
      </c>
      <c r="F322" s="338" t="s">
        <v>443</v>
      </c>
      <c r="G322" s="34" t="str">
        <f t="shared" si="20"/>
        <v>XXXIX36SILVANA SOARES DE SOUZA</v>
      </c>
      <c r="H322" s="40">
        <v>43150</v>
      </c>
      <c r="I322" s="35">
        <v>152574.39000000001</v>
      </c>
      <c r="J322" s="35" t="s">
        <v>1250</v>
      </c>
      <c r="K322" s="35">
        <v>165430.17000000001</v>
      </c>
      <c r="L322" s="170">
        <f t="shared" si="21"/>
        <v>1.0842590948585802</v>
      </c>
      <c r="M322" s="154">
        <v>223845.45</v>
      </c>
      <c r="N322" s="170">
        <f t="shared" si="22"/>
        <v>0.73903744748888134</v>
      </c>
      <c r="O322" s="170">
        <f t="shared" si="23"/>
        <v>1.0760864509125732</v>
      </c>
      <c r="P322" s="170">
        <f>IF(A322=$X$29,K322/(D322*Vendas!$U$25),IF(A322=$X$30,K322/(D322*Vendas!$U$26),IF(A322=$X$31,K322/(D322*Vendas!$U$27),IF(A322=$X$32,K322/(D322*Vendas!$U$28),IF(A322=$X$33,K322/(D322*Vendas!$U$29),IF(A322=$X$34,K322/(D322*Vendas!$U$30),IF(A322=$X$35,K322/(D322*Vendas!$U$31),IF(A322=$X$36,K322/(D322*Vendas!$U$32),0))))))))</f>
        <v>1.0661086708757241</v>
      </c>
      <c r="Q322" s="170">
        <f>IF(A322=$X$29,K322/(D322*Vendas!$U$25),IF(A322=$X$30,K322/(D322*Vendas!$U$26),IF(A322=$X$31,K322/(D322*Vendas!$U$27),IF(A322=$X$32,K322/(D322*Vendas!$U$28),IF(A322=$X$33,K322/(D322*Vendas!$U$29),IF(A322=$X$34,K322/(D322*Vendas!$U$30),IF(A322=$X$35,K322/(D322*Vendas!$U$31),IF(A322=$X$36,K322/(D322*Vendas!$U$32),0))))))))</f>
        <v>1.0661086708757241</v>
      </c>
    </row>
    <row r="323" spans="1:17">
      <c r="A323" s="263" t="s">
        <v>33</v>
      </c>
      <c r="B323" s="337" t="s">
        <v>527</v>
      </c>
      <c r="C323" s="73">
        <v>37</v>
      </c>
      <c r="D323" s="315">
        <v>256.75</v>
      </c>
      <c r="E323" s="166">
        <v>5815</v>
      </c>
      <c r="F323" s="74" t="s">
        <v>479</v>
      </c>
      <c r="G323" s="34" t="str">
        <f t="shared" si="20"/>
        <v>XXXIX37WELINGTON MARQUES MOREIRA JUNIOR</v>
      </c>
      <c r="H323" s="40">
        <v>42982</v>
      </c>
      <c r="I323" s="35">
        <v>124080</v>
      </c>
      <c r="J323" s="35" t="s">
        <v>834</v>
      </c>
      <c r="K323" s="35">
        <v>124865.78</v>
      </c>
      <c r="L323" s="170">
        <f t="shared" si="21"/>
        <v>1.0063328497743391</v>
      </c>
      <c r="M323" s="154">
        <v>191606.5</v>
      </c>
      <c r="N323" s="170">
        <f t="shared" si="22"/>
        <v>0.65167820507133112</v>
      </c>
      <c r="O323" s="170">
        <f t="shared" si="23"/>
        <v>0.81222411873620237</v>
      </c>
      <c r="P323" s="170">
        <f>IF(A323=$X$29,K323/(D323*Vendas!$U$25),IF(A323=$X$30,K323/(D323*Vendas!$U$26),IF(A323=$X$31,K323/(D323*Vendas!$U$27),IF(A323=$X$32,K323/(D323*Vendas!$U$28),IF(A323=$X$33,K323/(D323*Vendas!$U$29),IF(A323=$X$34,K323/(D323*Vendas!$U$30),IF(A323=$X$35,K323/(D323*Vendas!$U$31),IF(A323=$X$36,K323/(D323*Vendas!$U$32),0))))))))</f>
        <v>0.80469294538995262</v>
      </c>
      <c r="Q323" s="170">
        <f>IF(A323=$X$29,K323/(D323*Vendas!$U$25),IF(A323=$X$30,K323/(D323*Vendas!$U$26),IF(A323=$X$31,K323/(D323*Vendas!$U$27),IF(A323=$X$32,K323/(D323*Vendas!$U$28),IF(A323=$X$33,K323/(D323*Vendas!$U$29),IF(A323=$X$34,K323/(D323*Vendas!$U$30),IF(A323=$X$35,K323/(D323*Vendas!$U$31),IF(A323=$X$36,K323/(D323*Vendas!$U$32),0))))))))</f>
        <v>0.80469294538995262</v>
      </c>
    </row>
    <row r="324" spans="1:17">
      <c r="A324" s="263" t="s">
        <v>33</v>
      </c>
      <c r="B324" s="337" t="s">
        <v>527</v>
      </c>
      <c r="C324" s="166">
        <v>38</v>
      </c>
      <c r="D324" s="197">
        <v>256.75</v>
      </c>
      <c r="E324" s="166">
        <v>5005</v>
      </c>
      <c r="F324" s="338" t="s">
        <v>1410</v>
      </c>
      <c r="G324" s="34" t="str">
        <f t="shared" si="20"/>
        <v>XXXIX38THIARA RAMOS DA SILVA</v>
      </c>
      <c r="H324" s="40">
        <v>44222</v>
      </c>
      <c r="I324" s="35">
        <v>187698.4</v>
      </c>
      <c r="J324" s="35" t="s">
        <v>834</v>
      </c>
      <c r="K324" s="35">
        <v>187277.63</v>
      </c>
      <c r="L324" s="170">
        <f t="shared" si="21"/>
        <v>0.99775826538745138</v>
      </c>
      <c r="M324" s="154">
        <v>195264.83000000002</v>
      </c>
      <c r="N324" s="170">
        <f t="shared" si="22"/>
        <v>0.95909555243512101</v>
      </c>
      <c r="O324" s="170">
        <f t="shared" si="23"/>
        <v>1.218199317585287</v>
      </c>
      <c r="P324" s="170">
        <f>IF(A324=$X$29,K324/(D324*Vendas!$U$25),IF(A324=$X$30,K324/(D324*Vendas!$U$26),IF(A324=$X$31,K324/(D324*Vendas!$U$27),IF(A324=$X$32,K324/(D324*Vendas!$U$28),IF(A324=$X$33,K324/(D324*Vendas!$U$29),IF(A324=$X$34,K324/(D324*Vendas!$U$30),IF(A324=$X$35,K324/(D324*Vendas!$U$31),IF(A324=$X$36,K324/(D324*Vendas!$U$32),0))))))))</f>
        <v>1.2069038265756218</v>
      </c>
      <c r="Q324" s="170">
        <f>IF(A324=$X$29,K324/(D324*Vendas!$U$25),IF(A324=$X$30,K324/(D324*Vendas!$U$26),IF(A324=$X$31,K324/(D324*Vendas!$U$27),IF(A324=$X$32,K324/(D324*Vendas!$U$28),IF(A324=$X$33,K324/(D324*Vendas!$U$29),IF(A324=$X$34,K324/(D324*Vendas!$U$30),IF(A324=$X$35,K324/(D324*Vendas!$U$31),IF(A324=$X$36,K324/(D324*Vendas!$U$32),0))))))))</f>
        <v>1.2069038265756218</v>
      </c>
    </row>
    <row r="325" spans="1:17">
      <c r="A325" s="263" t="s">
        <v>33</v>
      </c>
      <c r="B325" s="337" t="s">
        <v>527</v>
      </c>
      <c r="C325" s="73">
        <v>39</v>
      </c>
      <c r="D325" s="315">
        <v>256.75</v>
      </c>
      <c r="E325" s="166">
        <v>4991</v>
      </c>
      <c r="F325" s="74" t="s">
        <v>1420</v>
      </c>
      <c r="G325" s="34" t="str">
        <f t="shared" ref="G325:G388" si="24">CONCATENATE(B325,C325,F325)</f>
        <v>XXXIX39MARCOS VINICIUS MAGALHAES BELIATO</v>
      </c>
      <c r="H325" s="40">
        <v>44218</v>
      </c>
      <c r="I325" s="35">
        <v>177660</v>
      </c>
      <c r="J325" s="35" t="s">
        <v>834</v>
      </c>
      <c r="K325" s="35">
        <v>175386.64</v>
      </c>
      <c r="L325" s="170">
        <f t="shared" ref="L325:L388" si="25">K325/I325</f>
        <v>0.98720387256557474</v>
      </c>
      <c r="M325" s="154">
        <v>185015.75</v>
      </c>
      <c r="N325" s="170">
        <f t="shared" ref="N325:N388" si="26">K325/M325</f>
        <v>0.94795518759889363</v>
      </c>
      <c r="O325" s="170">
        <f t="shared" ref="O325:O388" si="27">K325/(D325*$U$10)</f>
        <v>1.1408510731451291</v>
      </c>
      <c r="P325" s="170">
        <f>IF(A325=$X$29,K325/(D325*Vendas!$U$25),IF(A325=$X$30,K325/(D325*Vendas!$U$26),IF(A325=$X$31,K325/(D325*Vendas!$U$27),IF(A325=$X$32,K325/(D325*Vendas!$U$28),IF(A325=$X$33,K325/(D325*Vendas!$U$29),IF(A325=$X$34,K325/(D325*Vendas!$U$30),IF(A325=$X$35,K325/(D325*Vendas!$U$31),IF(A325=$X$36,K325/(D325*Vendas!$U$32),0))))))))</f>
        <v>1.1302727770863024</v>
      </c>
      <c r="Q325" s="170">
        <f>IF(A325=$X$29,K325/(D325*Vendas!$U$25),IF(A325=$X$30,K325/(D325*Vendas!$U$26),IF(A325=$X$31,K325/(D325*Vendas!$U$27),IF(A325=$X$32,K325/(D325*Vendas!$U$28),IF(A325=$X$33,K325/(D325*Vendas!$U$29),IF(A325=$X$34,K325/(D325*Vendas!$U$30),IF(A325=$X$35,K325/(D325*Vendas!$U$31),IF(A325=$X$36,K325/(D325*Vendas!$U$32),0))))))))</f>
        <v>1.1302727770863024</v>
      </c>
    </row>
    <row r="326" spans="1:17">
      <c r="A326" s="263" t="s">
        <v>33</v>
      </c>
      <c r="B326" s="337" t="s">
        <v>527</v>
      </c>
      <c r="C326" s="166">
        <v>40</v>
      </c>
      <c r="D326" s="197">
        <v>256.75</v>
      </c>
      <c r="E326" s="166">
        <v>5152</v>
      </c>
      <c r="F326" s="338" t="s">
        <v>406</v>
      </c>
      <c r="G326" s="34" t="str">
        <f t="shared" si="24"/>
        <v>XXXIX40RAMON GUSTAVO DA SILVA</v>
      </c>
      <c r="H326" s="40">
        <v>42433</v>
      </c>
      <c r="I326" s="35">
        <v>131219.35</v>
      </c>
      <c r="J326" s="35" t="s">
        <v>834</v>
      </c>
      <c r="K326" s="35">
        <v>123211.07</v>
      </c>
      <c r="L326" s="170">
        <f t="shared" si="25"/>
        <v>0.93897028144096129</v>
      </c>
      <c r="M326" s="154">
        <v>232547.47</v>
      </c>
      <c r="N326" s="170">
        <f t="shared" si="26"/>
        <v>0.52983190915816025</v>
      </c>
      <c r="O326" s="170">
        <f t="shared" si="27"/>
        <v>0.80146059832641536</v>
      </c>
      <c r="P326" s="170">
        <f>IF(A326=$X$29,K326/(D326*Vendas!$U$25),IF(A326=$X$30,K326/(D326*Vendas!$U$26),IF(A326=$X$31,K326/(D326*Vendas!$U$27),IF(A326=$X$32,K326/(D326*Vendas!$U$28),IF(A326=$X$33,K326/(D326*Vendas!$U$29),IF(A326=$X$34,K326/(D326*Vendas!$U$30),IF(A326=$X$35,K326/(D326*Vendas!$U$31),IF(A326=$X$36,K326/(D326*Vendas!$U$32),0))))))))</f>
        <v>0.79402922740680137</v>
      </c>
      <c r="Q326" s="170">
        <f>IF(A326=$X$29,K326/(D326*Vendas!$U$25),IF(A326=$X$30,K326/(D326*Vendas!$U$26),IF(A326=$X$31,K326/(D326*Vendas!$U$27),IF(A326=$X$32,K326/(D326*Vendas!$U$28),IF(A326=$X$33,K326/(D326*Vendas!$U$29),IF(A326=$X$34,K326/(D326*Vendas!$U$30),IF(A326=$X$35,K326/(D326*Vendas!$U$31),IF(A326=$X$36,K326/(D326*Vendas!$U$32),0))))))))</f>
        <v>0.79402922740680137</v>
      </c>
    </row>
    <row r="327" spans="1:17">
      <c r="A327" s="263" t="s">
        <v>33</v>
      </c>
      <c r="B327" s="337" t="s">
        <v>527</v>
      </c>
      <c r="C327" s="73">
        <v>41</v>
      </c>
      <c r="D327" s="315">
        <v>256.75</v>
      </c>
      <c r="E327" s="166"/>
      <c r="F327" s="74" t="s">
        <v>1014</v>
      </c>
      <c r="G327" s="34" t="str">
        <f t="shared" si="24"/>
        <v>XXXIX41KELEY REGIANE APARECIDA DOS SANTOS</v>
      </c>
      <c r="H327" s="40">
        <v>43662</v>
      </c>
      <c r="I327" s="35">
        <v>144807</v>
      </c>
      <c r="J327" s="35" t="s">
        <v>834</v>
      </c>
      <c r="K327" s="35">
        <v>28790.400000000001</v>
      </c>
      <c r="L327" s="170">
        <f t="shared" si="25"/>
        <v>0.19881911786032444</v>
      </c>
      <c r="M327" s="154">
        <v>148121.59</v>
      </c>
      <c r="N327" s="170">
        <f t="shared" si="26"/>
        <v>0.19437004423190435</v>
      </c>
      <c r="O327" s="170">
        <f t="shared" si="27"/>
        <v>0.18727514670602918</v>
      </c>
      <c r="P327" s="170">
        <f>IF(A327=$X$29,K327/(D327*Vendas!$U$25),IF(A327=$X$30,K327/(D327*Vendas!$U$26),IF(A327=$X$31,K327/(D327*Vendas!$U$27),IF(A327=$X$32,K327/(D327*Vendas!$U$28),IF(A327=$X$33,K327/(D327*Vendas!$U$29),IF(A327=$X$34,K327/(D327*Vendas!$U$30),IF(A327=$X$35,K327/(D327*Vendas!$U$31),IF(A327=$X$36,K327/(D327*Vendas!$U$32),0))))))))</f>
        <v>0.1855386782107547</v>
      </c>
      <c r="Q327" s="170">
        <f>IF(A327=$X$29,K327/(D327*Vendas!$U$25),IF(A327=$X$30,K327/(D327*Vendas!$U$26),IF(A327=$X$31,K327/(D327*Vendas!$U$27),IF(A327=$X$32,K327/(D327*Vendas!$U$28),IF(A327=$X$33,K327/(D327*Vendas!$U$29),IF(A327=$X$34,K327/(D327*Vendas!$U$30),IF(A327=$X$35,K327/(D327*Vendas!$U$31),IF(A327=$X$36,K327/(D327*Vendas!$U$32),0))))))))</f>
        <v>0.1855386782107547</v>
      </c>
    </row>
    <row r="328" spans="1:17">
      <c r="A328" s="263" t="s">
        <v>33</v>
      </c>
      <c r="B328" s="337" t="s">
        <v>527</v>
      </c>
      <c r="C328" s="166">
        <v>43</v>
      </c>
      <c r="D328" s="197">
        <v>256.75</v>
      </c>
      <c r="E328" s="166">
        <v>5269</v>
      </c>
      <c r="F328" s="338" t="s">
        <v>427</v>
      </c>
      <c r="G328" s="34" t="str">
        <f t="shared" si="24"/>
        <v>XXXIX43SABRINA APARECIDA DIZARRO SALES</v>
      </c>
      <c r="H328" s="40">
        <v>42608</v>
      </c>
      <c r="I328" s="35">
        <v>137499.6</v>
      </c>
      <c r="J328" s="35" t="s">
        <v>834</v>
      </c>
      <c r="K328" s="35">
        <v>120166.28</v>
      </c>
      <c r="L328" s="170">
        <f t="shared" si="25"/>
        <v>0.87393912418654307</v>
      </c>
      <c r="M328" s="154">
        <v>225485.79</v>
      </c>
      <c r="N328" s="170">
        <f t="shared" si="26"/>
        <v>0.53292174198649056</v>
      </c>
      <c r="O328" s="170">
        <f t="shared" si="27"/>
        <v>0.78165491678190568</v>
      </c>
      <c r="P328" s="170">
        <f>IF(A328=$X$29,K328/(D328*Vendas!$U$25),IF(A328=$X$30,K328/(D328*Vendas!$U$26),IF(A328=$X$31,K328/(D328*Vendas!$U$27),IF(A328=$X$32,K328/(D328*Vendas!$U$28),IF(A328=$X$33,K328/(D328*Vendas!$U$29),IF(A328=$X$34,K328/(D328*Vendas!$U$30),IF(A328=$X$35,K328/(D328*Vendas!$U$31),IF(A328=$X$36,K328/(D328*Vendas!$U$32),0))))))))</f>
        <v>0.77440718978213041</v>
      </c>
      <c r="Q328" s="170">
        <f>IF(A328=$X$29,K328/(D328*Vendas!$U$25),IF(A328=$X$30,K328/(D328*Vendas!$U$26),IF(A328=$X$31,K328/(D328*Vendas!$U$27),IF(A328=$X$32,K328/(D328*Vendas!$U$28),IF(A328=$X$33,K328/(D328*Vendas!$U$29),IF(A328=$X$34,K328/(D328*Vendas!$U$30),IF(A328=$X$35,K328/(D328*Vendas!$U$31),IF(A328=$X$36,K328/(D328*Vendas!$U$32),0))))))))</f>
        <v>0.77440718978213041</v>
      </c>
    </row>
    <row r="329" spans="1:17">
      <c r="A329" s="263" t="s">
        <v>33</v>
      </c>
      <c r="B329" s="337" t="s">
        <v>528</v>
      </c>
      <c r="C329" s="73">
        <v>2</v>
      </c>
      <c r="D329" s="315">
        <v>251.75</v>
      </c>
      <c r="E329" s="166">
        <v>5124</v>
      </c>
      <c r="F329" s="74" t="s">
        <v>439</v>
      </c>
      <c r="G329" s="34" t="str">
        <f t="shared" si="24"/>
        <v>XXXV2SHEILA PINTO SILVA</v>
      </c>
      <c r="H329" s="40">
        <v>42403</v>
      </c>
      <c r="I329" s="35">
        <v>130023.6</v>
      </c>
      <c r="J329" s="35" t="s">
        <v>1250</v>
      </c>
      <c r="K329" s="35">
        <v>257243.48</v>
      </c>
      <c r="L329" s="170">
        <f t="shared" si="25"/>
        <v>1.9784368376202475</v>
      </c>
      <c r="M329" s="154">
        <v>276021.52</v>
      </c>
      <c r="N329" s="170">
        <f t="shared" si="26"/>
        <v>0.93196892764013473</v>
      </c>
      <c r="O329" s="170">
        <f t="shared" si="27"/>
        <v>1.7065452027567496</v>
      </c>
      <c r="P329" s="170">
        <f>IF(A329=$X$29,K329/(D329*Vendas!$U$25),IF(A329=$X$30,K329/(D329*Vendas!$U$26),IF(A329=$X$31,K329/(D329*Vendas!$U$27),IF(A329=$X$32,K329/(D329*Vendas!$U$28),IF(A329=$X$33,K329/(D329*Vendas!$U$29),IF(A329=$X$34,K329/(D329*Vendas!$U$30),IF(A329=$X$35,K329/(D329*Vendas!$U$31),IF(A329=$X$36,K329/(D329*Vendas!$U$32),0))))))))</f>
        <v>1.6907216296213321</v>
      </c>
      <c r="Q329" s="170">
        <f>IF(A329=$X$29,K329/(D329*Vendas!$U$25),IF(A329=$X$30,K329/(D329*Vendas!$U$26),IF(A329=$X$31,K329/(D329*Vendas!$U$27),IF(A329=$X$32,K329/(D329*Vendas!$U$28),IF(A329=$X$33,K329/(D329*Vendas!$U$29),IF(A329=$X$34,K329/(D329*Vendas!$U$30),IF(A329=$X$35,K329/(D329*Vendas!$U$31),IF(A329=$X$36,K329/(D329*Vendas!$U$32),0))))))))</f>
        <v>1.6907216296213321</v>
      </c>
    </row>
    <row r="330" spans="1:17">
      <c r="A330" s="263" t="s">
        <v>33</v>
      </c>
      <c r="B330" s="337" t="s">
        <v>528</v>
      </c>
      <c r="C330" s="166">
        <v>3</v>
      </c>
      <c r="D330" s="197">
        <v>251.75</v>
      </c>
      <c r="E330" s="166">
        <v>3955</v>
      </c>
      <c r="F330" s="338" t="s">
        <v>389</v>
      </c>
      <c r="G330" s="34" t="str">
        <f t="shared" si="24"/>
        <v>XXXV3PATRICIA FRANCISCO GONCALVES</v>
      </c>
      <c r="H330" s="40">
        <v>41915</v>
      </c>
      <c r="I330" s="35">
        <v>113163.86</v>
      </c>
      <c r="J330" s="35" t="s">
        <v>834</v>
      </c>
      <c r="K330" s="35">
        <v>117408.86</v>
      </c>
      <c r="L330" s="170">
        <f t="shared" si="25"/>
        <v>1.037511975996577</v>
      </c>
      <c r="M330" s="154">
        <v>193273.48</v>
      </c>
      <c r="N330" s="170">
        <f t="shared" si="26"/>
        <v>0.60747527286206049</v>
      </c>
      <c r="O330" s="170">
        <f t="shared" si="27"/>
        <v>0.77888670606593735</v>
      </c>
      <c r="P330" s="170">
        <f>IF(A330=$X$29,K330/(D330*Vendas!$U$25),IF(A330=$X$30,K330/(D330*Vendas!$U$26),IF(A330=$X$31,K330/(D330*Vendas!$U$27),IF(A330=$X$32,K330/(D330*Vendas!$U$28),IF(A330=$X$33,K330/(D330*Vendas!$U$29),IF(A330=$X$34,K330/(D330*Vendas!$U$30),IF(A330=$X$35,K330/(D330*Vendas!$U$31),IF(A330=$X$36,K330/(D330*Vendas!$U$32),0))))))))</f>
        <v>0.7716646467042928</v>
      </c>
      <c r="Q330" s="170">
        <f>IF(A330=$X$29,K330/(D330*Vendas!$U$25),IF(A330=$X$30,K330/(D330*Vendas!$U$26),IF(A330=$X$31,K330/(D330*Vendas!$U$27),IF(A330=$X$32,K330/(D330*Vendas!$U$28),IF(A330=$X$33,K330/(D330*Vendas!$U$29),IF(A330=$X$34,K330/(D330*Vendas!$U$30),IF(A330=$X$35,K330/(D330*Vendas!$U$31),IF(A330=$X$36,K330/(D330*Vendas!$U$32),0))))))))</f>
        <v>0.7716646467042928</v>
      </c>
    </row>
    <row r="331" spans="1:17">
      <c r="A331" s="263" t="s">
        <v>33</v>
      </c>
      <c r="B331" s="337" t="s">
        <v>528</v>
      </c>
      <c r="C331" s="73">
        <v>8</v>
      </c>
      <c r="D331" s="315">
        <v>251.75</v>
      </c>
      <c r="E331" s="166">
        <v>5324</v>
      </c>
      <c r="F331" s="74" t="s">
        <v>101</v>
      </c>
      <c r="G331" s="34" t="str">
        <f t="shared" si="24"/>
        <v>XXXV8CAROLINA FONSECA DE ALMEIDA</v>
      </c>
      <c r="H331" s="40">
        <v>42681</v>
      </c>
      <c r="I331" s="35">
        <v>140980</v>
      </c>
      <c r="J331" s="35" t="s">
        <v>834</v>
      </c>
      <c r="K331" s="35">
        <v>118473.27</v>
      </c>
      <c r="L331" s="170">
        <f t="shared" si="25"/>
        <v>0.84035515675982408</v>
      </c>
      <c r="M331" s="154">
        <v>221710.63</v>
      </c>
      <c r="N331" s="170">
        <f t="shared" si="26"/>
        <v>0.53435989965839703</v>
      </c>
      <c r="O331" s="170">
        <f t="shared" si="27"/>
        <v>0.7859479687236588</v>
      </c>
      <c r="P331" s="170">
        <f>IF(A331=$X$29,K331/(D331*Vendas!$U$25),IF(A331=$X$30,K331/(D331*Vendas!$U$26),IF(A331=$X$31,K331/(D331*Vendas!$U$27),IF(A331=$X$32,K331/(D331*Vendas!$U$28),IF(A331=$X$33,K331/(D331*Vendas!$U$29),IF(A331=$X$34,K331/(D331*Vendas!$U$30),IF(A331=$X$35,K331/(D331*Vendas!$U$31),IF(A331=$X$36,K331/(D331*Vendas!$U$32),0))))))))</f>
        <v>0.77866043532363993</v>
      </c>
      <c r="Q331" s="170">
        <f>IF(A331=$X$29,K331/(D331*Vendas!$U$25),IF(A331=$X$30,K331/(D331*Vendas!$U$26),IF(A331=$X$31,K331/(D331*Vendas!$U$27),IF(A331=$X$32,K331/(D331*Vendas!$U$28),IF(A331=$X$33,K331/(D331*Vendas!$U$29),IF(A331=$X$34,K331/(D331*Vendas!$U$30),IF(A331=$X$35,K331/(D331*Vendas!$U$31),IF(A331=$X$36,K331/(D331*Vendas!$U$32),0))))))))</f>
        <v>0.77866043532363993</v>
      </c>
    </row>
    <row r="332" spans="1:17">
      <c r="A332" s="263" t="s">
        <v>33</v>
      </c>
      <c r="B332" s="337" t="s">
        <v>528</v>
      </c>
      <c r="C332" s="166">
        <v>9</v>
      </c>
      <c r="D332" s="197">
        <v>251.75</v>
      </c>
      <c r="E332" s="166">
        <v>5325</v>
      </c>
      <c r="F332" s="338" t="s">
        <v>101</v>
      </c>
      <c r="G332" s="34" t="str">
        <f t="shared" si="24"/>
        <v>XXXV9CAROLINA FONSECA DE ALMEIDA</v>
      </c>
      <c r="H332" s="40">
        <v>42681</v>
      </c>
      <c r="I332" s="35">
        <v>140980</v>
      </c>
      <c r="J332" s="35" t="s">
        <v>834</v>
      </c>
      <c r="K332" s="35">
        <v>118473.27</v>
      </c>
      <c r="L332" s="170">
        <f t="shared" si="25"/>
        <v>0.84035515675982408</v>
      </c>
      <c r="M332" s="154">
        <v>221710.63</v>
      </c>
      <c r="N332" s="170">
        <f t="shared" si="26"/>
        <v>0.53435989965839703</v>
      </c>
      <c r="O332" s="170">
        <f t="shared" si="27"/>
        <v>0.7859479687236588</v>
      </c>
      <c r="P332" s="170">
        <f>IF(A332=$X$29,K332/(D332*Vendas!$U$25),IF(A332=$X$30,K332/(D332*Vendas!$U$26),IF(A332=$X$31,K332/(D332*Vendas!$U$27),IF(A332=$X$32,K332/(D332*Vendas!$U$28),IF(A332=$X$33,K332/(D332*Vendas!$U$29),IF(A332=$X$34,K332/(D332*Vendas!$U$30),IF(A332=$X$35,K332/(D332*Vendas!$U$31),IF(A332=$X$36,K332/(D332*Vendas!$U$32),0))))))))</f>
        <v>0.77866043532363993</v>
      </c>
      <c r="Q332" s="170">
        <f>IF(A332=$X$29,K332/(D332*Vendas!$U$25),IF(A332=$X$30,K332/(D332*Vendas!$U$26),IF(A332=$X$31,K332/(D332*Vendas!$U$27),IF(A332=$X$32,K332/(D332*Vendas!$U$28),IF(A332=$X$33,K332/(D332*Vendas!$U$29),IF(A332=$X$34,K332/(D332*Vendas!$U$30),IF(A332=$X$35,K332/(D332*Vendas!$U$31),IF(A332=$X$36,K332/(D332*Vendas!$U$32),0))))))))</f>
        <v>0.77866043532363993</v>
      </c>
    </row>
    <row r="333" spans="1:17">
      <c r="A333" s="263" t="s">
        <v>33</v>
      </c>
      <c r="B333" s="337" t="s">
        <v>528</v>
      </c>
      <c r="C333" s="73">
        <v>10</v>
      </c>
      <c r="D333" s="315">
        <v>251.75</v>
      </c>
      <c r="E333" s="166">
        <v>5326</v>
      </c>
      <c r="F333" s="74" t="s">
        <v>101</v>
      </c>
      <c r="G333" s="34" t="str">
        <f t="shared" si="24"/>
        <v>XXXV10CAROLINA FONSECA DE ALMEIDA</v>
      </c>
      <c r="H333" s="40">
        <v>42681</v>
      </c>
      <c r="I333" s="35">
        <v>140980</v>
      </c>
      <c r="J333" s="35" t="s">
        <v>834</v>
      </c>
      <c r="K333" s="35">
        <v>118473.27</v>
      </c>
      <c r="L333" s="170">
        <f t="shared" si="25"/>
        <v>0.84035515675982408</v>
      </c>
      <c r="M333" s="154">
        <v>221509.13</v>
      </c>
      <c r="N333" s="170">
        <f t="shared" si="26"/>
        <v>0.53484599032103097</v>
      </c>
      <c r="O333" s="170">
        <f t="shared" si="27"/>
        <v>0.7859479687236588</v>
      </c>
      <c r="P333" s="170">
        <f>IF(A333=$X$29,K333/(D333*Vendas!$U$25),IF(A333=$X$30,K333/(D333*Vendas!$U$26),IF(A333=$X$31,K333/(D333*Vendas!$U$27),IF(A333=$X$32,K333/(D333*Vendas!$U$28),IF(A333=$X$33,K333/(D333*Vendas!$U$29),IF(A333=$X$34,K333/(D333*Vendas!$U$30),IF(A333=$X$35,K333/(D333*Vendas!$U$31),IF(A333=$X$36,K333/(D333*Vendas!$U$32),0))))))))</f>
        <v>0.77866043532363993</v>
      </c>
      <c r="Q333" s="170">
        <f>IF(A333=$X$29,K333/(D333*Vendas!$U$25),IF(A333=$X$30,K333/(D333*Vendas!$U$26),IF(A333=$X$31,K333/(D333*Vendas!$U$27),IF(A333=$X$32,K333/(D333*Vendas!$U$28),IF(A333=$X$33,K333/(D333*Vendas!$U$29),IF(A333=$X$34,K333/(D333*Vendas!$U$30),IF(A333=$X$35,K333/(D333*Vendas!$U$31),IF(A333=$X$36,K333/(D333*Vendas!$U$32),0))))))))</f>
        <v>0.77866043532363993</v>
      </c>
    </row>
    <row r="334" spans="1:17">
      <c r="A334" s="263" t="s">
        <v>33</v>
      </c>
      <c r="B334" s="337" t="s">
        <v>528</v>
      </c>
      <c r="C334" s="166">
        <v>14</v>
      </c>
      <c r="D334" s="197">
        <v>251.75</v>
      </c>
      <c r="E334" s="166">
        <v>5972</v>
      </c>
      <c r="F334" s="338" t="s">
        <v>39</v>
      </c>
      <c r="G334" s="34" t="str">
        <f t="shared" si="24"/>
        <v>XXXV14ADEL JUNIOR CONTINI LOPES</v>
      </c>
      <c r="H334" s="40">
        <v>43017</v>
      </c>
      <c r="I334" s="35">
        <v>124080</v>
      </c>
      <c r="J334" s="35" t="s">
        <v>834</v>
      </c>
      <c r="K334" s="35">
        <v>115804.31</v>
      </c>
      <c r="L334" s="170">
        <f t="shared" si="25"/>
        <v>0.93330359445519018</v>
      </c>
      <c r="M334" s="154">
        <v>190650.42</v>
      </c>
      <c r="N334" s="170">
        <f t="shared" si="26"/>
        <v>0.60741702011461596</v>
      </c>
      <c r="O334" s="170">
        <f t="shared" si="27"/>
        <v>0.76824217153746899</v>
      </c>
      <c r="P334" s="170">
        <f>IF(A334=$X$29,K334/(D334*Vendas!$U$25),IF(A334=$X$30,K334/(D334*Vendas!$U$26),IF(A334=$X$31,K334/(D334*Vendas!$U$27),IF(A334=$X$32,K334/(D334*Vendas!$U$28),IF(A334=$X$33,K334/(D334*Vendas!$U$29),IF(A334=$X$34,K334/(D334*Vendas!$U$30),IF(A334=$X$35,K334/(D334*Vendas!$U$31),IF(A334=$X$36,K334/(D334*Vendas!$U$32),0))))))))</f>
        <v>0.76111881133148218</v>
      </c>
      <c r="Q334" s="170">
        <f>IF(A334=$X$29,K334/(D334*Vendas!$U$25),IF(A334=$X$30,K334/(D334*Vendas!$U$26),IF(A334=$X$31,K334/(D334*Vendas!$U$27),IF(A334=$X$32,K334/(D334*Vendas!$U$28),IF(A334=$X$33,K334/(D334*Vendas!$U$29),IF(A334=$X$34,K334/(D334*Vendas!$U$30),IF(A334=$X$35,K334/(D334*Vendas!$U$31),IF(A334=$X$36,K334/(D334*Vendas!$U$32),0))))))))</f>
        <v>0.76111881133148218</v>
      </c>
    </row>
    <row r="335" spans="1:17">
      <c r="A335" s="263" t="s">
        <v>33</v>
      </c>
      <c r="B335" s="337" t="s">
        <v>528</v>
      </c>
      <c r="C335" s="73">
        <v>16</v>
      </c>
      <c r="D335" s="315">
        <v>251.75</v>
      </c>
      <c r="E335" s="166">
        <v>4884</v>
      </c>
      <c r="F335" s="74" t="s">
        <v>1367</v>
      </c>
      <c r="G335" s="34" t="str">
        <f t="shared" si="24"/>
        <v>XXXV16MARIA MAYUMI HOSHINO DE BARROS</v>
      </c>
      <c r="H335" s="40">
        <v>44158</v>
      </c>
      <c r="I335" s="35">
        <v>158860</v>
      </c>
      <c r="J335" s="35" t="s">
        <v>834</v>
      </c>
      <c r="K335" s="35">
        <v>161640.57</v>
      </c>
      <c r="L335" s="170">
        <f t="shared" si="25"/>
        <v>1.0175032733224223</v>
      </c>
      <c r="M335" s="154">
        <v>170971.73</v>
      </c>
      <c r="N335" s="170">
        <f t="shared" si="26"/>
        <v>0.94542279007178553</v>
      </c>
      <c r="O335" s="170">
        <f t="shared" si="27"/>
        <v>1.0723184871560849</v>
      </c>
      <c r="P335" s="170">
        <f>IF(A335=$X$29,K335/(D335*Vendas!$U$25),IF(A335=$X$30,K335/(D335*Vendas!$U$26),IF(A335=$X$31,K335/(D335*Vendas!$U$27),IF(A335=$X$32,K335/(D335*Vendas!$U$28),IF(A335=$X$33,K335/(D335*Vendas!$U$29),IF(A335=$X$34,K335/(D335*Vendas!$U$30),IF(A335=$X$35,K335/(D335*Vendas!$U$31),IF(A335=$X$36,K335/(D335*Vendas!$U$32),0))))))))</f>
        <v>1.062375644752283</v>
      </c>
      <c r="Q335" s="170">
        <f>IF(A335=$X$29,K335/(D335*Vendas!$U$25),IF(A335=$X$30,K335/(D335*Vendas!$U$26),IF(A335=$X$31,K335/(D335*Vendas!$U$27),IF(A335=$X$32,K335/(D335*Vendas!$U$28),IF(A335=$X$33,K335/(D335*Vendas!$U$29),IF(A335=$X$34,K335/(D335*Vendas!$U$30),IF(A335=$X$35,K335/(D335*Vendas!$U$31),IF(A335=$X$36,K335/(D335*Vendas!$U$32),0))))))))</f>
        <v>1.062375644752283</v>
      </c>
    </row>
    <row r="336" spans="1:17">
      <c r="A336" s="263" t="s">
        <v>33</v>
      </c>
      <c r="B336" s="337" t="s">
        <v>528</v>
      </c>
      <c r="C336" s="166">
        <v>17</v>
      </c>
      <c r="D336" s="197">
        <v>251.75</v>
      </c>
      <c r="E336" s="166">
        <v>5363</v>
      </c>
      <c r="F336" s="338" t="s">
        <v>54</v>
      </c>
      <c r="G336" s="34" t="str">
        <f t="shared" si="24"/>
        <v>XXXV17ALESSANDRO DALBELLO MENDES</v>
      </c>
      <c r="H336" s="40">
        <v>42706</v>
      </c>
      <c r="I336" s="35">
        <v>149921.14000000001</v>
      </c>
      <c r="J336" s="35" t="s">
        <v>834</v>
      </c>
      <c r="K336" s="35">
        <v>140657.61000000002</v>
      </c>
      <c r="L336" s="170">
        <f t="shared" si="25"/>
        <v>0.93821064861166348</v>
      </c>
      <c r="M336" s="154">
        <v>243500.81</v>
      </c>
      <c r="N336" s="170">
        <f t="shared" si="26"/>
        <v>0.57764740084437505</v>
      </c>
      <c r="O336" s="170">
        <f t="shared" si="27"/>
        <v>0.93311818661732393</v>
      </c>
      <c r="P336" s="170">
        <f>IF(A336=$X$29,K336/(D336*Vendas!$U$25),IF(A336=$X$30,K336/(D336*Vendas!$U$26),IF(A336=$X$31,K336/(D336*Vendas!$U$27),IF(A336=$X$32,K336/(D336*Vendas!$U$28),IF(A336=$X$33,K336/(D336*Vendas!$U$29),IF(A336=$X$34,K336/(D336*Vendas!$U$30),IF(A336=$X$35,K336/(D336*Vendas!$U$31),IF(A336=$X$36,K336/(D336*Vendas!$U$32),0))))))))</f>
        <v>0.92446604904366003</v>
      </c>
      <c r="Q336" s="170">
        <f>IF(A336=$X$29,K336/(D336*Vendas!$U$25),IF(A336=$X$30,K336/(D336*Vendas!$U$26),IF(A336=$X$31,K336/(D336*Vendas!$U$27),IF(A336=$X$32,K336/(D336*Vendas!$U$28),IF(A336=$X$33,K336/(D336*Vendas!$U$29),IF(A336=$X$34,K336/(D336*Vendas!$U$30),IF(A336=$X$35,K336/(D336*Vendas!$U$31),IF(A336=$X$36,K336/(D336*Vendas!$U$32),0))))))))</f>
        <v>0.92446604904366003</v>
      </c>
    </row>
    <row r="337" spans="1:17">
      <c r="A337" s="263" t="s">
        <v>33</v>
      </c>
      <c r="B337" s="337" t="s">
        <v>528</v>
      </c>
      <c r="C337" s="73">
        <v>18</v>
      </c>
      <c r="D337" s="315">
        <v>267.82</v>
      </c>
      <c r="E337" s="166">
        <v>5529</v>
      </c>
      <c r="F337" s="74" t="s">
        <v>186</v>
      </c>
      <c r="G337" s="34" t="str">
        <f t="shared" si="24"/>
        <v>XXXV18EMERSON JORGE BIM</v>
      </c>
      <c r="H337" s="40">
        <v>42783</v>
      </c>
      <c r="I337" s="35">
        <v>140926.67000000001</v>
      </c>
      <c r="J337" s="35" t="s">
        <v>834</v>
      </c>
      <c r="K337" s="35">
        <v>140108.97</v>
      </c>
      <c r="L337" s="170">
        <f t="shared" si="25"/>
        <v>0.99419769160798299</v>
      </c>
      <c r="M337" s="154">
        <v>231380.34</v>
      </c>
      <c r="N337" s="170">
        <f t="shared" si="26"/>
        <v>0.60553532767736451</v>
      </c>
      <c r="O337" s="170">
        <f t="shared" si="27"/>
        <v>0.873707038024087</v>
      </c>
      <c r="P337" s="170">
        <f>IF(A337=$X$29,K337/(D337*Vendas!$U$25),IF(A337=$X$30,K337/(D337*Vendas!$U$26),IF(A337=$X$31,K337/(D337*Vendas!$U$27),IF(A337=$X$32,K337/(D337*Vendas!$U$28),IF(A337=$X$33,K337/(D337*Vendas!$U$29),IF(A337=$X$34,K337/(D337*Vendas!$U$30),IF(A337=$X$35,K337/(D337*Vendas!$U$31),IF(A337=$X$36,K337/(D337*Vendas!$U$32),0))))))))</f>
        <v>0.86560577754017476</v>
      </c>
      <c r="Q337" s="170">
        <f>IF(A337=$X$29,K337/(D337*Vendas!$U$25),IF(A337=$X$30,K337/(D337*Vendas!$U$26),IF(A337=$X$31,K337/(D337*Vendas!$U$27),IF(A337=$X$32,K337/(D337*Vendas!$U$28),IF(A337=$X$33,K337/(D337*Vendas!$U$29),IF(A337=$X$34,K337/(D337*Vendas!$U$30),IF(A337=$X$35,K337/(D337*Vendas!$U$31),IF(A337=$X$36,K337/(D337*Vendas!$U$32),0))))))))</f>
        <v>0.86560577754017476</v>
      </c>
    </row>
    <row r="338" spans="1:17">
      <c r="A338" s="263" t="s">
        <v>33</v>
      </c>
      <c r="B338" s="337" t="s">
        <v>528</v>
      </c>
      <c r="C338" s="166">
        <v>20</v>
      </c>
      <c r="D338" s="197">
        <v>267.82</v>
      </c>
      <c r="E338" s="166">
        <v>5595</v>
      </c>
      <c r="F338" s="338" t="s">
        <v>229</v>
      </c>
      <c r="G338" s="34" t="str">
        <f t="shared" si="24"/>
        <v>XXXV20GUILHERME ANDRADE SALVADOR</v>
      </c>
      <c r="H338" s="40">
        <v>42870</v>
      </c>
      <c r="I338" s="35">
        <v>132671.67000000001</v>
      </c>
      <c r="J338" s="35" t="s">
        <v>1250</v>
      </c>
      <c r="K338" s="35">
        <v>171152.68</v>
      </c>
      <c r="L338" s="170">
        <f t="shared" si="25"/>
        <v>1.290046925617202</v>
      </c>
      <c r="M338" s="154">
        <v>216767.92</v>
      </c>
      <c r="N338" s="170">
        <f t="shared" si="26"/>
        <v>0.78956646352467641</v>
      </c>
      <c r="O338" s="170">
        <f t="shared" si="27"/>
        <v>1.0672928442246372</v>
      </c>
      <c r="P338" s="170">
        <f>IF(A338=$X$29,K338/(D338*Vendas!$U$25),IF(A338=$X$30,K338/(D338*Vendas!$U$26),IF(A338=$X$31,K338/(D338*Vendas!$U$27),IF(A338=$X$32,K338/(D338*Vendas!$U$28),IF(A338=$X$33,K338/(D338*Vendas!$U$29),IF(A338=$X$34,K338/(D338*Vendas!$U$30),IF(A338=$X$35,K338/(D338*Vendas!$U$31),IF(A338=$X$36,K338/(D338*Vendas!$U$32),0))))))))</f>
        <v>1.0573966010133735</v>
      </c>
      <c r="Q338" s="170">
        <f>IF(A338=$X$29,K338/(D338*Vendas!$U$25),IF(A338=$X$30,K338/(D338*Vendas!$U$26),IF(A338=$X$31,K338/(D338*Vendas!$U$27),IF(A338=$X$32,K338/(D338*Vendas!$U$28),IF(A338=$X$33,K338/(D338*Vendas!$U$29),IF(A338=$X$34,K338/(D338*Vendas!$U$30),IF(A338=$X$35,K338/(D338*Vendas!$U$31),IF(A338=$X$36,K338/(D338*Vendas!$U$32),0))))))))</f>
        <v>1.0573966010133735</v>
      </c>
    </row>
    <row r="339" spans="1:17">
      <c r="A339" s="263" t="s">
        <v>33</v>
      </c>
      <c r="B339" s="337" t="s">
        <v>528</v>
      </c>
      <c r="C339" s="73">
        <v>23</v>
      </c>
      <c r="D339" s="315">
        <v>267.82</v>
      </c>
      <c r="E339" s="166">
        <v>6189</v>
      </c>
      <c r="F339" s="74" t="s">
        <v>225</v>
      </c>
      <c r="G339" s="34" t="str">
        <f t="shared" si="24"/>
        <v>XXXV23GILMAR AMARAL GOMES</v>
      </c>
      <c r="H339" s="40">
        <v>43138</v>
      </c>
      <c r="I339" s="35">
        <v>131599.6</v>
      </c>
      <c r="J339" s="35" t="s">
        <v>834</v>
      </c>
      <c r="K339" s="35">
        <v>54955.67</v>
      </c>
      <c r="L339" s="170">
        <f t="shared" si="25"/>
        <v>0.41759754588919717</v>
      </c>
      <c r="M339" s="154">
        <v>180835.64</v>
      </c>
      <c r="N339" s="170">
        <f t="shared" si="26"/>
        <v>0.30389844612488998</v>
      </c>
      <c r="O339" s="170">
        <f t="shared" si="27"/>
        <v>0.34269865561305013</v>
      </c>
      <c r="P339" s="170">
        <f>IF(A339=$X$29,K339/(D339*Vendas!$U$25),IF(A339=$X$30,K339/(D339*Vendas!$U$26),IF(A339=$X$31,K339/(D339*Vendas!$U$27),IF(A339=$X$32,K339/(D339*Vendas!$U$28),IF(A339=$X$33,K339/(D339*Vendas!$U$29),IF(A339=$X$34,K339/(D339*Vendas!$U$30),IF(A339=$X$35,K339/(D339*Vendas!$U$31),IF(A339=$X$36,K339/(D339*Vendas!$U$32),0))))))))</f>
        <v>0.33952105607935917</v>
      </c>
      <c r="Q339" s="170">
        <f>IF(A339=$X$29,K339/(D339*Vendas!$U$25),IF(A339=$X$30,K339/(D339*Vendas!$U$26),IF(A339=$X$31,K339/(D339*Vendas!$U$27),IF(A339=$X$32,K339/(D339*Vendas!$U$28),IF(A339=$X$33,K339/(D339*Vendas!$U$29),IF(A339=$X$34,K339/(D339*Vendas!$U$30),IF(A339=$X$35,K339/(D339*Vendas!$U$31),IF(A339=$X$36,K339/(D339*Vendas!$U$32),0))))))))</f>
        <v>0.33952105607935917</v>
      </c>
    </row>
    <row r="340" spans="1:17">
      <c r="A340" s="263" t="s">
        <v>33</v>
      </c>
      <c r="B340" s="337" t="s">
        <v>528</v>
      </c>
      <c r="C340" s="166">
        <v>24</v>
      </c>
      <c r="D340" s="197">
        <v>267.82</v>
      </c>
      <c r="E340" s="166"/>
      <c r="F340" s="338" t="s">
        <v>1037</v>
      </c>
      <c r="G340" s="34" t="str">
        <f t="shared" si="24"/>
        <v>XXXV24LIVIA BEATRIZ LIMA LUIZETTO</v>
      </c>
      <c r="H340" s="40">
        <v>43664</v>
      </c>
      <c r="I340" s="35">
        <v>131600.42000000001</v>
      </c>
      <c r="J340" s="35" t="s">
        <v>1250</v>
      </c>
      <c r="K340" s="35">
        <v>164598.1</v>
      </c>
      <c r="L340" s="170">
        <f t="shared" si="25"/>
        <v>1.2507414490014546</v>
      </c>
      <c r="M340" s="154">
        <v>171657.88</v>
      </c>
      <c r="N340" s="170">
        <f t="shared" si="26"/>
        <v>0.95887296289573187</v>
      </c>
      <c r="O340" s="170">
        <f t="shared" si="27"/>
        <v>1.0264190680681793</v>
      </c>
      <c r="P340" s="170">
        <f>IF(A340=$X$29,K340/(D340*Vendas!$U$25),IF(A340=$X$30,K340/(D340*Vendas!$U$26),IF(A340=$X$31,K340/(D340*Vendas!$U$27),IF(A340=$X$32,K340/(D340*Vendas!$U$28),IF(A340=$X$33,K340/(D340*Vendas!$U$29),IF(A340=$X$34,K340/(D340*Vendas!$U$30),IF(A340=$X$35,K340/(D340*Vendas!$U$31),IF(A340=$X$36,K340/(D340*Vendas!$U$32),0))))))))</f>
        <v>1.0169018181500831</v>
      </c>
      <c r="Q340" s="170">
        <f>IF(A340=$X$29,K340/(D340*Vendas!$U$25),IF(A340=$X$30,K340/(D340*Vendas!$U$26),IF(A340=$X$31,K340/(D340*Vendas!$U$27),IF(A340=$X$32,K340/(D340*Vendas!$U$28),IF(A340=$X$33,K340/(D340*Vendas!$U$29),IF(A340=$X$34,K340/(D340*Vendas!$U$30),IF(A340=$X$35,K340/(D340*Vendas!$U$31),IF(A340=$X$36,K340/(D340*Vendas!$U$32),0))))))))</f>
        <v>1.0169018181500831</v>
      </c>
    </row>
    <row r="341" spans="1:17">
      <c r="A341" s="263" t="s">
        <v>33</v>
      </c>
      <c r="B341" s="337" t="s">
        <v>528</v>
      </c>
      <c r="C341" s="73">
        <v>25</v>
      </c>
      <c r="D341" s="315">
        <v>267.82</v>
      </c>
      <c r="E341" s="166">
        <v>7015</v>
      </c>
      <c r="F341" s="74" t="s">
        <v>937</v>
      </c>
      <c r="G341" s="34" t="str">
        <f t="shared" si="24"/>
        <v>XXXV25LEANDRO MARIA CLARO</v>
      </c>
      <c r="H341" s="40">
        <v>43525</v>
      </c>
      <c r="I341" s="35">
        <v>155371.26999999999</v>
      </c>
      <c r="J341" s="35" t="s">
        <v>1249</v>
      </c>
      <c r="K341" s="35">
        <v>135846.79</v>
      </c>
      <c r="L341" s="170">
        <f t="shared" si="25"/>
        <v>0.87433661319753653</v>
      </c>
      <c r="M341" s="154">
        <v>203806.32</v>
      </c>
      <c r="N341" s="170">
        <f t="shared" si="26"/>
        <v>0.66654846621046882</v>
      </c>
      <c r="O341" s="170">
        <f t="shared" si="27"/>
        <v>0.84712846376631112</v>
      </c>
      <c r="P341" s="170">
        <f>IF(A341=$X$29,K341/(D341*Vendas!$U$25),IF(A341=$X$30,K341/(D341*Vendas!$U$26),IF(A341=$X$31,K341/(D341*Vendas!$U$27),IF(A341=$X$32,K341/(D341*Vendas!$U$28),IF(A341=$X$33,K341/(D341*Vendas!$U$29),IF(A341=$X$34,K341/(D341*Vendas!$U$30),IF(A341=$X$35,K341/(D341*Vendas!$U$31),IF(A341=$X$36,K341/(D341*Vendas!$U$32),0))))))))</f>
        <v>0.83927364739236077</v>
      </c>
      <c r="Q341" s="170">
        <f>IF(A341=$X$29,K341/(D341*Vendas!$U$25),IF(A341=$X$30,K341/(D341*Vendas!$U$26),IF(A341=$X$31,K341/(D341*Vendas!$U$27),IF(A341=$X$32,K341/(D341*Vendas!$U$28),IF(A341=$X$33,K341/(D341*Vendas!$U$29),IF(A341=$X$34,K341/(D341*Vendas!$U$30),IF(A341=$X$35,K341/(D341*Vendas!$U$31),IF(A341=$X$36,K341/(D341*Vendas!$U$32),0))))))))</f>
        <v>0.83927364739236077</v>
      </c>
    </row>
    <row r="342" spans="1:17">
      <c r="A342" s="263" t="s">
        <v>33</v>
      </c>
      <c r="B342" s="337" t="s">
        <v>528</v>
      </c>
      <c r="C342" s="166">
        <v>26</v>
      </c>
      <c r="D342" s="197">
        <v>267.82</v>
      </c>
      <c r="E342" s="166">
        <v>5956</v>
      </c>
      <c r="F342" s="338" t="s">
        <v>61</v>
      </c>
      <c r="G342" s="34" t="str">
        <f t="shared" si="24"/>
        <v>XXXV26ALINE CANDIDO DE OLIVEIRA</v>
      </c>
      <c r="H342" s="40">
        <v>43038</v>
      </c>
      <c r="I342" s="35">
        <v>126900</v>
      </c>
      <c r="J342" s="35" t="s">
        <v>834</v>
      </c>
      <c r="K342" s="35">
        <v>122623.54000000001</v>
      </c>
      <c r="L342" s="170">
        <f t="shared" si="25"/>
        <v>0.96630055161544526</v>
      </c>
      <c r="M342" s="154">
        <v>194197.38</v>
      </c>
      <c r="N342" s="170">
        <f t="shared" si="26"/>
        <v>0.63143766409206969</v>
      </c>
      <c r="O342" s="170">
        <f t="shared" si="27"/>
        <v>0.76466945639118011</v>
      </c>
      <c r="P342" s="170">
        <f>IF(A342=$X$29,K342/(D342*Vendas!$U$25),IF(A342=$X$30,K342/(D342*Vendas!$U$26),IF(A342=$X$31,K342/(D342*Vendas!$U$27),IF(A342=$X$32,K342/(D342*Vendas!$U$28),IF(A342=$X$33,K342/(D342*Vendas!$U$29),IF(A342=$X$34,K342/(D342*Vendas!$U$30),IF(A342=$X$35,K342/(D342*Vendas!$U$31),IF(A342=$X$36,K342/(D342*Vendas!$U$32),0))))))))</f>
        <v>0.75757922341752082</v>
      </c>
      <c r="Q342" s="170">
        <f>IF(A342=$X$29,K342/(D342*Vendas!$U$25),IF(A342=$X$30,K342/(D342*Vendas!$U$26),IF(A342=$X$31,K342/(D342*Vendas!$U$27),IF(A342=$X$32,K342/(D342*Vendas!$U$28),IF(A342=$X$33,K342/(D342*Vendas!$U$29),IF(A342=$X$34,K342/(D342*Vendas!$U$30),IF(A342=$X$35,K342/(D342*Vendas!$U$31),IF(A342=$X$36,K342/(D342*Vendas!$U$32),0))))))))</f>
        <v>0.75757922341752082</v>
      </c>
    </row>
    <row r="343" spans="1:17">
      <c r="A343" s="263" t="s">
        <v>33</v>
      </c>
      <c r="B343" s="337" t="s">
        <v>528</v>
      </c>
      <c r="C343" s="73">
        <v>27</v>
      </c>
      <c r="D343" s="315">
        <v>267.82</v>
      </c>
      <c r="E343" s="166">
        <v>6000</v>
      </c>
      <c r="F343" s="74" t="s">
        <v>100</v>
      </c>
      <c r="G343" s="34" t="str">
        <f t="shared" si="24"/>
        <v>XXXV27CARLOS ROBERTO DA SILVA JUNIOR</v>
      </c>
      <c r="H343" s="40">
        <v>43062</v>
      </c>
      <c r="I343" s="35">
        <v>127839.63</v>
      </c>
      <c r="J343" s="35" t="s">
        <v>834</v>
      </c>
      <c r="K343" s="35">
        <v>111467.72</v>
      </c>
      <c r="L343" s="170">
        <f t="shared" si="25"/>
        <v>0.87193400043476343</v>
      </c>
      <c r="M343" s="154">
        <v>190166.5</v>
      </c>
      <c r="N343" s="170">
        <f t="shared" si="26"/>
        <v>0.58615855053334842</v>
      </c>
      <c r="O343" s="170">
        <f t="shared" si="27"/>
        <v>0.69510275806394328</v>
      </c>
      <c r="P343" s="170">
        <f>IF(A343=$X$29,K343/(D343*Vendas!$U$25),IF(A343=$X$30,K343/(D343*Vendas!$U$26),IF(A343=$X$31,K343/(D343*Vendas!$U$27),IF(A343=$X$32,K343/(D343*Vendas!$U$28),IF(A343=$X$33,K343/(D343*Vendas!$U$29),IF(A343=$X$34,K343/(D343*Vendas!$U$30),IF(A343=$X$35,K343/(D343*Vendas!$U$31),IF(A343=$X$36,K343/(D343*Vendas!$U$32),0))))))))</f>
        <v>0.68865756732941863</v>
      </c>
      <c r="Q343" s="170">
        <f>IF(A343=$X$29,K343/(D343*Vendas!$U$25),IF(A343=$X$30,K343/(D343*Vendas!$U$26),IF(A343=$X$31,K343/(D343*Vendas!$U$27),IF(A343=$X$32,K343/(D343*Vendas!$U$28),IF(A343=$X$33,K343/(D343*Vendas!$U$29),IF(A343=$X$34,K343/(D343*Vendas!$U$30),IF(A343=$X$35,K343/(D343*Vendas!$U$31),IF(A343=$X$36,K343/(D343*Vendas!$U$32),0))))))))</f>
        <v>0.68865756732941863</v>
      </c>
    </row>
    <row r="344" spans="1:17">
      <c r="A344" s="263" t="s">
        <v>33</v>
      </c>
      <c r="B344" s="337" t="s">
        <v>529</v>
      </c>
      <c r="C344" s="166">
        <v>1</v>
      </c>
      <c r="D344" s="197">
        <v>353.3</v>
      </c>
      <c r="E344" s="166">
        <v>4980</v>
      </c>
      <c r="F344" s="338" t="s">
        <v>1421</v>
      </c>
      <c r="G344" s="34" t="str">
        <f t="shared" si="24"/>
        <v>XXXVI1CRISTIANO BETIOL</v>
      </c>
      <c r="H344" s="40">
        <v>44202</v>
      </c>
      <c r="I344" s="35">
        <v>225600</v>
      </c>
      <c r="J344" s="35" t="s">
        <v>834</v>
      </c>
      <c r="K344" s="35">
        <v>183837.92</v>
      </c>
      <c r="L344" s="170">
        <f t="shared" si="25"/>
        <v>0.81488439716312067</v>
      </c>
      <c r="M344" s="154">
        <v>229029.5</v>
      </c>
      <c r="N344" s="170">
        <f t="shared" si="26"/>
        <v>0.80268227455415142</v>
      </c>
      <c r="O344" s="170">
        <f t="shared" si="27"/>
        <v>0.86902918063531709</v>
      </c>
      <c r="P344" s="170">
        <f>IF(A344=$X$29,K344/(D344*Vendas!$U$25),IF(A344=$X$30,K344/(D344*Vendas!$U$26),IF(A344=$X$31,K344/(D344*Vendas!$U$27),IF(A344=$X$32,K344/(D344*Vendas!$U$28),IF(A344=$X$33,K344/(D344*Vendas!$U$29),IF(A344=$X$34,K344/(D344*Vendas!$U$30),IF(A344=$X$35,K344/(D344*Vendas!$U$31),IF(A344=$X$36,K344/(D344*Vendas!$U$32),0))))))))</f>
        <v>0.86097129457734378</v>
      </c>
      <c r="Q344" s="170">
        <f>IF(A344=$X$29,K344/(D344*Vendas!$U$25),IF(A344=$X$30,K344/(D344*Vendas!$U$26),IF(A344=$X$31,K344/(D344*Vendas!$U$27),IF(A344=$X$32,K344/(D344*Vendas!$U$28),IF(A344=$X$33,K344/(D344*Vendas!$U$29),IF(A344=$X$34,K344/(D344*Vendas!$U$30),IF(A344=$X$35,K344/(D344*Vendas!$U$31),IF(A344=$X$36,K344/(D344*Vendas!$U$32),0))))))))</f>
        <v>0.86097129457734378</v>
      </c>
    </row>
    <row r="345" spans="1:17">
      <c r="A345" s="263" t="s">
        <v>33</v>
      </c>
      <c r="B345" s="337" t="s">
        <v>529</v>
      </c>
      <c r="C345" s="73">
        <v>5</v>
      </c>
      <c r="D345" s="315">
        <v>257</v>
      </c>
      <c r="E345" s="166">
        <v>5806</v>
      </c>
      <c r="F345" s="74" t="s">
        <v>59</v>
      </c>
      <c r="G345" s="34" t="str">
        <f t="shared" si="24"/>
        <v>XXXVI5ALEXANDRE FRANCO FERREIRA</v>
      </c>
      <c r="H345" s="40">
        <v>42971</v>
      </c>
      <c r="I345" s="35">
        <v>124079.4</v>
      </c>
      <c r="J345" s="35" t="s">
        <v>834</v>
      </c>
      <c r="K345" s="35">
        <v>117458.67</v>
      </c>
      <c r="L345" s="170">
        <f t="shared" si="25"/>
        <v>0.94664118298444389</v>
      </c>
      <c r="M345" s="154">
        <v>190549.03</v>
      </c>
      <c r="N345" s="170">
        <f t="shared" si="26"/>
        <v>0.61642229299199269</v>
      </c>
      <c r="O345" s="170">
        <f t="shared" si="27"/>
        <v>0.76329928410194858</v>
      </c>
      <c r="P345" s="170">
        <f>IF(A345=$X$29,K345/(D345*Vendas!$U$25),IF(A345=$X$30,K345/(D345*Vendas!$U$26),IF(A345=$X$31,K345/(D345*Vendas!$U$27),IF(A345=$X$32,K345/(D345*Vendas!$U$28),IF(A345=$X$33,K345/(D345*Vendas!$U$29),IF(A345=$X$34,K345/(D345*Vendas!$U$30),IF(A345=$X$35,K345/(D345*Vendas!$U$31),IF(A345=$X$36,K345/(D345*Vendas!$U$32),0))))))))</f>
        <v>0.75622175575597317</v>
      </c>
      <c r="Q345" s="170">
        <f>IF(A345=$X$29,K345/(D345*Vendas!$U$25),IF(A345=$X$30,K345/(D345*Vendas!$U$26),IF(A345=$X$31,K345/(D345*Vendas!$U$27),IF(A345=$X$32,K345/(D345*Vendas!$U$28),IF(A345=$X$33,K345/(D345*Vendas!$U$29),IF(A345=$X$34,K345/(D345*Vendas!$U$30),IF(A345=$X$35,K345/(D345*Vendas!$U$31),IF(A345=$X$36,K345/(D345*Vendas!$U$32),0))))))))</f>
        <v>0.75622175575597317</v>
      </c>
    </row>
    <row r="346" spans="1:17">
      <c r="A346" s="263" t="s">
        <v>33</v>
      </c>
      <c r="B346" s="337" t="s">
        <v>529</v>
      </c>
      <c r="C346" s="166">
        <v>6</v>
      </c>
      <c r="D346" s="197">
        <v>257</v>
      </c>
      <c r="E346" s="166">
        <v>5795</v>
      </c>
      <c r="F346" s="338" t="s">
        <v>47</v>
      </c>
      <c r="G346" s="34" t="str">
        <f t="shared" si="24"/>
        <v>XXXVI6ADRIANO TORRES UNZER DOS SANTOS</v>
      </c>
      <c r="H346" s="40">
        <v>42952</v>
      </c>
      <c r="I346" s="35">
        <v>124080.6</v>
      </c>
      <c r="J346" s="35" t="s">
        <v>834</v>
      </c>
      <c r="K346" s="35">
        <v>110901.68000000001</v>
      </c>
      <c r="L346" s="170">
        <f t="shared" si="25"/>
        <v>0.89378742527034849</v>
      </c>
      <c r="M346" s="154">
        <v>187507.05000000002</v>
      </c>
      <c r="N346" s="170">
        <f t="shared" si="26"/>
        <v>0.59145338801927716</v>
      </c>
      <c r="O346" s="170">
        <f t="shared" si="27"/>
        <v>0.72068901299242871</v>
      </c>
      <c r="P346" s="170">
        <f>IF(A346=$X$29,K346/(D346*Vendas!$U$25),IF(A346=$X$30,K346/(D346*Vendas!$U$26),IF(A346=$X$31,K346/(D346*Vendas!$U$27),IF(A346=$X$32,K346/(D346*Vendas!$U$28),IF(A346=$X$33,K346/(D346*Vendas!$U$29),IF(A346=$X$34,K346/(D346*Vendas!$U$30),IF(A346=$X$35,K346/(D346*Vendas!$U$31),IF(A346=$X$36,K346/(D346*Vendas!$U$32),0))))))))</f>
        <v>0.71400657921537092</v>
      </c>
      <c r="Q346" s="170">
        <f>IF(A346=$X$29,K346/(D346*Vendas!$U$25),IF(A346=$X$30,K346/(D346*Vendas!$U$26),IF(A346=$X$31,K346/(D346*Vendas!$U$27),IF(A346=$X$32,K346/(D346*Vendas!$U$28),IF(A346=$X$33,K346/(D346*Vendas!$U$29),IF(A346=$X$34,K346/(D346*Vendas!$U$30),IF(A346=$X$35,K346/(D346*Vendas!$U$31),IF(A346=$X$36,K346/(D346*Vendas!$U$32),0))))))))</f>
        <v>0.71400657921537092</v>
      </c>
    </row>
    <row r="347" spans="1:17">
      <c r="A347" s="263" t="s">
        <v>33</v>
      </c>
      <c r="B347" s="337" t="s">
        <v>529</v>
      </c>
      <c r="C347" s="73">
        <v>8</v>
      </c>
      <c r="D347" s="315">
        <v>257</v>
      </c>
      <c r="E347" s="166">
        <v>5791</v>
      </c>
      <c r="F347" s="74" t="s">
        <v>165</v>
      </c>
      <c r="G347" s="34" t="str">
        <f t="shared" si="24"/>
        <v>XXXVI8EDSON FIALHO DA COSTA</v>
      </c>
      <c r="H347" s="40">
        <v>42967</v>
      </c>
      <c r="I347" s="35">
        <v>124079.46</v>
      </c>
      <c r="J347" s="35" t="s">
        <v>834</v>
      </c>
      <c r="K347" s="35">
        <v>103809.78</v>
      </c>
      <c r="L347" s="170">
        <f t="shared" si="25"/>
        <v>0.83663952115845763</v>
      </c>
      <c r="M347" s="154">
        <v>186144.82</v>
      </c>
      <c r="N347" s="170">
        <f t="shared" si="26"/>
        <v>0.55768288368164098</v>
      </c>
      <c r="O347" s="170">
        <f t="shared" si="27"/>
        <v>0.67460265603876479</v>
      </c>
      <c r="P347" s="170">
        <f>IF(A347=$X$29,K347/(D347*Vendas!$U$25),IF(A347=$X$30,K347/(D347*Vendas!$U$26),IF(A347=$X$31,K347/(D347*Vendas!$U$27),IF(A347=$X$32,K347/(D347*Vendas!$U$28),IF(A347=$X$33,K347/(D347*Vendas!$U$29),IF(A347=$X$34,K347/(D347*Vendas!$U$30),IF(A347=$X$35,K347/(D347*Vendas!$U$31),IF(A347=$X$36,K347/(D347*Vendas!$U$32),0))))))))</f>
        <v>0.66834754808854313</v>
      </c>
      <c r="Q347" s="170">
        <f>IF(A347=$X$29,K347/(D347*Vendas!$U$25),IF(A347=$X$30,K347/(D347*Vendas!$U$26),IF(A347=$X$31,K347/(D347*Vendas!$U$27),IF(A347=$X$32,K347/(D347*Vendas!$U$28),IF(A347=$X$33,K347/(D347*Vendas!$U$29),IF(A347=$X$34,K347/(D347*Vendas!$U$30),IF(A347=$X$35,K347/(D347*Vendas!$U$31),IF(A347=$X$36,K347/(D347*Vendas!$U$32),0))))))))</f>
        <v>0.66834754808854313</v>
      </c>
    </row>
    <row r="348" spans="1:17">
      <c r="A348" s="263" t="s">
        <v>33</v>
      </c>
      <c r="B348" s="337" t="s">
        <v>529</v>
      </c>
      <c r="C348" s="166">
        <v>10</v>
      </c>
      <c r="D348" s="197">
        <v>257</v>
      </c>
      <c r="E348" s="166">
        <v>6318</v>
      </c>
      <c r="F348" s="338" t="s">
        <v>587</v>
      </c>
      <c r="G348" s="34" t="str">
        <f t="shared" si="24"/>
        <v>XXXVI10LUCIANO CROCE</v>
      </c>
      <c r="H348" s="40">
        <v>43201</v>
      </c>
      <c r="I348" s="35">
        <v>152573.47</v>
      </c>
      <c r="J348" s="35" t="s">
        <v>1250</v>
      </c>
      <c r="K348" s="35">
        <v>158723.16</v>
      </c>
      <c r="L348" s="170">
        <f t="shared" si="25"/>
        <v>1.0403064176229329</v>
      </c>
      <c r="M348" s="154">
        <v>218482.62</v>
      </c>
      <c r="N348" s="170">
        <f t="shared" si="26"/>
        <v>0.72647957077775804</v>
      </c>
      <c r="O348" s="170">
        <f t="shared" si="27"/>
        <v>1.0314545056435513</v>
      </c>
      <c r="P348" s="170">
        <f>IF(A348=$X$29,K348/(D348*Vendas!$U$25),IF(A348=$X$30,K348/(D348*Vendas!$U$26),IF(A348=$X$31,K348/(D348*Vendas!$U$27),IF(A348=$X$32,K348/(D348*Vendas!$U$28),IF(A348=$X$33,K348/(D348*Vendas!$U$29),IF(A348=$X$34,K348/(D348*Vendas!$U$30),IF(A348=$X$35,K348/(D348*Vendas!$U$31),IF(A348=$X$36,K348/(D348*Vendas!$U$32),0))))))))</f>
        <v>1.0218905657141892</v>
      </c>
      <c r="Q348" s="170">
        <f>IF(A348=$X$29,K348/(D348*Vendas!$U$25),IF(A348=$X$30,K348/(D348*Vendas!$U$26),IF(A348=$X$31,K348/(D348*Vendas!$U$27),IF(A348=$X$32,K348/(D348*Vendas!$U$28),IF(A348=$X$33,K348/(D348*Vendas!$U$29),IF(A348=$X$34,K348/(D348*Vendas!$U$30),IF(A348=$X$35,K348/(D348*Vendas!$U$31),IF(A348=$X$36,K348/(D348*Vendas!$U$32),0))))))))</f>
        <v>1.0218905657141892</v>
      </c>
    </row>
    <row r="349" spans="1:17">
      <c r="A349" s="263" t="s">
        <v>33</v>
      </c>
      <c r="B349" s="337" t="s">
        <v>529</v>
      </c>
      <c r="C349" s="73">
        <v>11</v>
      </c>
      <c r="D349" s="315">
        <v>257</v>
      </c>
      <c r="E349" s="166">
        <v>4883</v>
      </c>
      <c r="F349" s="74" t="s">
        <v>1366</v>
      </c>
      <c r="G349" s="34" t="str">
        <f t="shared" si="24"/>
        <v>XXXVI11FELIPE AKIO HOSHINO DE BARROS</v>
      </c>
      <c r="H349" s="40">
        <v>44158</v>
      </c>
      <c r="I349" s="35">
        <v>161748.62</v>
      </c>
      <c r="J349" s="35" t="s">
        <v>834</v>
      </c>
      <c r="K349" s="35">
        <v>164418.41</v>
      </c>
      <c r="L349" s="170">
        <f t="shared" si="25"/>
        <v>1.0165057977001597</v>
      </c>
      <c r="M349" s="154">
        <v>174068.23</v>
      </c>
      <c r="N349" s="170">
        <f t="shared" si="26"/>
        <v>0.94456300268004101</v>
      </c>
      <c r="O349" s="170">
        <f t="shared" si="27"/>
        <v>1.06846480252314</v>
      </c>
      <c r="P349" s="170">
        <f>IF(A349=$X$29,K349/(D349*Vendas!$U$25),IF(A349=$X$30,K349/(D349*Vendas!$U$26),IF(A349=$X$31,K349/(D349*Vendas!$U$27),IF(A349=$X$32,K349/(D349*Vendas!$U$28),IF(A349=$X$33,K349/(D349*Vendas!$U$29),IF(A349=$X$34,K349/(D349*Vendas!$U$30),IF(A349=$X$35,K349/(D349*Vendas!$U$31),IF(A349=$X$36,K349/(D349*Vendas!$U$32),0))))))))</f>
        <v>1.0585576925807645</v>
      </c>
      <c r="Q349" s="170">
        <f>IF(A349=$X$29,K349/(D349*Vendas!$U$25),IF(A349=$X$30,K349/(D349*Vendas!$U$26),IF(A349=$X$31,K349/(D349*Vendas!$U$27),IF(A349=$X$32,K349/(D349*Vendas!$U$28),IF(A349=$X$33,K349/(D349*Vendas!$U$29),IF(A349=$X$34,K349/(D349*Vendas!$U$30),IF(A349=$X$35,K349/(D349*Vendas!$U$31),IF(A349=$X$36,K349/(D349*Vendas!$U$32),0))))))))</f>
        <v>1.0585576925807645</v>
      </c>
    </row>
    <row r="350" spans="1:17">
      <c r="A350" s="263" t="s">
        <v>33</v>
      </c>
      <c r="B350" s="337" t="s">
        <v>529</v>
      </c>
      <c r="C350" s="166">
        <v>12</v>
      </c>
      <c r="D350" s="197">
        <v>257</v>
      </c>
      <c r="E350" s="166">
        <v>4836</v>
      </c>
      <c r="F350" s="338" t="s">
        <v>1348</v>
      </c>
      <c r="G350" s="34" t="str">
        <f t="shared" si="24"/>
        <v>XXXVI12DIRLEY SOARES DOS SANTOS</v>
      </c>
      <c r="H350" s="40">
        <v>44117</v>
      </c>
      <c r="I350" s="35">
        <v>147579.96</v>
      </c>
      <c r="J350" s="35" t="s">
        <v>834</v>
      </c>
      <c r="K350" s="35">
        <v>120438.35</v>
      </c>
      <c r="L350" s="170">
        <f t="shared" si="25"/>
        <v>0.81608878332803458</v>
      </c>
      <c r="M350" s="154">
        <v>153138.57</v>
      </c>
      <c r="N350" s="170">
        <f t="shared" si="26"/>
        <v>0.7864664662860571</v>
      </c>
      <c r="O350" s="170">
        <f t="shared" si="27"/>
        <v>0.78266258534529576</v>
      </c>
      <c r="P350" s="170">
        <f>IF(A350=$X$29,K350/(D350*Vendas!$U$25),IF(A350=$X$30,K350/(D350*Vendas!$U$26),IF(A350=$X$31,K350/(D350*Vendas!$U$27),IF(A350=$X$32,K350/(D350*Vendas!$U$28),IF(A350=$X$33,K350/(D350*Vendas!$U$29),IF(A350=$X$34,K350/(D350*Vendas!$U$30),IF(A350=$X$35,K350/(D350*Vendas!$U$31),IF(A350=$X$36,K350/(D350*Vendas!$U$32),0))))))))</f>
        <v>0.7754055149556216</v>
      </c>
      <c r="Q350" s="170">
        <f>IF(A350=$X$29,K350/(D350*Vendas!$U$25),IF(A350=$X$30,K350/(D350*Vendas!$U$26),IF(A350=$X$31,K350/(D350*Vendas!$U$27),IF(A350=$X$32,K350/(D350*Vendas!$U$28),IF(A350=$X$33,K350/(D350*Vendas!$U$29),IF(A350=$X$34,K350/(D350*Vendas!$U$30),IF(A350=$X$35,K350/(D350*Vendas!$U$31),IF(A350=$X$36,K350/(D350*Vendas!$U$32),0))))))))</f>
        <v>0.7754055149556216</v>
      </c>
    </row>
    <row r="351" spans="1:17">
      <c r="A351" s="263" t="s">
        <v>33</v>
      </c>
      <c r="B351" s="337" t="s">
        <v>529</v>
      </c>
      <c r="C351" s="73">
        <v>14</v>
      </c>
      <c r="D351" s="315">
        <v>257</v>
      </c>
      <c r="E351" s="166">
        <v>6031</v>
      </c>
      <c r="F351" s="74" t="s">
        <v>1505</v>
      </c>
      <c r="G351" s="34" t="str">
        <f t="shared" si="24"/>
        <v>XXXVI14LOURIVAL RODRIGUES INACIO</v>
      </c>
      <c r="H351" s="40">
        <v>43074</v>
      </c>
      <c r="I351" s="35">
        <v>126900.6</v>
      </c>
      <c r="J351" s="35" t="s">
        <v>834</v>
      </c>
      <c r="K351" s="35">
        <v>64613.060000000005</v>
      </c>
      <c r="L351" s="170">
        <f t="shared" si="25"/>
        <v>0.50916276203579813</v>
      </c>
      <c r="M351" s="154">
        <v>192559.5</v>
      </c>
      <c r="N351" s="170">
        <f t="shared" si="26"/>
        <v>0.33554854473552331</v>
      </c>
      <c r="O351" s="170">
        <f t="shared" si="27"/>
        <v>0.41988473427833173</v>
      </c>
      <c r="P351" s="170">
        <f>IF(A351=$X$29,K351/(D351*Vendas!$U$25),IF(A351=$X$30,K351/(D351*Vendas!$U$26),IF(A351=$X$31,K351/(D351*Vendas!$U$27),IF(A351=$X$32,K351/(D351*Vendas!$U$28),IF(A351=$X$33,K351/(D351*Vendas!$U$29),IF(A351=$X$34,K351/(D351*Vendas!$U$30),IF(A351=$X$35,K351/(D351*Vendas!$U$31),IF(A351=$X$36,K351/(D351*Vendas!$U$32),0))))))))</f>
        <v>0.41599144344105077</v>
      </c>
      <c r="Q351" s="170">
        <f>IF(A351=$X$29,K351/(D351*Vendas!$U$25),IF(A351=$X$30,K351/(D351*Vendas!$U$26),IF(A351=$X$31,K351/(D351*Vendas!$U$27),IF(A351=$X$32,K351/(D351*Vendas!$U$28),IF(A351=$X$33,K351/(D351*Vendas!$U$29),IF(A351=$X$34,K351/(D351*Vendas!$U$30),IF(A351=$X$35,K351/(D351*Vendas!$U$31),IF(A351=$X$36,K351/(D351*Vendas!$U$32),0))))))))</f>
        <v>0.41599144344105077</v>
      </c>
    </row>
    <row r="352" spans="1:17">
      <c r="A352" s="263" t="s">
        <v>33</v>
      </c>
      <c r="B352" s="337" t="s">
        <v>529</v>
      </c>
      <c r="C352" s="166">
        <v>16</v>
      </c>
      <c r="D352" s="197">
        <v>257</v>
      </c>
      <c r="E352" s="166">
        <v>6033</v>
      </c>
      <c r="F352" s="338" t="s">
        <v>459</v>
      </c>
      <c r="G352" s="34" t="str">
        <f t="shared" si="24"/>
        <v>XXXVI16VALDEMIRO APARECIDO GIROLDO</v>
      </c>
      <c r="H352" s="40">
        <v>43081</v>
      </c>
      <c r="I352" s="35">
        <v>128779.28</v>
      </c>
      <c r="J352" s="35" t="s">
        <v>834</v>
      </c>
      <c r="K352" s="35">
        <v>99439.07</v>
      </c>
      <c r="L352" s="170">
        <f t="shared" si="25"/>
        <v>0.7721666870633227</v>
      </c>
      <c r="M352" s="154">
        <v>188046.77</v>
      </c>
      <c r="N352" s="170">
        <f t="shared" si="26"/>
        <v>0.52879967042241682</v>
      </c>
      <c r="O352" s="170">
        <f t="shared" si="27"/>
        <v>0.64619981600986598</v>
      </c>
      <c r="P352" s="170">
        <f>IF(A352=$X$29,K352/(D352*Vendas!$U$25),IF(A352=$X$30,K352/(D352*Vendas!$U$26),IF(A352=$X$31,K352/(D352*Vendas!$U$27),IF(A352=$X$32,K352/(D352*Vendas!$U$28),IF(A352=$X$33,K352/(D352*Vendas!$U$29),IF(A352=$X$34,K352/(D352*Vendas!$U$30),IF(A352=$X$35,K352/(D352*Vendas!$U$31),IF(A352=$X$36,K352/(D352*Vendas!$U$32),0))))))))</f>
        <v>0.64020806728137758</v>
      </c>
      <c r="Q352" s="170">
        <f>IF(A352=$X$29,K352/(D352*Vendas!$U$25),IF(A352=$X$30,K352/(D352*Vendas!$U$26),IF(A352=$X$31,K352/(D352*Vendas!$U$27),IF(A352=$X$32,K352/(D352*Vendas!$U$28),IF(A352=$X$33,K352/(D352*Vendas!$U$29),IF(A352=$X$34,K352/(D352*Vendas!$U$30),IF(A352=$X$35,K352/(D352*Vendas!$U$31),IF(A352=$X$36,K352/(D352*Vendas!$U$32),0))))))))</f>
        <v>0.64020806728137758</v>
      </c>
    </row>
    <row r="353" spans="1:17">
      <c r="A353" s="263" t="s">
        <v>33</v>
      </c>
      <c r="B353" s="337" t="s">
        <v>529</v>
      </c>
      <c r="C353" s="73">
        <v>18</v>
      </c>
      <c r="D353" s="315">
        <v>257</v>
      </c>
      <c r="E353" s="166">
        <v>4964</v>
      </c>
      <c r="F353" s="74" t="s">
        <v>338</v>
      </c>
      <c r="G353" s="34" t="str">
        <f t="shared" si="24"/>
        <v>XXXVI18MARCO ANTONIO GERALDA</v>
      </c>
      <c r="H353" s="40">
        <v>42257</v>
      </c>
      <c r="I353" s="35">
        <v>150900.29</v>
      </c>
      <c r="J353" s="35" t="s">
        <v>834</v>
      </c>
      <c r="K353" s="35">
        <v>134401.65</v>
      </c>
      <c r="L353" s="170">
        <f t="shared" si="25"/>
        <v>0.89066528632913822</v>
      </c>
      <c r="M353" s="154">
        <v>226174.29</v>
      </c>
      <c r="N353" s="170">
        <f t="shared" si="26"/>
        <v>0.59423929218480132</v>
      </c>
      <c r="O353" s="170">
        <f t="shared" si="27"/>
        <v>0.87340239104632</v>
      </c>
      <c r="P353" s="170">
        <f>IF(A353=$X$29,K353/(D353*Vendas!$U$25),IF(A353=$X$30,K353/(D353*Vendas!$U$26),IF(A353=$X$31,K353/(D353*Vendas!$U$27),IF(A353=$X$32,K353/(D353*Vendas!$U$28),IF(A353=$X$33,K353/(D353*Vendas!$U$29),IF(A353=$X$34,K353/(D353*Vendas!$U$30),IF(A353=$X$35,K353/(D353*Vendas!$U$31),IF(A353=$X$36,K353/(D353*Vendas!$U$32),0))))))))</f>
        <v>0.86530395533594751</v>
      </c>
      <c r="Q353" s="170">
        <f>IF(A353=$X$29,K353/(D353*Vendas!$U$25),IF(A353=$X$30,K353/(D353*Vendas!$U$26),IF(A353=$X$31,K353/(D353*Vendas!$U$27),IF(A353=$X$32,K353/(D353*Vendas!$U$28),IF(A353=$X$33,K353/(D353*Vendas!$U$29),IF(A353=$X$34,K353/(D353*Vendas!$U$30),IF(A353=$X$35,K353/(D353*Vendas!$U$31),IF(A353=$X$36,K353/(D353*Vendas!$U$32),0))))))))</f>
        <v>0.86530395533594751</v>
      </c>
    </row>
    <row r="354" spans="1:17">
      <c r="A354" s="263" t="s">
        <v>33</v>
      </c>
      <c r="B354" s="337" t="s">
        <v>529</v>
      </c>
      <c r="C354" s="166">
        <v>21</v>
      </c>
      <c r="D354" s="197">
        <v>338.85</v>
      </c>
      <c r="E354" s="166">
        <v>4909</v>
      </c>
      <c r="F354" s="338" t="s">
        <v>1385</v>
      </c>
      <c r="G354" s="34" t="str">
        <f t="shared" si="24"/>
        <v>XXXVI21GIVANIA MARIA BERTIN MAZIERI</v>
      </c>
      <c r="H354" s="40">
        <v>44166</v>
      </c>
      <c r="I354" s="35">
        <v>222483.99</v>
      </c>
      <c r="J354" s="35" t="s">
        <v>834</v>
      </c>
      <c r="K354" s="35">
        <v>218560.9</v>
      </c>
      <c r="L354" s="170">
        <f t="shared" si="25"/>
        <v>0.9823668660383158</v>
      </c>
      <c r="M354" s="154">
        <v>235775.14</v>
      </c>
      <c r="N354" s="170">
        <f t="shared" si="26"/>
        <v>0.92698874020390776</v>
      </c>
      <c r="O354" s="170">
        <f t="shared" si="27"/>
        <v>1.0772286113404381</v>
      </c>
      <c r="P354" s="170">
        <f>IF(A354=$X$29,K354/(D354*Vendas!$U$25),IF(A354=$X$30,K354/(D354*Vendas!$U$26),IF(A354=$X$31,K354/(D354*Vendas!$U$27),IF(A354=$X$32,K354/(D354*Vendas!$U$28),IF(A354=$X$33,K354/(D354*Vendas!$U$29),IF(A354=$X$34,K354/(D354*Vendas!$U$30),IF(A354=$X$35,K354/(D354*Vendas!$U$31),IF(A354=$X$36,K354/(D354*Vendas!$U$32),0))))))))</f>
        <v>1.0672402408668202</v>
      </c>
      <c r="Q354" s="170">
        <f>IF(A354=$X$29,K354/(D354*Vendas!$U$25),IF(A354=$X$30,K354/(D354*Vendas!$U$26),IF(A354=$X$31,K354/(D354*Vendas!$U$27),IF(A354=$X$32,K354/(D354*Vendas!$U$28),IF(A354=$X$33,K354/(D354*Vendas!$U$29),IF(A354=$X$34,K354/(D354*Vendas!$U$30),IF(A354=$X$35,K354/(D354*Vendas!$U$31),IF(A354=$X$36,K354/(D354*Vendas!$U$32),0))))))))</f>
        <v>1.0672402408668202</v>
      </c>
    </row>
    <row r="355" spans="1:17">
      <c r="A355" s="263" t="s">
        <v>33</v>
      </c>
      <c r="B355" s="337" t="s">
        <v>530</v>
      </c>
      <c r="C355" s="73">
        <v>2</v>
      </c>
      <c r="D355" s="315">
        <v>255.5</v>
      </c>
      <c r="E355" s="166">
        <v>3944</v>
      </c>
      <c r="F355" s="74" t="s">
        <v>308</v>
      </c>
      <c r="G355" s="34" t="str">
        <f t="shared" si="24"/>
        <v>XXXVII2LUCAS FABRICIO SALAMON</v>
      </c>
      <c r="H355" s="40">
        <v>41914</v>
      </c>
      <c r="I355" s="35">
        <v>112653.35</v>
      </c>
      <c r="J355" s="35" t="s">
        <v>834</v>
      </c>
      <c r="K355" s="35">
        <v>117864.53</v>
      </c>
      <c r="L355" s="170">
        <f t="shared" si="25"/>
        <v>1.0462585444640571</v>
      </c>
      <c r="M355" s="154">
        <v>196744.72</v>
      </c>
      <c r="N355" s="170">
        <f t="shared" si="26"/>
        <v>0.59907340842488677</v>
      </c>
      <c r="O355" s="170">
        <f t="shared" si="27"/>
        <v>0.77043343820362209</v>
      </c>
      <c r="P355" s="170">
        <f>IF(A355=$X$29,K355/(D355*Vendas!$U$25),IF(A355=$X$30,K355/(D355*Vendas!$U$26),IF(A355=$X$31,K355/(D355*Vendas!$U$27),IF(A355=$X$32,K355/(D355*Vendas!$U$28),IF(A355=$X$33,K355/(D355*Vendas!$U$29),IF(A355=$X$34,K355/(D355*Vendas!$U$30),IF(A355=$X$35,K355/(D355*Vendas!$U$31),IF(A355=$X$36,K355/(D355*Vendas!$U$32),0))))))))</f>
        <v>0.76328975994904513</v>
      </c>
      <c r="Q355" s="170">
        <f>IF(A355=$X$29,K355/(D355*Vendas!$U$25),IF(A355=$X$30,K355/(D355*Vendas!$U$26),IF(A355=$X$31,K355/(D355*Vendas!$U$27),IF(A355=$X$32,K355/(D355*Vendas!$U$28),IF(A355=$X$33,K355/(D355*Vendas!$U$29),IF(A355=$X$34,K355/(D355*Vendas!$U$30),IF(A355=$X$35,K355/(D355*Vendas!$U$31),IF(A355=$X$36,K355/(D355*Vendas!$U$32),0))))))))</f>
        <v>0.76328975994904513</v>
      </c>
    </row>
    <row r="356" spans="1:17">
      <c r="A356" s="263" t="s">
        <v>33</v>
      </c>
      <c r="B356" s="337" t="s">
        <v>530</v>
      </c>
      <c r="C356" s="166">
        <v>7</v>
      </c>
      <c r="D356" s="197">
        <v>255.5</v>
      </c>
      <c r="E356" s="166">
        <v>4735</v>
      </c>
      <c r="F356" s="338" t="s">
        <v>1255</v>
      </c>
      <c r="G356" s="34" t="str">
        <f t="shared" si="24"/>
        <v>XXXVII7ELCIO LUIZ DOS SANTOS</v>
      </c>
      <c r="H356" s="40">
        <v>44046</v>
      </c>
      <c r="I356" s="35">
        <v>146640</v>
      </c>
      <c r="J356" s="35" t="s">
        <v>834</v>
      </c>
      <c r="K356" s="35">
        <v>133400</v>
      </c>
      <c r="L356" s="170">
        <f t="shared" si="25"/>
        <v>0.90971085651936712</v>
      </c>
      <c r="M356" s="154">
        <v>146640</v>
      </c>
      <c r="N356" s="170">
        <f t="shared" si="26"/>
        <v>0.90971085651936712</v>
      </c>
      <c r="O356" s="170">
        <f t="shared" si="27"/>
        <v>0.87198261136207134</v>
      </c>
      <c r="P356" s="170">
        <f>IF(A356=$X$29,K356/(D356*Vendas!$U$25),IF(A356=$X$30,K356/(D356*Vendas!$U$26),IF(A356=$X$31,K356/(D356*Vendas!$U$27),IF(A356=$X$32,K356/(D356*Vendas!$U$28),IF(A356=$X$33,K356/(D356*Vendas!$U$29),IF(A356=$X$34,K356/(D356*Vendas!$U$30),IF(A356=$X$35,K356/(D356*Vendas!$U$31),IF(A356=$X$36,K356/(D356*Vendas!$U$32),0))))))))</f>
        <v>0.86389734025327736</v>
      </c>
      <c r="Q356" s="170">
        <f>IF(A356=$X$29,K356/(D356*Vendas!$U$25),IF(A356=$X$30,K356/(D356*Vendas!$U$26),IF(A356=$X$31,K356/(D356*Vendas!$U$27),IF(A356=$X$32,K356/(D356*Vendas!$U$28),IF(A356=$X$33,K356/(D356*Vendas!$U$29),IF(A356=$X$34,K356/(D356*Vendas!$U$30),IF(A356=$X$35,K356/(D356*Vendas!$U$31),IF(A356=$X$36,K356/(D356*Vendas!$U$32),0))))))))</f>
        <v>0.86389734025327736</v>
      </c>
    </row>
    <row r="357" spans="1:17">
      <c r="A357" s="263" t="s">
        <v>33</v>
      </c>
      <c r="B357" s="337" t="s">
        <v>530</v>
      </c>
      <c r="C357" s="73">
        <v>11</v>
      </c>
      <c r="D357" s="315">
        <v>255.5</v>
      </c>
      <c r="E357" s="166">
        <v>3679</v>
      </c>
      <c r="F357" s="74" t="s">
        <v>407</v>
      </c>
      <c r="G357" s="34" t="str">
        <f t="shared" si="24"/>
        <v>XXXVII11RAQUEL EUCANAS GOULART VIEIRA</v>
      </c>
      <c r="H357" s="40">
        <v>41730</v>
      </c>
      <c r="I357" s="35">
        <v>104037.94</v>
      </c>
      <c r="J357" s="35" t="s">
        <v>1250</v>
      </c>
      <c r="K357" s="35">
        <v>188981.89</v>
      </c>
      <c r="L357" s="170">
        <f t="shared" si="25"/>
        <v>1.8164708951369088</v>
      </c>
      <c r="M357" s="154">
        <v>258386.02000000002</v>
      </c>
      <c r="N357" s="170">
        <f t="shared" si="26"/>
        <v>0.73139363344812536</v>
      </c>
      <c r="O357" s="170">
        <f t="shared" si="27"/>
        <v>1.2352992649350805</v>
      </c>
      <c r="P357" s="170">
        <f>IF(A357=$X$29,K357/(D357*Vendas!$U$25),IF(A357=$X$30,K357/(D357*Vendas!$U$26),IF(A357=$X$31,K357/(D357*Vendas!$U$27),IF(A357=$X$32,K357/(D357*Vendas!$U$28),IF(A357=$X$33,K357/(D357*Vendas!$U$29),IF(A357=$X$34,K357/(D357*Vendas!$U$30),IF(A357=$X$35,K357/(D357*Vendas!$U$31),IF(A357=$X$36,K357/(D357*Vendas!$U$32),0))))))))</f>
        <v>1.223845218343609</v>
      </c>
      <c r="Q357" s="170">
        <f>IF(A357=$X$29,K357/(D357*Vendas!$U$25),IF(A357=$X$30,K357/(D357*Vendas!$U$26),IF(A357=$X$31,K357/(D357*Vendas!$U$27),IF(A357=$X$32,K357/(D357*Vendas!$U$28),IF(A357=$X$33,K357/(D357*Vendas!$U$29),IF(A357=$X$34,K357/(D357*Vendas!$U$30),IF(A357=$X$35,K357/(D357*Vendas!$U$31),IF(A357=$X$36,K357/(D357*Vendas!$U$32),0))))))))</f>
        <v>1.223845218343609</v>
      </c>
    </row>
    <row r="358" spans="1:17">
      <c r="A358" s="263" t="s">
        <v>33</v>
      </c>
      <c r="B358" s="337" t="s">
        <v>530</v>
      </c>
      <c r="C358" s="166">
        <v>12</v>
      </c>
      <c r="D358" s="197">
        <v>255.5</v>
      </c>
      <c r="E358" s="166">
        <v>4828</v>
      </c>
      <c r="F358" s="338" t="s">
        <v>1349</v>
      </c>
      <c r="G358" s="34" t="str">
        <f t="shared" si="24"/>
        <v>XXXVII12ELCIO LUIS BASSI</v>
      </c>
      <c r="H358" s="40">
        <v>44106</v>
      </c>
      <c r="I358" s="35">
        <v>152279.9</v>
      </c>
      <c r="J358" s="35" t="s">
        <v>834</v>
      </c>
      <c r="K358" s="35">
        <v>53020.5</v>
      </c>
      <c r="L358" s="170">
        <f t="shared" si="25"/>
        <v>0.3481779276188125</v>
      </c>
      <c r="M358" s="154">
        <v>154557.18</v>
      </c>
      <c r="N358" s="170">
        <f t="shared" si="26"/>
        <v>0.34304779629131432</v>
      </c>
      <c r="O358" s="170">
        <f t="shared" si="27"/>
        <v>0.3465738684087159</v>
      </c>
      <c r="P358" s="170">
        <f>IF(A358=$X$29,K358/(D358*Vendas!$U$25),IF(A358=$X$30,K358/(D358*Vendas!$U$26),IF(A358=$X$31,K358/(D358*Vendas!$U$27),IF(A358=$X$32,K358/(D358*Vendas!$U$28),IF(A358=$X$33,K358/(D358*Vendas!$U$29),IF(A358=$X$34,K358/(D358*Vendas!$U$30),IF(A358=$X$35,K358/(D358*Vendas!$U$31),IF(A358=$X$36,K358/(D358*Vendas!$U$32),0))))))))</f>
        <v>0.34336033679834249</v>
      </c>
      <c r="Q358" s="170">
        <f>IF(A358=$X$29,K358/(D358*Vendas!$U$25),IF(A358=$X$30,K358/(D358*Vendas!$U$26),IF(A358=$X$31,K358/(D358*Vendas!$U$27),IF(A358=$X$32,K358/(D358*Vendas!$U$28),IF(A358=$X$33,K358/(D358*Vendas!$U$29),IF(A358=$X$34,K358/(D358*Vendas!$U$30),IF(A358=$X$35,K358/(D358*Vendas!$U$31),IF(A358=$X$36,K358/(D358*Vendas!$U$32),0))))))))</f>
        <v>0.34336033679834249</v>
      </c>
    </row>
    <row r="359" spans="1:17">
      <c r="A359" s="263" t="s">
        <v>33</v>
      </c>
      <c r="B359" s="337" t="s">
        <v>530</v>
      </c>
      <c r="C359" s="73">
        <v>15</v>
      </c>
      <c r="D359" s="315">
        <v>255.5</v>
      </c>
      <c r="E359" s="166">
        <v>3909</v>
      </c>
      <c r="F359" s="74" t="s">
        <v>401</v>
      </c>
      <c r="G359" s="34" t="str">
        <f t="shared" si="24"/>
        <v>XXXVII15RAFAEL FRANCISCO FRARE DE SIQUEIRA</v>
      </c>
      <c r="H359" s="40">
        <v>41887</v>
      </c>
      <c r="I359" s="35">
        <v>106295.01</v>
      </c>
      <c r="J359" s="35" t="s">
        <v>1250</v>
      </c>
      <c r="K359" s="35">
        <v>201630.11000000002</v>
      </c>
      <c r="L359" s="170">
        <f t="shared" si="25"/>
        <v>1.8968915850330135</v>
      </c>
      <c r="M359" s="154">
        <v>220762.97</v>
      </c>
      <c r="N359" s="170">
        <f t="shared" si="26"/>
        <v>0.91333301957298374</v>
      </c>
      <c r="O359" s="170">
        <f t="shared" si="27"/>
        <v>1.3179756360346455</v>
      </c>
      <c r="P359" s="170">
        <f>IF(A359=$X$29,K359/(D359*Vendas!$U$25),IF(A359=$X$30,K359/(D359*Vendas!$U$26),IF(A359=$X$31,K359/(D359*Vendas!$U$27),IF(A359=$X$32,K359/(D359*Vendas!$U$28),IF(A359=$X$33,K359/(D359*Vendas!$U$29),IF(A359=$X$34,K359/(D359*Vendas!$U$30),IF(A359=$X$35,K359/(D359*Vendas!$U$31),IF(A359=$X$36,K359/(D359*Vendas!$U$32),0))))))))</f>
        <v>1.3057549905845258</v>
      </c>
      <c r="Q359" s="170">
        <f>IF(A359=$X$29,K359/(D359*Vendas!$U$25),IF(A359=$X$30,K359/(D359*Vendas!$U$26),IF(A359=$X$31,K359/(D359*Vendas!$U$27),IF(A359=$X$32,K359/(D359*Vendas!$U$28),IF(A359=$X$33,K359/(D359*Vendas!$U$29),IF(A359=$X$34,K359/(D359*Vendas!$U$30),IF(A359=$X$35,K359/(D359*Vendas!$U$31),IF(A359=$X$36,K359/(D359*Vendas!$U$32),0))))))))</f>
        <v>1.3057549905845258</v>
      </c>
    </row>
    <row r="360" spans="1:17">
      <c r="A360" s="263" t="s">
        <v>33</v>
      </c>
      <c r="B360" s="337" t="s">
        <v>530</v>
      </c>
      <c r="C360" s="166">
        <v>16</v>
      </c>
      <c r="D360" s="197">
        <v>255.5</v>
      </c>
      <c r="E360" s="166">
        <v>3942</v>
      </c>
      <c r="F360" s="338" t="s">
        <v>401</v>
      </c>
      <c r="G360" s="34" t="str">
        <f t="shared" si="24"/>
        <v>XXXVII16RAFAEL FRANCISCO FRARE DE SIQUEIRA</v>
      </c>
      <c r="H360" s="40">
        <v>41913</v>
      </c>
      <c r="I360" s="35">
        <v>106293.2</v>
      </c>
      <c r="J360" s="35" t="s">
        <v>1250</v>
      </c>
      <c r="K360" s="35">
        <v>201765.38</v>
      </c>
      <c r="L360" s="170">
        <f t="shared" si="25"/>
        <v>1.8981964979885826</v>
      </c>
      <c r="M360" s="154">
        <v>219582.03</v>
      </c>
      <c r="N360" s="170">
        <f t="shared" si="26"/>
        <v>0.91886107437844533</v>
      </c>
      <c r="O360" s="170">
        <f t="shared" si="27"/>
        <v>1.3188598420904096</v>
      </c>
      <c r="P360" s="170">
        <f>IF(A360=$X$29,K360/(D360*Vendas!$U$25),IF(A360=$X$30,K360/(D360*Vendas!$U$26),IF(A360=$X$31,K360/(D360*Vendas!$U$27),IF(A360=$X$32,K360/(D360*Vendas!$U$28),IF(A360=$X$33,K360/(D360*Vendas!$U$29),IF(A360=$X$34,K360/(D360*Vendas!$U$30),IF(A360=$X$35,K360/(D360*Vendas!$U$31),IF(A360=$X$36,K360/(D360*Vendas!$U$32),0))))))))</f>
        <v>1.3066309980299236</v>
      </c>
      <c r="Q360" s="170">
        <f>IF(A360=$X$29,K360/(D360*Vendas!$U$25),IF(A360=$X$30,K360/(D360*Vendas!$U$26),IF(A360=$X$31,K360/(D360*Vendas!$U$27),IF(A360=$X$32,K360/(D360*Vendas!$U$28),IF(A360=$X$33,K360/(D360*Vendas!$U$29),IF(A360=$X$34,K360/(D360*Vendas!$U$30),IF(A360=$X$35,K360/(D360*Vendas!$U$31),IF(A360=$X$36,K360/(D360*Vendas!$U$32),0))))))))</f>
        <v>1.3066309980299236</v>
      </c>
    </row>
    <row r="361" spans="1:17">
      <c r="A361" s="263" t="s">
        <v>33</v>
      </c>
      <c r="B361" s="337" t="s">
        <v>530</v>
      </c>
      <c r="C361" s="73">
        <v>20</v>
      </c>
      <c r="D361" s="315">
        <v>255.5</v>
      </c>
      <c r="E361" s="166">
        <v>4124</v>
      </c>
      <c r="F361" s="74" t="s">
        <v>223</v>
      </c>
      <c r="G361" s="34" t="str">
        <f t="shared" si="24"/>
        <v>XXXVII20GILBERTO ZEQUIM MALDONADO</v>
      </c>
      <c r="H361" s="40">
        <v>41944</v>
      </c>
      <c r="I361" s="35">
        <v>127412.46</v>
      </c>
      <c r="J361" s="35" t="s">
        <v>1250</v>
      </c>
      <c r="K361" s="35">
        <v>138569.06</v>
      </c>
      <c r="L361" s="170">
        <f t="shared" si="25"/>
        <v>1.087562864730812</v>
      </c>
      <c r="M361" s="154">
        <v>187360.1</v>
      </c>
      <c r="N361" s="170">
        <f t="shared" si="26"/>
        <v>0.73958681704375684</v>
      </c>
      <c r="O361" s="170">
        <f t="shared" si="27"/>
        <v>0.90577069559810752</v>
      </c>
      <c r="P361" s="170">
        <f>IF(A361=$X$29,K361/(D361*Vendas!$U$25),IF(A361=$X$30,K361/(D361*Vendas!$U$26),IF(A361=$X$31,K361/(D361*Vendas!$U$27),IF(A361=$X$32,K361/(D361*Vendas!$U$28),IF(A361=$X$33,K361/(D361*Vendas!$U$29),IF(A361=$X$34,K361/(D361*Vendas!$U$30),IF(A361=$X$35,K361/(D361*Vendas!$U$31),IF(A361=$X$36,K361/(D361*Vendas!$U$32),0))))))))</f>
        <v>0.89737213174960118</v>
      </c>
      <c r="Q361" s="170">
        <f>IF(A361=$X$29,K361/(D361*Vendas!$U$25),IF(A361=$X$30,K361/(D361*Vendas!$U$26),IF(A361=$X$31,K361/(D361*Vendas!$U$27),IF(A361=$X$32,K361/(D361*Vendas!$U$28),IF(A361=$X$33,K361/(D361*Vendas!$U$29),IF(A361=$X$34,K361/(D361*Vendas!$U$30),IF(A361=$X$35,K361/(D361*Vendas!$U$31),IF(A361=$X$36,K361/(D361*Vendas!$U$32),0))))))))</f>
        <v>0.89737213174960118</v>
      </c>
    </row>
    <row r="362" spans="1:17">
      <c r="A362" s="263" t="s">
        <v>33</v>
      </c>
      <c r="B362" s="337" t="s">
        <v>530</v>
      </c>
      <c r="C362" s="166">
        <v>22</v>
      </c>
      <c r="D362" s="197">
        <v>334.57</v>
      </c>
      <c r="E362" s="166">
        <v>5155</v>
      </c>
      <c r="F362" s="338" t="s">
        <v>305</v>
      </c>
      <c r="G362" s="34" t="str">
        <f t="shared" si="24"/>
        <v>XXXVII22LINDAMARA HUNKA</v>
      </c>
      <c r="H362" s="40">
        <v>42443</v>
      </c>
      <c r="I362" s="35">
        <v>189899.7</v>
      </c>
      <c r="J362" s="35" t="s">
        <v>834</v>
      </c>
      <c r="K362" s="35">
        <v>6508.68</v>
      </c>
      <c r="L362" s="170">
        <f t="shared" si="25"/>
        <v>3.4274303750874806E-2</v>
      </c>
      <c r="M362" s="154">
        <v>292243.13</v>
      </c>
      <c r="N362" s="170">
        <f t="shared" si="26"/>
        <v>2.2271455962027235E-2</v>
      </c>
      <c r="O362" s="170">
        <f t="shared" si="27"/>
        <v>3.2489933543019017E-2</v>
      </c>
      <c r="P362" s="170">
        <f>IF(A362=$X$29,K362/(D362*Vendas!$U$25),IF(A362=$X$30,K362/(D362*Vendas!$U$26),IF(A362=$X$31,K362/(D362*Vendas!$U$27),IF(A362=$X$32,K362/(D362*Vendas!$U$28),IF(A362=$X$33,K362/(D362*Vendas!$U$29),IF(A362=$X$34,K362/(D362*Vendas!$U$30),IF(A362=$X$35,K362/(D362*Vendas!$U$31),IF(A362=$X$36,K362/(D362*Vendas!$U$32),0))))))))</f>
        <v>3.2188677626239122E-2</v>
      </c>
      <c r="Q362" s="170">
        <f>IF(A362=$X$29,K362/(D362*Vendas!$U$25),IF(A362=$X$30,K362/(D362*Vendas!$U$26),IF(A362=$X$31,K362/(D362*Vendas!$U$27),IF(A362=$X$32,K362/(D362*Vendas!$U$28),IF(A362=$X$33,K362/(D362*Vendas!$U$29),IF(A362=$X$34,K362/(D362*Vendas!$U$30),IF(A362=$X$35,K362/(D362*Vendas!$U$31),IF(A362=$X$36,K362/(D362*Vendas!$U$32),0))))))))</f>
        <v>3.2188677626239122E-2</v>
      </c>
    </row>
    <row r="363" spans="1:17">
      <c r="A363" s="263" t="s">
        <v>33</v>
      </c>
      <c r="B363" s="337" t="s">
        <v>530</v>
      </c>
      <c r="C363" s="73">
        <v>25</v>
      </c>
      <c r="D363" s="315">
        <v>254.5</v>
      </c>
      <c r="E363" s="166">
        <v>3875</v>
      </c>
      <c r="F363" s="74" t="s">
        <v>453</v>
      </c>
      <c r="G363" s="34" t="str">
        <f t="shared" si="24"/>
        <v>XXXVII25TEREZINHA ROSA DE SOUZA</v>
      </c>
      <c r="H363" s="40">
        <v>41863</v>
      </c>
      <c r="I363" s="35">
        <v>103131.2</v>
      </c>
      <c r="J363" s="35" t="s">
        <v>834</v>
      </c>
      <c r="K363" s="35">
        <v>85713.56</v>
      </c>
      <c r="L363" s="170">
        <f t="shared" si="25"/>
        <v>0.83111182648897719</v>
      </c>
      <c r="M363" s="154">
        <v>156787.14000000001</v>
      </c>
      <c r="N363" s="170">
        <f t="shared" si="26"/>
        <v>0.54668743877846093</v>
      </c>
      <c r="O363" s="170">
        <f t="shared" si="27"/>
        <v>0.56247684131844378</v>
      </c>
      <c r="P363" s="170">
        <f>IF(A363=$X$29,K363/(D363*Vendas!$U$25),IF(A363=$X$30,K363/(D363*Vendas!$U$26),IF(A363=$X$31,K363/(D363*Vendas!$U$27),IF(A363=$X$32,K363/(D363*Vendas!$U$28),IF(A363=$X$33,K363/(D363*Vendas!$U$29),IF(A363=$X$34,K363/(D363*Vendas!$U$30),IF(A363=$X$35,K363/(D363*Vendas!$U$31),IF(A363=$X$36,K363/(D363*Vendas!$U$32),0))))))))</f>
        <v>0.55726139585517487</v>
      </c>
      <c r="Q363" s="170">
        <f>IF(A363=$X$29,K363/(D363*Vendas!$U$25),IF(A363=$X$30,K363/(D363*Vendas!$U$26),IF(A363=$X$31,K363/(D363*Vendas!$U$27),IF(A363=$X$32,K363/(D363*Vendas!$U$28),IF(A363=$X$33,K363/(D363*Vendas!$U$29),IF(A363=$X$34,K363/(D363*Vendas!$U$30),IF(A363=$X$35,K363/(D363*Vendas!$U$31),IF(A363=$X$36,K363/(D363*Vendas!$U$32),0))))))))</f>
        <v>0.55726139585517487</v>
      </c>
    </row>
    <row r="364" spans="1:17">
      <c r="A364" s="263" t="s">
        <v>33</v>
      </c>
      <c r="B364" s="337" t="s">
        <v>530</v>
      </c>
      <c r="C364" s="166">
        <v>36</v>
      </c>
      <c r="D364" s="197">
        <v>254.5</v>
      </c>
      <c r="E364" s="166">
        <v>3757</v>
      </c>
      <c r="F364" s="338" t="s">
        <v>239</v>
      </c>
      <c r="G364" s="34" t="str">
        <f t="shared" si="24"/>
        <v>XXXVII36HERMES RINALDIN</v>
      </c>
      <c r="H364" s="40">
        <v>41791</v>
      </c>
      <c r="I364" s="35">
        <v>105373.52</v>
      </c>
      <c r="J364" s="35" t="s">
        <v>834</v>
      </c>
      <c r="K364" s="35">
        <v>89661.8</v>
      </c>
      <c r="L364" s="170">
        <f t="shared" si="25"/>
        <v>0.85089498765913862</v>
      </c>
      <c r="M364" s="154">
        <v>176852.79</v>
      </c>
      <c r="N364" s="170">
        <f t="shared" si="26"/>
        <v>0.50698549906959345</v>
      </c>
      <c r="O364" s="170">
        <f t="shared" si="27"/>
        <v>0.58838631893163751</v>
      </c>
      <c r="P364" s="170">
        <f>IF(A364=$X$29,K364/(D364*Vendas!$U$25),IF(A364=$X$30,K364/(D364*Vendas!$U$26),IF(A364=$X$31,K364/(D364*Vendas!$U$27),IF(A364=$X$32,K364/(D364*Vendas!$U$28),IF(A364=$X$33,K364/(D364*Vendas!$U$29),IF(A364=$X$34,K364/(D364*Vendas!$U$30),IF(A364=$X$35,K364/(D364*Vendas!$U$31),IF(A364=$X$36,K364/(D364*Vendas!$U$32),0))))))))</f>
        <v>0.58293063341305074</v>
      </c>
      <c r="Q364" s="170">
        <f>IF(A364=$X$29,K364/(D364*Vendas!$U$25),IF(A364=$X$30,K364/(D364*Vendas!$U$26),IF(A364=$X$31,K364/(D364*Vendas!$U$27),IF(A364=$X$32,K364/(D364*Vendas!$U$28),IF(A364=$X$33,K364/(D364*Vendas!$U$29),IF(A364=$X$34,K364/(D364*Vendas!$U$30),IF(A364=$X$35,K364/(D364*Vendas!$U$31),IF(A364=$X$36,K364/(D364*Vendas!$U$32),0))))))))</f>
        <v>0.58293063341305074</v>
      </c>
    </row>
    <row r="365" spans="1:17">
      <c r="A365" s="263" t="s">
        <v>33</v>
      </c>
      <c r="B365" s="337" t="s">
        <v>530</v>
      </c>
      <c r="C365" s="73">
        <v>38</v>
      </c>
      <c r="D365" s="315">
        <v>254.5</v>
      </c>
      <c r="E365" s="166">
        <v>4290</v>
      </c>
      <c r="F365" s="74" t="s">
        <v>1173</v>
      </c>
      <c r="G365" s="34" t="str">
        <f t="shared" si="24"/>
        <v>XXXVII38LUIS GUSTAVO DOS SANTOS SAMPAIO</v>
      </c>
      <c r="H365" s="40">
        <v>44001</v>
      </c>
      <c r="I365" s="35">
        <v>161679.6</v>
      </c>
      <c r="J365" s="35" t="s">
        <v>834</v>
      </c>
      <c r="K365" s="35">
        <v>151964.47</v>
      </c>
      <c r="L365" s="170">
        <f t="shared" si="25"/>
        <v>0.93991121947357614</v>
      </c>
      <c r="M365" s="154">
        <v>182613.07</v>
      </c>
      <c r="N365" s="170">
        <f t="shared" si="26"/>
        <v>0.83216644898418279</v>
      </c>
      <c r="O365" s="170">
        <f t="shared" si="27"/>
        <v>0.99723421916242205</v>
      </c>
      <c r="P365" s="170">
        <f>IF(A365=$X$29,K365/(D365*Vendas!$U$25),IF(A365=$X$30,K365/(D365*Vendas!$U$26),IF(A365=$X$31,K365/(D365*Vendas!$U$27),IF(A365=$X$32,K365/(D365*Vendas!$U$28),IF(A365=$X$33,K365/(D365*Vendas!$U$29),IF(A365=$X$34,K365/(D365*Vendas!$U$30),IF(A365=$X$35,K365/(D365*Vendas!$U$31),IF(A365=$X$36,K365/(D365*Vendas!$U$32),0))))))))</f>
        <v>0.98798757947507787</v>
      </c>
      <c r="Q365" s="170">
        <f>IF(A365=$X$29,K365/(D365*Vendas!$U$25),IF(A365=$X$30,K365/(D365*Vendas!$U$26),IF(A365=$X$31,K365/(D365*Vendas!$U$27),IF(A365=$X$32,K365/(D365*Vendas!$U$28),IF(A365=$X$33,K365/(D365*Vendas!$U$29),IF(A365=$X$34,K365/(D365*Vendas!$U$30),IF(A365=$X$35,K365/(D365*Vendas!$U$31),IF(A365=$X$36,K365/(D365*Vendas!$U$32),0))))))))</f>
        <v>0.98798757947507787</v>
      </c>
    </row>
    <row r="366" spans="1:17">
      <c r="A366" s="263" t="s">
        <v>33</v>
      </c>
      <c r="B366" s="337" t="s">
        <v>530</v>
      </c>
      <c r="C366" s="166">
        <v>39</v>
      </c>
      <c r="D366" s="197">
        <v>254.5</v>
      </c>
      <c r="E366" s="166">
        <v>3748</v>
      </c>
      <c r="F366" s="338" t="s">
        <v>50</v>
      </c>
      <c r="G366" s="34" t="str">
        <f t="shared" si="24"/>
        <v>XXXVII39AGUSTINHO FERREIRA CHAVES</v>
      </c>
      <c r="H366" s="40">
        <v>41767</v>
      </c>
      <c r="I366" s="35">
        <v>103642.57</v>
      </c>
      <c r="J366" s="35" t="s">
        <v>834</v>
      </c>
      <c r="K366" s="35">
        <v>104094.37</v>
      </c>
      <c r="L366" s="170">
        <f t="shared" si="25"/>
        <v>1.0043592126285559</v>
      </c>
      <c r="M366" s="154">
        <v>185915.59</v>
      </c>
      <c r="N366" s="170">
        <f t="shared" si="26"/>
        <v>0.55990124335457825</v>
      </c>
      <c r="O366" s="170">
        <f t="shared" si="27"/>
        <v>0.68309696198166747</v>
      </c>
      <c r="P366" s="170">
        <f>IF(A366=$X$29,K366/(D366*Vendas!$U$25),IF(A366=$X$30,K366/(D366*Vendas!$U$26),IF(A366=$X$31,K366/(D366*Vendas!$U$27),IF(A366=$X$32,K366/(D366*Vendas!$U$28),IF(A366=$X$33,K366/(D366*Vendas!$U$29),IF(A366=$X$34,K366/(D366*Vendas!$U$30),IF(A366=$X$35,K366/(D366*Vendas!$U$31),IF(A366=$X$36,K366/(D366*Vendas!$U$32),0))))))))</f>
        <v>0.6767630924076079</v>
      </c>
      <c r="Q366" s="170">
        <f>IF(A366=$X$29,K366/(D366*Vendas!$U$25),IF(A366=$X$30,K366/(D366*Vendas!$U$26),IF(A366=$X$31,K366/(D366*Vendas!$U$27),IF(A366=$X$32,K366/(D366*Vendas!$U$28),IF(A366=$X$33,K366/(D366*Vendas!$U$29),IF(A366=$X$34,K366/(D366*Vendas!$U$30),IF(A366=$X$35,K366/(D366*Vendas!$U$31),IF(A366=$X$36,K366/(D366*Vendas!$U$32),0))))))))</f>
        <v>0.6767630924076079</v>
      </c>
    </row>
    <row r="367" spans="1:17">
      <c r="A367" s="263" t="s">
        <v>33</v>
      </c>
      <c r="B367" s="337" t="s">
        <v>530</v>
      </c>
      <c r="C367" s="73">
        <v>41</v>
      </c>
      <c r="D367" s="315">
        <v>254.5</v>
      </c>
      <c r="E367" s="166">
        <v>3750</v>
      </c>
      <c r="F367" s="74" t="s">
        <v>235</v>
      </c>
      <c r="G367" s="34" t="str">
        <f t="shared" si="24"/>
        <v>XXXVII41HELEN BERNARDO DA SILVA BENTO</v>
      </c>
      <c r="H367" s="40">
        <v>41781</v>
      </c>
      <c r="I367" s="35">
        <v>103642.57</v>
      </c>
      <c r="J367" s="35" t="s">
        <v>1250</v>
      </c>
      <c r="K367" s="35">
        <v>46701.950000000004</v>
      </c>
      <c r="L367" s="170">
        <f t="shared" si="25"/>
        <v>0.45060586591011781</v>
      </c>
      <c r="M367" s="154">
        <v>152453.88</v>
      </c>
      <c r="N367" s="170">
        <f t="shared" si="26"/>
        <v>0.30633493880247586</v>
      </c>
      <c r="O367" s="170">
        <f t="shared" si="27"/>
        <v>0.3064715235187046</v>
      </c>
      <c r="P367" s="170">
        <f>IF(A367=$X$29,K367/(D367*Vendas!$U$25),IF(A367=$X$30,K367/(D367*Vendas!$U$26),IF(A367=$X$31,K367/(D367*Vendas!$U$27),IF(A367=$X$32,K367/(D367*Vendas!$U$28),IF(A367=$X$33,K367/(D367*Vendas!$U$29),IF(A367=$X$34,K367/(D367*Vendas!$U$30),IF(A367=$X$35,K367/(D367*Vendas!$U$31),IF(A367=$X$36,K367/(D367*Vendas!$U$32),0))))))))</f>
        <v>0.3036298322710968</v>
      </c>
      <c r="Q367" s="170">
        <f>IF(A367=$X$29,K367/(D367*Vendas!$U$25),IF(A367=$X$30,K367/(D367*Vendas!$U$26),IF(A367=$X$31,K367/(D367*Vendas!$U$27),IF(A367=$X$32,K367/(D367*Vendas!$U$28),IF(A367=$X$33,K367/(D367*Vendas!$U$29),IF(A367=$X$34,K367/(D367*Vendas!$U$30),IF(A367=$X$35,K367/(D367*Vendas!$U$31),IF(A367=$X$36,K367/(D367*Vendas!$U$32),0))))))))</f>
        <v>0.3036298322710968</v>
      </c>
    </row>
    <row r="368" spans="1:17">
      <c r="A368" s="263" t="s">
        <v>33</v>
      </c>
      <c r="B368" s="337" t="s">
        <v>530</v>
      </c>
      <c r="C368" s="166">
        <v>42</v>
      </c>
      <c r="D368" s="197">
        <v>353.3</v>
      </c>
      <c r="E368" s="166"/>
      <c r="F368" s="338" t="s">
        <v>928</v>
      </c>
      <c r="G368" s="34" t="str">
        <f t="shared" si="24"/>
        <v>XXXVII42EWERTON MITSUSTOCHI SUZUKI</v>
      </c>
      <c r="H368" s="40">
        <v>43507</v>
      </c>
      <c r="I368" s="35">
        <v>117660</v>
      </c>
      <c r="J368" s="35" t="s">
        <v>834</v>
      </c>
      <c r="K368" s="35">
        <v>35527.200000000004</v>
      </c>
      <c r="L368" s="170">
        <f t="shared" si="25"/>
        <v>0.30194798572157067</v>
      </c>
      <c r="M368" s="154">
        <v>176605.80000000002</v>
      </c>
      <c r="N368" s="170">
        <f t="shared" si="26"/>
        <v>0.20116666610043385</v>
      </c>
      <c r="O368" s="170">
        <f t="shared" si="27"/>
        <v>0.1679423565402994</v>
      </c>
      <c r="P368" s="170">
        <f>IF(A368=$X$29,K368/(D368*Vendas!$U$25),IF(A368=$X$30,K368/(D368*Vendas!$U$26),IF(A368=$X$31,K368/(D368*Vendas!$U$27),IF(A368=$X$32,K368/(D368*Vendas!$U$28),IF(A368=$X$33,K368/(D368*Vendas!$U$29),IF(A368=$X$34,K368/(D368*Vendas!$U$30),IF(A368=$X$35,K368/(D368*Vendas!$U$31),IF(A368=$X$36,K368/(D368*Vendas!$U$32),0))))))))</f>
        <v>0.16638514718132261</v>
      </c>
      <c r="Q368" s="170">
        <f>IF(A368=$X$29,K368/(D368*Vendas!$U$25),IF(A368=$X$30,K368/(D368*Vendas!$U$26),IF(A368=$X$31,K368/(D368*Vendas!$U$27),IF(A368=$X$32,K368/(D368*Vendas!$U$28),IF(A368=$X$33,K368/(D368*Vendas!$U$29),IF(A368=$X$34,K368/(D368*Vendas!$U$30),IF(A368=$X$35,K368/(D368*Vendas!$U$31),IF(A368=$X$36,K368/(D368*Vendas!$U$32),0))))))))</f>
        <v>0.16638514718132261</v>
      </c>
    </row>
    <row r="369" spans="1:17">
      <c r="A369" s="263" t="s">
        <v>33</v>
      </c>
      <c r="B369" s="337" t="s">
        <v>531</v>
      </c>
      <c r="C369" s="73">
        <v>1</v>
      </c>
      <c r="D369" s="315">
        <v>343.2</v>
      </c>
      <c r="E369" s="166">
        <v>5545</v>
      </c>
      <c r="F369" s="74" t="s">
        <v>395</v>
      </c>
      <c r="G369" s="34" t="str">
        <f t="shared" si="24"/>
        <v>XXXVIII1PAULO FERNANDO DOS SANTOS</v>
      </c>
      <c r="H369" s="40">
        <v>42799</v>
      </c>
      <c r="I369" s="35">
        <v>184805.89</v>
      </c>
      <c r="J369" s="35" t="s">
        <v>1249</v>
      </c>
      <c r="K369" s="35">
        <v>200963.36000000002</v>
      </c>
      <c r="L369" s="170">
        <f t="shared" si="25"/>
        <v>1.087429410393792</v>
      </c>
      <c r="M369" s="154">
        <v>311391.76</v>
      </c>
      <c r="N369" s="170">
        <f t="shared" si="26"/>
        <v>0.64537147675327056</v>
      </c>
      <c r="O369" s="170">
        <f t="shared" si="27"/>
        <v>0.97794066068252883</v>
      </c>
      <c r="P369" s="170">
        <f>IF(A369=$X$29,K369/(D369*Vendas!$U$25),IF(A369=$X$30,K369/(D369*Vendas!$U$26),IF(A369=$X$31,K369/(D369*Vendas!$U$27),IF(A369=$X$32,K369/(D369*Vendas!$U$28),IF(A369=$X$33,K369/(D369*Vendas!$U$29),IF(A369=$X$34,K369/(D369*Vendas!$U$30),IF(A369=$X$35,K369/(D369*Vendas!$U$31),IF(A369=$X$36,K369/(D369*Vendas!$U$32),0))))))))</f>
        <v>0.96887291636411832</v>
      </c>
      <c r="Q369" s="170">
        <f>IF(A369=$X$29,K369/(D369*Vendas!$U$25),IF(A369=$X$30,K369/(D369*Vendas!$U$26),IF(A369=$X$31,K369/(D369*Vendas!$U$27),IF(A369=$X$32,K369/(D369*Vendas!$U$28),IF(A369=$X$33,K369/(D369*Vendas!$U$29),IF(A369=$X$34,K369/(D369*Vendas!$U$30),IF(A369=$X$35,K369/(D369*Vendas!$U$31),IF(A369=$X$36,K369/(D369*Vendas!$U$32),0))))))))</f>
        <v>0.96887291636411832</v>
      </c>
    </row>
    <row r="370" spans="1:17">
      <c r="A370" s="263" t="s">
        <v>33</v>
      </c>
      <c r="B370" s="337" t="s">
        <v>531</v>
      </c>
      <c r="C370" s="166">
        <v>3</v>
      </c>
      <c r="D370" s="197">
        <v>253.75</v>
      </c>
      <c r="E370" s="166">
        <v>5131</v>
      </c>
      <c r="F370" s="338" t="s">
        <v>135</v>
      </c>
      <c r="G370" s="34" t="str">
        <f t="shared" si="24"/>
        <v>XXXVIII3DEBORA SALES RODRIGUES MACHADO</v>
      </c>
      <c r="H370" s="40">
        <v>42430</v>
      </c>
      <c r="I370" s="35">
        <v>130050</v>
      </c>
      <c r="J370" s="35" t="s">
        <v>1249</v>
      </c>
      <c r="K370" s="35">
        <v>90623.63</v>
      </c>
      <c r="L370" s="170">
        <f t="shared" si="25"/>
        <v>0.69683683198769708</v>
      </c>
      <c r="M370" s="154">
        <v>214561.38</v>
      </c>
      <c r="N370" s="170">
        <f t="shared" si="26"/>
        <v>0.42236692362810119</v>
      </c>
      <c r="O370" s="170">
        <f t="shared" si="27"/>
        <v>0.59645585031393689</v>
      </c>
      <c r="P370" s="170">
        <f>IF(A370=$X$29,K370/(D370*Vendas!$U$25),IF(A370=$X$30,K370/(D370*Vendas!$U$26),IF(A370=$X$31,K370/(D370*Vendas!$U$27),IF(A370=$X$32,K370/(D370*Vendas!$U$28),IF(A370=$X$33,K370/(D370*Vendas!$U$29),IF(A370=$X$34,K370/(D370*Vendas!$U$30),IF(A370=$X$35,K370/(D370*Vendas!$U$31),IF(A370=$X$36,K370/(D370*Vendas!$U$32),0))))))))</f>
        <v>0.59092534180221157</v>
      </c>
      <c r="Q370" s="170">
        <f>IF(A370=$X$29,K370/(D370*Vendas!$U$25),IF(A370=$X$30,K370/(D370*Vendas!$U$26),IF(A370=$X$31,K370/(D370*Vendas!$U$27),IF(A370=$X$32,K370/(D370*Vendas!$U$28),IF(A370=$X$33,K370/(D370*Vendas!$U$29),IF(A370=$X$34,K370/(D370*Vendas!$U$30),IF(A370=$X$35,K370/(D370*Vendas!$U$31),IF(A370=$X$36,K370/(D370*Vendas!$U$32),0))))))))</f>
        <v>0.59092534180221157</v>
      </c>
    </row>
    <row r="371" spans="1:17">
      <c r="A371" s="263" t="s">
        <v>33</v>
      </c>
      <c r="B371" s="337" t="s">
        <v>531</v>
      </c>
      <c r="C371" s="73">
        <v>6</v>
      </c>
      <c r="D371" s="315">
        <v>253.75</v>
      </c>
      <c r="E371" s="166">
        <v>4827</v>
      </c>
      <c r="F371" s="74" t="s">
        <v>1350</v>
      </c>
      <c r="G371" s="34" t="str">
        <f t="shared" si="24"/>
        <v>XXXVIII6RAFAEL COMAR ALENCAR</v>
      </c>
      <c r="H371" s="40">
        <v>44117</v>
      </c>
      <c r="I371" s="35">
        <v>152280</v>
      </c>
      <c r="J371" s="35" t="s">
        <v>834</v>
      </c>
      <c r="K371" s="35">
        <v>121825.53</v>
      </c>
      <c r="L371" s="170">
        <f t="shared" si="25"/>
        <v>0.80001004728132386</v>
      </c>
      <c r="M371" s="154">
        <v>157429.33000000002</v>
      </c>
      <c r="N371" s="170">
        <f t="shared" si="26"/>
        <v>0.77384265054040424</v>
      </c>
      <c r="O371" s="170">
        <f t="shared" si="27"/>
        <v>0.80181681186348441</v>
      </c>
      <c r="P371" s="170">
        <f>IF(A371=$X$29,K371/(D371*Vendas!$U$25),IF(A371=$X$30,K371/(D371*Vendas!$U$26),IF(A371=$X$31,K371/(D371*Vendas!$U$27),IF(A371=$X$32,K371/(D371*Vendas!$U$28),IF(A371=$X$33,K371/(D371*Vendas!$U$29),IF(A371=$X$34,K371/(D371*Vendas!$U$30),IF(A371=$X$35,K371/(D371*Vendas!$U$31),IF(A371=$X$36,K371/(D371*Vendas!$U$32),0))))))))</f>
        <v>0.79438213803050683</v>
      </c>
      <c r="Q371" s="170">
        <f>IF(A371=$X$29,K371/(D371*Vendas!$U$25),IF(A371=$X$30,K371/(D371*Vendas!$U$26),IF(A371=$X$31,K371/(D371*Vendas!$U$27),IF(A371=$X$32,K371/(D371*Vendas!$U$28),IF(A371=$X$33,K371/(D371*Vendas!$U$29),IF(A371=$X$34,K371/(D371*Vendas!$U$30),IF(A371=$X$35,K371/(D371*Vendas!$U$31),IF(A371=$X$36,K371/(D371*Vendas!$U$32),0))))))))</f>
        <v>0.79438213803050683</v>
      </c>
    </row>
    <row r="372" spans="1:17">
      <c r="A372" s="263" t="s">
        <v>33</v>
      </c>
      <c r="B372" s="337" t="s">
        <v>531</v>
      </c>
      <c r="C372" s="166">
        <v>12</v>
      </c>
      <c r="D372" s="197">
        <v>253.75</v>
      </c>
      <c r="E372" s="166">
        <v>4291</v>
      </c>
      <c r="F372" s="338" t="s">
        <v>1174</v>
      </c>
      <c r="G372" s="34" t="str">
        <f t="shared" si="24"/>
        <v>XXXVIII12ROBERTSON RODRIGUES</v>
      </c>
      <c r="H372" s="40">
        <v>44000</v>
      </c>
      <c r="I372" s="35">
        <v>150400.4</v>
      </c>
      <c r="J372" s="35" t="s">
        <v>834</v>
      </c>
      <c r="K372" s="35">
        <v>152070.9</v>
      </c>
      <c r="L372" s="170">
        <f t="shared" si="25"/>
        <v>1.011107018332398</v>
      </c>
      <c r="M372" s="154">
        <v>171236.12</v>
      </c>
      <c r="N372" s="170">
        <f t="shared" si="26"/>
        <v>0.88807723510670533</v>
      </c>
      <c r="O372" s="170">
        <f t="shared" si="27"/>
        <v>1.0008821978054252</v>
      </c>
      <c r="P372" s="170">
        <f>IF(A372=$X$29,K372/(D372*Vendas!$U$25),IF(A372=$X$30,K372/(D372*Vendas!$U$26),IF(A372=$X$31,K372/(D372*Vendas!$U$27),IF(A372=$X$32,K372/(D372*Vendas!$U$28),IF(A372=$X$33,K372/(D372*Vendas!$U$29),IF(A372=$X$34,K372/(D372*Vendas!$U$30),IF(A372=$X$35,K372/(D372*Vendas!$U$31),IF(A372=$X$36,K372/(D372*Vendas!$U$32),0))))))))</f>
        <v>0.99160173302117705</v>
      </c>
      <c r="Q372" s="170">
        <f>IF(A372=$X$29,K372/(D372*Vendas!$U$25),IF(A372=$X$30,K372/(D372*Vendas!$U$26),IF(A372=$X$31,K372/(D372*Vendas!$U$27),IF(A372=$X$32,K372/(D372*Vendas!$U$28),IF(A372=$X$33,K372/(D372*Vendas!$U$29),IF(A372=$X$34,K372/(D372*Vendas!$U$30),IF(A372=$X$35,K372/(D372*Vendas!$U$31),IF(A372=$X$36,K372/(D372*Vendas!$U$32),0))))))))</f>
        <v>0.99160173302117705</v>
      </c>
    </row>
    <row r="373" spans="1:17">
      <c r="A373" s="263" t="s">
        <v>33</v>
      </c>
      <c r="B373" s="337" t="s">
        <v>531</v>
      </c>
      <c r="C373" s="73">
        <v>14</v>
      </c>
      <c r="D373" s="315">
        <v>253.75</v>
      </c>
      <c r="E373" s="166">
        <v>4910</v>
      </c>
      <c r="F373" s="74" t="s">
        <v>98</v>
      </c>
      <c r="G373" s="34" t="str">
        <f t="shared" si="24"/>
        <v>XXXVIII14CARLOS JUNIO RIBEIRO SILVA</v>
      </c>
      <c r="H373" s="40">
        <v>42220</v>
      </c>
      <c r="I373" s="35">
        <v>142800.75</v>
      </c>
      <c r="J373" s="35" t="s">
        <v>1250</v>
      </c>
      <c r="K373" s="35">
        <v>172350.05000000002</v>
      </c>
      <c r="L373" s="170">
        <f t="shared" si="25"/>
        <v>1.2069267843481215</v>
      </c>
      <c r="M373" s="154">
        <v>213893.64</v>
      </c>
      <c r="N373" s="170">
        <f t="shared" si="26"/>
        <v>0.80577454289898476</v>
      </c>
      <c r="O373" s="170">
        <f t="shared" si="27"/>
        <v>1.1343531000071345</v>
      </c>
      <c r="P373" s="170">
        <f>IF(A373=$X$29,K373/(D373*Vendas!$U$25),IF(A373=$X$30,K373/(D373*Vendas!$U$26),IF(A373=$X$31,K373/(D373*Vendas!$U$27),IF(A373=$X$32,K373/(D373*Vendas!$U$28),IF(A373=$X$33,K373/(D373*Vendas!$U$29),IF(A373=$X$34,K373/(D373*Vendas!$U$30),IF(A373=$X$35,K373/(D373*Vendas!$U$31),IF(A373=$X$36,K373/(D373*Vendas!$U$32),0))))))))</f>
        <v>1.1238350550058331</v>
      </c>
      <c r="Q373" s="170">
        <f>IF(A373=$X$29,K373/(D373*Vendas!$U$25),IF(A373=$X$30,K373/(D373*Vendas!$U$26),IF(A373=$X$31,K373/(D373*Vendas!$U$27),IF(A373=$X$32,K373/(D373*Vendas!$U$28),IF(A373=$X$33,K373/(D373*Vendas!$U$29),IF(A373=$X$34,K373/(D373*Vendas!$U$30),IF(A373=$X$35,K373/(D373*Vendas!$U$31),IF(A373=$X$36,K373/(D373*Vendas!$U$32),0))))))))</f>
        <v>1.1238350550058331</v>
      </c>
    </row>
    <row r="374" spans="1:17">
      <c r="A374" s="263" t="s">
        <v>33</v>
      </c>
      <c r="B374" s="337" t="s">
        <v>531</v>
      </c>
      <c r="C374" s="166">
        <v>16</v>
      </c>
      <c r="D374" s="197">
        <v>253.75</v>
      </c>
      <c r="E374" s="166">
        <v>4477</v>
      </c>
      <c r="F374" s="338" t="s">
        <v>1131</v>
      </c>
      <c r="G374" s="34" t="str">
        <f t="shared" si="24"/>
        <v>XXXVIII16FELIPE PEREIRA SIMOES</v>
      </c>
      <c r="H374" s="40">
        <v>42064</v>
      </c>
      <c r="I374" s="35">
        <v>132999.9</v>
      </c>
      <c r="J374" s="35" t="s">
        <v>834</v>
      </c>
      <c r="K374" s="35">
        <v>121693.41</v>
      </c>
      <c r="L374" s="170">
        <f t="shared" si="25"/>
        <v>0.91498873307423545</v>
      </c>
      <c r="M374" s="154">
        <v>210170.76</v>
      </c>
      <c r="N374" s="170">
        <f t="shared" si="26"/>
        <v>0.57902160129220637</v>
      </c>
      <c r="O374" s="170">
        <f t="shared" si="27"/>
        <v>0.80094724013099616</v>
      </c>
      <c r="P374" s="170">
        <f>IF(A374=$X$29,K374/(D374*Vendas!$U$25),IF(A374=$X$30,K374/(D374*Vendas!$U$26),IF(A374=$X$31,K374/(D374*Vendas!$U$27),IF(A374=$X$32,K374/(D374*Vendas!$U$28),IF(A374=$X$33,K374/(D374*Vendas!$U$29),IF(A374=$X$34,K374/(D374*Vendas!$U$30),IF(A374=$X$35,K374/(D374*Vendas!$U$31),IF(A374=$X$36,K374/(D374*Vendas!$U$32),0))))))))</f>
        <v>0.79352062921477184</v>
      </c>
      <c r="Q374" s="170">
        <f>IF(A374=$X$29,K374/(D374*Vendas!$U$25),IF(A374=$X$30,K374/(D374*Vendas!$U$26),IF(A374=$X$31,K374/(D374*Vendas!$U$27),IF(A374=$X$32,K374/(D374*Vendas!$U$28),IF(A374=$X$33,K374/(D374*Vendas!$U$29),IF(A374=$X$34,K374/(D374*Vendas!$U$30),IF(A374=$X$35,K374/(D374*Vendas!$U$31),IF(A374=$X$36,K374/(D374*Vendas!$U$32),0))))))))</f>
        <v>0.79352062921477184</v>
      </c>
    </row>
    <row r="375" spans="1:17">
      <c r="A375" s="263" t="s">
        <v>33</v>
      </c>
      <c r="B375" s="337" t="s">
        <v>531</v>
      </c>
      <c r="C375" s="73">
        <v>19</v>
      </c>
      <c r="D375" s="315">
        <v>253.75</v>
      </c>
      <c r="E375" s="166">
        <v>4792</v>
      </c>
      <c r="F375" s="74" t="s">
        <v>1321</v>
      </c>
      <c r="G375" s="34" t="str">
        <f t="shared" si="24"/>
        <v>XXXVIII19ANA PAULA GRACINDO</v>
      </c>
      <c r="H375" s="40">
        <v>44095</v>
      </c>
      <c r="I375" s="35">
        <v>155041.67000000001</v>
      </c>
      <c r="J375" s="35" t="s">
        <v>834</v>
      </c>
      <c r="K375" s="35">
        <v>156243.96</v>
      </c>
      <c r="L375" s="170">
        <f t="shared" si="25"/>
        <v>1.0077546249340579</v>
      </c>
      <c r="M375" s="154">
        <v>172011.2</v>
      </c>
      <c r="N375" s="170">
        <f t="shared" si="26"/>
        <v>0.90833596882063483</v>
      </c>
      <c r="O375" s="170">
        <f t="shared" si="27"/>
        <v>1.0283479487437961</v>
      </c>
      <c r="P375" s="170">
        <f>IF(A375=$X$29,K375/(D375*Vendas!$U$25),IF(A375=$X$30,K375/(D375*Vendas!$U$26),IF(A375=$X$31,K375/(D375*Vendas!$U$27),IF(A375=$X$32,K375/(D375*Vendas!$U$28),IF(A375=$X$33,K375/(D375*Vendas!$U$29),IF(A375=$X$34,K375/(D375*Vendas!$U$30),IF(A375=$X$35,K375/(D375*Vendas!$U$31),IF(A375=$X$36,K375/(D375*Vendas!$U$32),0))))))))</f>
        <v>1.0188128136947403</v>
      </c>
      <c r="Q375" s="170">
        <f>IF(A375=$X$29,K375/(D375*Vendas!$U$25),IF(A375=$X$30,K375/(D375*Vendas!$U$26),IF(A375=$X$31,K375/(D375*Vendas!$U$27),IF(A375=$X$32,K375/(D375*Vendas!$U$28),IF(A375=$X$33,K375/(D375*Vendas!$U$29),IF(A375=$X$34,K375/(D375*Vendas!$U$30),IF(A375=$X$35,K375/(D375*Vendas!$U$31),IF(A375=$X$36,K375/(D375*Vendas!$U$32),0))))))))</f>
        <v>1.0188128136947403</v>
      </c>
    </row>
    <row r="376" spans="1:17">
      <c r="A376" s="263" t="s">
        <v>33</v>
      </c>
      <c r="B376" s="337" t="s">
        <v>531</v>
      </c>
      <c r="C376" s="166">
        <v>21</v>
      </c>
      <c r="D376" s="197">
        <v>366.62</v>
      </c>
      <c r="E376" s="166">
        <v>5314</v>
      </c>
      <c r="F376" s="338" t="s">
        <v>488</v>
      </c>
      <c r="G376" s="34" t="str">
        <f t="shared" si="24"/>
        <v>XXXVIII21ZENILDO BEZERRA DA SILVA</v>
      </c>
      <c r="H376" s="40">
        <v>42658</v>
      </c>
      <c r="I376" s="35">
        <v>208973.4</v>
      </c>
      <c r="J376" s="35" t="s">
        <v>1249</v>
      </c>
      <c r="K376" s="35">
        <v>94872</v>
      </c>
      <c r="L376" s="170">
        <f t="shared" si="25"/>
        <v>0.45399079500070344</v>
      </c>
      <c r="M376" s="154">
        <v>315745.15000000002</v>
      </c>
      <c r="N376" s="170">
        <f t="shared" si="26"/>
        <v>0.30047017349276778</v>
      </c>
      <c r="O376" s="170">
        <f t="shared" si="27"/>
        <v>0.43218013657572824</v>
      </c>
      <c r="P376" s="170">
        <f>IF(A376=$X$29,K376/(D376*Vendas!$U$25),IF(A376=$X$30,K376/(D376*Vendas!$U$26),IF(A376=$X$31,K376/(D376*Vendas!$U$27),IF(A376=$X$32,K376/(D376*Vendas!$U$28),IF(A376=$X$33,K376/(D376*Vendas!$U$29),IF(A376=$X$34,K376/(D376*Vendas!$U$30),IF(A376=$X$35,K376/(D376*Vendas!$U$31),IF(A376=$X$36,K376/(D376*Vendas!$U$32),0))))))))</f>
        <v>0.42817283926667737</v>
      </c>
      <c r="Q376" s="170">
        <f>IF(A376=$X$29,K376/(D376*Vendas!$U$25),IF(A376=$X$30,K376/(D376*Vendas!$U$26),IF(A376=$X$31,K376/(D376*Vendas!$U$27),IF(A376=$X$32,K376/(D376*Vendas!$U$28),IF(A376=$X$33,K376/(D376*Vendas!$U$29),IF(A376=$X$34,K376/(D376*Vendas!$U$30),IF(A376=$X$35,K376/(D376*Vendas!$U$31),IF(A376=$X$36,K376/(D376*Vendas!$U$32),0))))))))</f>
        <v>0.42817283926667737</v>
      </c>
    </row>
    <row r="377" spans="1:17">
      <c r="A377" s="263" t="s">
        <v>33</v>
      </c>
      <c r="B377" s="337" t="s">
        <v>531</v>
      </c>
      <c r="C377" s="73">
        <v>22</v>
      </c>
      <c r="D377" s="315">
        <v>365.62</v>
      </c>
      <c r="E377" s="166">
        <v>4737</v>
      </c>
      <c r="F377" s="74" t="s">
        <v>1269</v>
      </c>
      <c r="G377" s="34" t="str">
        <f t="shared" si="24"/>
        <v>XXXVIII22HERCULES MARCIO IDALINO</v>
      </c>
      <c r="H377" s="40">
        <v>44064</v>
      </c>
      <c r="I377" s="35">
        <v>223393.96</v>
      </c>
      <c r="J377" s="35" t="s">
        <v>834</v>
      </c>
      <c r="K377" s="35">
        <v>229646.13</v>
      </c>
      <c r="L377" s="170">
        <f t="shared" si="25"/>
        <v>1.0279871935660212</v>
      </c>
      <c r="M377" s="154">
        <v>250231.91</v>
      </c>
      <c r="N377" s="170">
        <f t="shared" si="26"/>
        <v>0.91773319397993647</v>
      </c>
      <c r="O377" s="170">
        <f t="shared" si="27"/>
        <v>1.0489917827929895</v>
      </c>
      <c r="P377" s="170">
        <f>IF(A377=$X$29,K377/(D377*Vendas!$U$25),IF(A377=$X$30,K377/(D377*Vendas!$U$26),IF(A377=$X$31,K377/(D377*Vendas!$U$27),IF(A377=$X$32,K377/(D377*Vendas!$U$28),IF(A377=$X$33,K377/(D377*Vendas!$U$29),IF(A377=$X$34,K377/(D377*Vendas!$U$30),IF(A377=$X$35,K377/(D377*Vendas!$U$31),IF(A377=$X$36,K377/(D377*Vendas!$U$32),0))))))))</f>
        <v>1.0392652322353697</v>
      </c>
      <c r="Q377" s="170">
        <f>IF(A377=$X$29,K377/(D377*Vendas!$U$25),IF(A377=$X$30,K377/(D377*Vendas!$U$26),IF(A377=$X$31,K377/(D377*Vendas!$U$27),IF(A377=$X$32,K377/(D377*Vendas!$U$28),IF(A377=$X$33,K377/(D377*Vendas!$U$29),IF(A377=$X$34,K377/(D377*Vendas!$U$30),IF(A377=$X$35,K377/(D377*Vendas!$U$31),IF(A377=$X$36,K377/(D377*Vendas!$U$32),0))))))))</f>
        <v>1.0392652322353697</v>
      </c>
    </row>
    <row r="378" spans="1:17">
      <c r="A378" s="263" t="s">
        <v>33</v>
      </c>
      <c r="B378" s="337" t="s">
        <v>531</v>
      </c>
      <c r="C378" s="166">
        <v>26</v>
      </c>
      <c r="D378" s="197">
        <v>255.25</v>
      </c>
      <c r="E378" s="166">
        <v>5084</v>
      </c>
      <c r="F378" s="338" t="s">
        <v>125</v>
      </c>
      <c r="G378" s="34" t="str">
        <f t="shared" si="24"/>
        <v>XXXVIII26DANIEL FORCATO SANDOLI</v>
      </c>
      <c r="H378" s="40">
        <v>42401</v>
      </c>
      <c r="I378" s="35">
        <v>137000</v>
      </c>
      <c r="J378" s="35" t="s">
        <v>834</v>
      </c>
      <c r="K378" s="35">
        <v>86934.88</v>
      </c>
      <c r="L378" s="170">
        <f t="shared" si="25"/>
        <v>0.63456116788321171</v>
      </c>
      <c r="M378" s="154">
        <v>228869.22</v>
      </c>
      <c r="N378" s="170">
        <f t="shared" si="26"/>
        <v>0.37984522339876026</v>
      </c>
      <c r="O378" s="170">
        <f t="shared" si="27"/>
        <v>0.56881521894655251</v>
      </c>
      <c r="P378" s="170">
        <f>IF(A378=$X$29,K378/(D378*Vendas!$U$25),IF(A378=$X$30,K378/(D378*Vendas!$U$26),IF(A378=$X$31,K378/(D378*Vendas!$U$27),IF(A378=$X$32,K378/(D378*Vendas!$U$28),IF(A378=$X$33,K378/(D378*Vendas!$U$29),IF(A378=$X$34,K378/(D378*Vendas!$U$30),IF(A378=$X$35,K378/(D378*Vendas!$U$31),IF(A378=$X$36,K378/(D378*Vendas!$U$32),0))))))))</f>
        <v>0.56354100224077774</v>
      </c>
      <c r="Q378" s="170">
        <f>IF(A378=$X$29,K378/(D378*Vendas!$U$25),IF(A378=$X$30,K378/(D378*Vendas!$U$26),IF(A378=$X$31,K378/(D378*Vendas!$U$27),IF(A378=$X$32,K378/(D378*Vendas!$U$28),IF(A378=$X$33,K378/(D378*Vendas!$U$29),IF(A378=$X$34,K378/(D378*Vendas!$U$30),IF(A378=$X$35,K378/(D378*Vendas!$U$31),IF(A378=$X$36,K378/(D378*Vendas!$U$32),0))))))))</f>
        <v>0.56354100224077774</v>
      </c>
    </row>
    <row r="379" spans="1:17">
      <c r="A379" s="263" t="s">
        <v>33</v>
      </c>
      <c r="B379" s="337" t="s">
        <v>531</v>
      </c>
      <c r="C379" s="73">
        <v>27</v>
      </c>
      <c r="D379" s="315">
        <v>255.25</v>
      </c>
      <c r="E379" s="166">
        <v>4099</v>
      </c>
      <c r="F379" s="74" t="s">
        <v>103</v>
      </c>
      <c r="G379" s="34" t="str">
        <f t="shared" si="24"/>
        <v>XXXVIII27CELIA GUERRA BICUDO</v>
      </c>
      <c r="H379" s="40">
        <v>41944</v>
      </c>
      <c r="I379" s="35">
        <v>127291.14</v>
      </c>
      <c r="J379" s="35" t="s">
        <v>1249</v>
      </c>
      <c r="K379" s="35">
        <v>113112.74</v>
      </c>
      <c r="L379" s="170">
        <f t="shared" si="25"/>
        <v>0.88861440002815595</v>
      </c>
      <c r="M379" s="154">
        <v>198491.99</v>
      </c>
      <c r="N379" s="170">
        <f t="shared" si="26"/>
        <v>0.56986047648572624</v>
      </c>
      <c r="O379" s="170">
        <f t="shared" si="27"/>
        <v>0.74009704699361711</v>
      </c>
      <c r="P379" s="170">
        <f>IF(A379=$X$29,K379/(D379*Vendas!$U$25),IF(A379=$X$30,K379/(D379*Vendas!$U$26),IF(A379=$X$31,K379/(D379*Vendas!$U$27),IF(A379=$X$32,K379/(D379*Vendas!$U$28),IF(A379=$X$33,K379/(D379*Vendas!$U$29),IF(A379=$X$34,K379/(D379*Vendas!$U$30),IF(A379=$X$35,K379/(D379*Vendas!$U$31),IF(A379=$X$36,K379/(D379*Vendas!$U$32),0))))))))</f>
        <v>0.73323465639799024</v>
      </c>
      <c r="Q379" s="170">
        <f>IF(A379=$X$29,K379/(D379*Vendas!$U$25),IF(A379=$X$30,K379/(D379*Vendas!$U$26),IF(A379=$X$31,K379/(D379*Vendas!$U$27),IF(A379=$X$32,K379/(D379*Vendas!$U$28),IF(A379=$X$33,K379/(D379*Vendas!$U$29),IF(A379=$X$34,K379/(D379*Vendas!$U$30),IF(A379=$X$35,K379/(D379*Vendas!$U$31),IF(A379=$X$36,K379/(D379*Vendas!$U$32),0))))))))</f>
        <v>0.73323465639799024</v>
      </c>
    </row>
    <row r="380" spans="1:17">
      <c r="A380" s="263" t="s">
        <v>33</v>
      </c>
      <c r="B380" s="337" t="s">
        <v>531</v>
      </c>
      <c r="C380" s="166">
        <v>30</v>
      </c>
      <c r="D380" s="197">
        <v>255.25</v>
      </c>
      <c r="E380" s="166">
        <v>3765</v>
      </c>
      <c r="F380" s="338" t="s">
        <v>1110</v>
      </c>
      <c r="G380" s="34" t="str">
        <f t="shared" si="24"/>
        <v>XXXVIII30THIAGO PASQUETTO BURANELLO</v>
      </c>
      <c r="H380" s="40">
        <v>43864</v>
      </c>
      <c r="I380" s="35">
        <v>144172.48000000001</v>
      </c>
      <c r="J380" s="35" t="s">
        <v>834</v>
      </c>
      <c r="K380" s="35">
        <v>43068.14</v>
      </c>
      <c r="L380" s="170">
        <f t="shared" si="25"/>
        <v>0.29872649759510272</v>
      </c>
      <c r="M380" s="154">
        <v>147138.5</v>
      </c>
      <c r="N380" s="170">
        <f t="shared" si="26"/>
        <v>0.29270476455856215</v>
      </c>
      <c r="O380" s="170">
        <f t="shared" si="27"/>
        <v>0.28179498819945198</v>
      </c>
      <c r="P380" s="170">
        <f>IF(A380=$X$29,K380/(D380*Vendas!$U$25),IF(A380=$X$30,K380/(D380*Vendas!$U$26),IF(A380=$X$31,K380/(D380*Vendas!$U$27),IF(A380=$X$32,K380/(D380*Vendas!$U$28),IF(A380=$X$33,K380/(D380*Vendas!$U$29),IF(A380=$X$34,K380/(D380*Vendas!$U$30),IF(A380=$X$35,K380/(D380*Vendas!$U$31),IF(A380=$X$36,K380/(D380*Vendas!$U$32),0))))))))</f>
        <v>0.27918210481507688</v>
      </c>
      <c r="Q380" s="170">
        <f>IF(A380=$X$29,K380/(D380*Vendas!$U$25),IF(A380=$X$30,K380/(D380*Vendas!$U$26),IF(A380=$X$31,K380/(D380*Vendas!$U$27),IF(A380=$X$32,K380/(D380*Vendas!$U$28),IF(A380=$X$33,K380/(D380*Vendas!$U$29),IF(A380=$X$34,K380/(D380*Vendas!$U$30),IF(A380=$X$35,K380/(D380*Vendas!$U$31),IF(A380=$X$36,K380/(D380*Vendas!$U$32),0))))))))</f>
        <v>0.27918210481507688</v>
      </c>
    </row>
    <row r="381" spans="1:17">
      <c r="A381" s="263" t="s">
        <v>33</v>
      </c>
      <c r="B381" s="337" t="s">
        <v>531</v>
      </c>
      <c r="C381" s="73">
        <v>39</v>
      </c>
      <c r="D381" s="315">
        <v>255.25</v>
      </c>
      <c r="E381" s="166">
        <v>3307</v>
      </c>
      <c r="F381" s="74" t="s">
        <v>1107</v>
      </c>
      <c r="G381" s="34" t="str">
        <f t="shared" si="24"/>
        <v>XXXVIII39WELLINGTON CORONADO FABRI</v>
      </c>
      <c r="H381" s="40">
        <v>43788</v>
      </c>
      <c r="I381" s="35">
        <v>144172.5</v>
      </c>
      <c r="J381" s="35" t="s">
        <v>834</v>
      </c>
      <c r="K381" s="35">
        <v>37783.06</v>
      </c>
      <c r="L381" s="170">
        <f t="shared" si="25"/>
        <v>0.26206842497702404</v>
      </c>
      <c r="M381" s="154">
        <v>147719.80000000002</v>
      </c>
      <c r="N381" s="170">
        <f t="shared" si="26"/>
        <v>0.25577519059733356</v>
      </c>
      <c r="O381" s="170">
        <f t="shared" si="27"/>
        <v>0.24721469157570272</v>
      </c>
      <c r="P381" s="170">
        <f>IF(A381=$X$29,K381/(D381*Vendas!$U$25),IF(A381=$X$30,K381/(D381*Vendas!$U$26),IF(A381=$X$31,K381/(D381*Vendas!$U$27),IF(A381=$X$32,K381/(D381*Vendas!$U$28),IF(A381=$X$33,K381/(D381*Vendas!$U$29),IF(A381=$X$34,K381/(D381*Vendas!$U$30),IF(A381=$X$35,K381/(D381*Vendas!$U$31),IF(A381=$X$36,K381/(D381*Vendas!$U$32),0))))))))</f>
        <v>0.24492244654991688</v>
      </c>
      <c r="Q381" s="170">
        <f>IF(A381=$X$29,K381/(D381*Vendas!$U$25),IF(A381=$X$30,K381/(D381*Vendas!$U$26),IF(A381=$X$31,K381/(D381*Vendas!$U$27),IF(A381=$X$32,K381/(D381*Vendas!$U$28),IF(A381=$X$33,K381/(D381*Vendas!$U$29),IF(A381=$X$34,K381/(D381*Vendas!$U$30),IF(A381=$X$35,K381/(D381*Vendas!$U$31),IF(A381=$X$36,K381/(D381*Vendas!$U$32),0))))))))</f>
        <v>0.24492244654991688</v>
      </c>
    </row>
    <row r="382" spans="1:17">
      <c r="A382" s="263" t="s">
        <v>33</v>
      </c>
      <c r="B382" s="337" t="s">
        <v>531</v>
      </c>
      <c r="C382" s="166">
        <v>40</v>
      </c>
      <c r="D382" s="197">
        <v>255.25</v>
      </c>
      <c r="E382" s="166">
        <v>5042</v>
      </c>
      <c r="F382" s="338" t="s">
        <v>313</v>
      </c>
      <c r="G382" s="34" t="str">
        <f t="shared" si="24"/>
        <v>XXXVIII40LUCILENE MARIA RODRIGUES</v>
      </c>
      <c r="H382" s="40">
        <v>42339</v>
      </c>
      <c r="I382" s="35">
        <v>136999.70000000001</v>
      </c>
      <c r="J382" s="35" t="s">
        <v>834</v>
      </c>
      <c r="K382" s="35">
        <v>133387.95000000001</v>
      </c>
      <c r="L382" s="170">
        <f t="shared" si="25"/>
        <v>0.97363680358424143</v>
      </c>
      <c r="M382" s="154">
        <v>247760.44</v>
      </c>
      <c r="N382" s="170">
        <f t="shared" si="26"/>
        <v>0.53837468968007973</v>
      </c>
      <c r="O382" s="170">
        <f t="shared" si="27"/>
        <v>0.87275781578213263</v>
      </c>
      <c r="P382" s="170">
        <f>IF(A382=$X$29,K382/(D382*Vendas!$U$25),IF(A382=$X$30,K382/(D382*Vendas!$U$26),IF(A382=$X$31,K382/(D382*Vendas!$U$27),IF(A382=$X$32,K382/(D382*Vendas!$U$28),IF(A382=$X$33,K382/(D382*Vendas!$U$29),IF(A382=$X$34,K382/(D382*Vendas!$U$30),IF(A382=$X$35,K382/(D382*Vendas!$U$31),IF(A382=$X$36,K382/(D382*Vendas!$U$32),0))))))))</f>
        <v>0.86466535675718137</v>
      </c>
      <c r="Q382" s="170">
        <f>IF(A382=$X$29,K382/(D382*Vendas!$U$25),IF(A382=$X$30,K382/(D382*Vendas!$U$26),IF(A382=$X$31,K382/(D382*Vendas!$U$27),IF(A382=$X$32,K382/(D382*Vendas!$U$28),IF(A382=$X$33,K382/(D382*Vendas!$U$29),IF(A382=$X$34,K382/(D382*Vendas!$U$30),IF(A382=$X$35,K382/(D382*Vendas!$U$31),IF(A382=$X$36,K382/(D382*Vendas!$U$32),0))))))))</f>
        <v>0.86466535675718137</v>
      </c>
    </row>
    <row r="383" spans="1:17">
      <c r="A383" s="263" t="s">
        <v>33</v>
      </c>
      <c r="B383" s="337" t="s">
        <v>531</v>
      </c>
      <c r="C383" s="73">
        <v>41</v>
      </c>
      <c r="D383" s="315">
        <v>255.25</v>
      </c>
      <c r="E383" s="166">
        <v>4925</v>
      </c>
      <c r="F383" s="74" t="s">
        <v>1386</v>
      </c>
      <c r="G383" s="34" t="str">
        <f t="shared" si="24"/>
        <v>XXXVIII41EDER VASSOLER</v>
      </c>
      <c r="H383" s="40">
        <v>44175</v>
      </c>
      <c r="I383" s="35">
        <v>172959.2</v>
      </c>
      <c r="J383" s="35" t="s">
        <v>834</v>
      </c>
      <c r="K383" s="35">
        <v>137487.41</v>
      </c>
      <c r="L383" s="170">
        <f t="shared" si="25"/>
        <v>0.79491238396107289</v>
      </c>
      <c r="M383" s="154">
        <v>181319.99</v>
      </c>
      <c r="N383" s="170">
        <f t="shared" si="26"/>
        <v>0.75825842478813288</v>
      </c>
      <c r="O383" s="170">
        <f t="shared" si="27"/>
        <v>0.89958059666665935</v>
      </c>
      <c r="P383" s="170">
        <f>IF(A383=$X$29,K383/(D383*Vendas!$U$25),IF(A383=$X$30,K383/(D383*Vendas!$U$26),IF(A383=$X$31,K383/(D383*Vendas!$U$27),IF(A383=$X$32,K383/(D383*Vendas!$U$28),IF(A383=$X$33,K383/(D383*Vendas!$U$29),IF(A383=$X$34,K383/(D383*Vendas!$U$30),IF(A383=$X$35,K383/(D383*Vendas!$U$31),IF(A383=$X$36,K383/(D383*Vendas!$U$32),0))))))))</f>
        <v>0.8912394291783543</v>
      </c>
      <c r="Q383" s="170">
        <f>IF(A383=$X$29,K383/(D383*Vendas!$U$25),IF(A383=$X$30,K383/(D383*Vendas!$U$26),IF(A383=$X$31,K383/(D383*Vendas!$U$27),IF(A383=$X$32,K383/(D383*Vendas!$U$28),IF(A383=$X$33,K383/(D383*Vendas!$U$29),IF(A383=$X$34,K383/(D383*Vendas!$U$30),IF(A383=$X$35,K383/(D383*Vendas!$U$31),IF(A383=$X$36,K383/(D383*Vendas!$U$32),0))))))))</f>
        <v>0.8912394291783543</v>
      </c>
    </row>
    <row r="384" spans="1:17">
      <c r="A384" s="263" t="s">
        <v>612</v>
      </c>
      <c r="B384" s="337" t="s">
        <v>613</v>
      </c>
      <c r="C384" s="166">
        <v>1</v>
      </c>
      <c r="D384" s="197">
        <v>334.04</v>
      </c>
      <c r="E384" s="166"/>
      <c r="F384" s="338" t="s">
        <v>932</v>
      </c>
      <c r="G384" s="34" t="str">
        <f t="shared" si="24"/>
        <v>X1CLEBIO SELMO MARQUES</v>
      </c>
      <c r="H384" s="40">
        <v>43509</v>
      </c>
      <c r="I384" s="35">
        <v>156999.4</v>
      </c>
      <c r="J384" s="35" t="s">
        <v>834</v>
      </c>
      <c r="K384" s="35">
        <v>138226.82</v>
      </c>
      <c r="L384" s="170">
        <f t="shared" si="25"/>
        <v>0.88042896979224128</v>
      </c>
      <c r="M384" s="154">
        <v>208668.18</v>
      </c>
      <c r="N384" s="170">
        <f t="shared" si="26"/>
        <v>0.66242404567864643</v>
      </c>
      <c r="O384" s="170">
        <f t="shared" si="27"/>
        <v>0.69109339343814635</v>
      </c>
      <c r="P384" s="170">
        <f>IF(A384=$X$29,K384/(D384*Vendas!$U$25),IF(A384=$X$30,K384/(D384*Vendas!$U$26),IF(A384=$X$31,K384/(D384*Vendas!$U$27),IF(A384=$X$32,K384/(D384*Vendas!$U$28),IF(A384=$X$33,K384/(D384*Vendas!$U$29),IF(A384=$X$34,K384/(D384*Vendas!$U$30),IF(A384=$X$35,K384/(D384*Vendas!$U$31),IF(A384=$X$36,K384/(D384*Vendas!$U$32),0))))))))</f>
        <v>0.75046299317860654</v>
      </c>
      <c r="Q384" s="170">
        <f>IF(A384=$X$29,K384/(D384*Vendas!$U$25),IF(A384=$X$30,K384/(D384*Vendas!$U$26),IF(A384=$X$31,K384/(D384*Vendas!$U$27),IF(A384=$X$32,K384/(D384*Vendas!$U$28),IF(A384=$X$33,K384/(D384*Vendas!$U$29),IF(A384=$X$34,K384/(D384*Vendas!$U$30),IF(A384=$X$35,K384/(D384*Vendas!$U$31),IF(A384=$X$36,K384/(D384*Vendas!$U$32),0))))))))</f>
        <v>0.75046299317860654</v>
      </c>
    </row>
    <row r="385" spans="1:17">
      <c r="A385" s="263" t="s">
        <v>612</v>
      </c>
      <c r="B385" s="337" t="s">
        <v>613</v>
      </c>
      <c r="C385" s="73">
        <v>2</v>
      </c>
      <c r="D385" s="315">
        <v>252.5</v>
      </c>
      <c r="E385" s="166">
        <v>3470</v>
      </c>
      <c r="F385" s="74" t="s">
        <v>1118</v>
      </c>
      <c r="G385" s="34" t="str">
        <f t="shared" si="24"/>
        <v>X2PAULO SERGIO BARBOSA</v>
      </c>
      <c r="H385" s="40">
        <v>43809</v>
      </c>
      <c r="I385" s="35">
        <v>122200</v>
      </c>
      <c r="J385" s="35" t="s">
        <v>1249</v>
      </c>
      <c r="K385" s="35">
        <v>124392.59</v>
      </c>
      <c r="L385" s="170">
        <f t="shared" si="25"/>
        <v>1.01794263502455</v>
      </c>
      <c r="M385" s="154">
        <v>149777.63</v>
      </c>
      <c r="N385" s="170">
        <f t="shared" si="26"/>
        <v>0.83051514435099549</v>
      </c>
      <c r="O385" s="170">
        <f t="shared" si="27"/>
        <v>0.82276541424185345</v>
      </c>
      <c r="P385" s="170">
        <f>IF(A385=$X$29,K385/(D385*Vendas!$U$25),IF(A385=$X$30,K385/(D385*Vendas!$U$26),IF(A385=$X$31,K385/(D385*Vendas!$U$27),IF(A385=$X$32,K385/(D385*Vendas!$U$28),IF(A385=$X$33,K385/(D385*Vendas!$U$29),IF(A385=$X$34,K385/(D385*Vendas!$U$30),IF(A385=$X$35,K385/(D385*Vendas!$U$31),IF(A385=$X$36,K385/(D385*Vendas!$U$32),0))))))))</f>
        <v>0.89344653171111599</v>
      </c>
      <c r="Q385" s="170">
        <f>IF(A385=$X$29,K385/(D385*Vendas!$U$25),IF(A385=$X$30,K385/(D385*Vendas!$U$26),IF(A385=$X$31,K385/(D385*Vendas!$U$27),IF(A385=$X$32,K385/(D385*Vendas!$U$28),IF(A385=$X$33,K385/(D385*Vendas!$U$29),IF(A385=$X$34,K385/(D385*Vendas!$U$30),IF(A385=$X$35,K385/(D385*Vendas!$U$31),IF(A385=$X$36,K385/(D385*Vendas!$U$32),0))))))))</f>
        <v>0.89344653171111599</v>
      </c>
    </row>
    <row r="386" spans="1:17">
      <c r="A386" s="263" t="s">
        <v>612</v>
      </c>
      <c r="B386" s="337" t="s">
        <v>613</v>
      </c>
      <c r="C386" s="166">
        <v>23</v>
      </c>
      <c r="D386" s="197">
        <v>252.5</v>
      </c>
      <c r="E386" s="166">
        <v>5121</v>
      </c>
      <c r="F386" s="338" t="s">
        <v>1501</v>
      </c>
      <c r="G386" s="34" t="str">
        <f t="shared" si="24"/>
        <v>X23ROSEMARY MARIKO HIRAYAMA</v>
      </c>
      <c r="H386" s="40">
        <v>44271</v>
      </c>
      <c r="I386" s="35">
        <v>143726</v>
      </c>
      <c r="J386" s="35" t="s">
        <v>834</v>
      </c>
      <c r="K386" s="35">
        <v>137943</v>
      </c>
      <c r="L386" s="170">
        <f t="shared" si="25"/>
        <v>0.95976371707276342</v>
      </c>
      <c r="M386" s="154">
        <v>144059</v>
      </c>
      <c r="N386" s="170">
        <f t="shared" si="26"/>
        <v>0.9575451724640599</v>
      </c>
      <c r="O386" s="170">
        <f t="shared" si="27"/>
        <v>0.91239140158400112</v>
      </c>
      <c r="P386" s="170">
        <f>IF(A386=$X$29,K386/(D386*Vendas!$U$25),IF(A386=$X$30,K386/(D386*Vendas!$U$26),IF(A386=$X$31,K386/(D386*Vendas!$U$27),IF(A386=$X$32,K386/(D386*Vendas!$U$28),IF(A386=$X$33,K386/(D386*Vendas!$U$29),IF(A386=$X$34,K386/(D386*Vendas!$U$30),IF(A386=$X$35,K386/(D386*Vendas!$U$31),IF(A386=$X$36,K386/(D386*Vendas!$U$32),0))))))))</f>
        <v>0.99077199794478488</v>
      </c>
      <c r="Q386" s="170">
        <f>IF(A386=$X$29,K386/(D386*Vendas!$U$25),IF(A386=$X$30,K386/(D386*Vendas!$U$26),IF(A386=$X$31,K386/(D386*Vendas!$U$27),IF(A386=$X$32,K386/(D386*Vendas!$U$28),IF(A386=$X$33,K386/(D386*Vendas!$U$29),IF(A386=$X$34,K386/(D386*Vendas!$U$30),IF(A386=$X$35,K386/(D386*Vendas!$U$31),IF(A386=$X$36,K386/(D386*Vendas!$U$32),0))))))))</f>
        <v>0.99077199794478488</v>
      </c>
    </row>
    <row r="387" spans="1:17">
      <c r="A387" s="263" t="s">
        <v>612</v>
      </c>
      <c r="B387" s="337" t="s">
        <v>613</v>
      </c>
      <c r="C387" s="73">
        <v>24</v>
      </c>
      <c r="D387" s="315">
        <v>252.5</v>
      </c>
      <c r="E387" s="166">
        <v>5126</v>
      </c>
      <c r="F387" s="74" t="s">
        <v>1488</v>
      </c>
      <c r="G387" s="34" t="str">
        <f t="shared" si="24"/>
        <v>X24LUCAS DONIZETTI BUENO DE CAMARGO</v>
      </c>
      <c r="H387" s="40">
        <v>44280</v>
      </c>
      <c r="I387" s="35">
        <v>143312.4</v>
      </c>
      <c r="J387" s="35" t="s">
        <v>834</v>
      </c>
      <c r="K387" s="35">
        <v>141749.26</v>
      </c>
      <c r="L387" s="170">
        <f t="shared" si="25"/>
        <v>0.98909277913146398</v>
      </c>
      <c r="M387" s="154">
        <v>144798.46</v>
      </c>
      <c r="N387" s="170">
        <f t="shared" si="26"/>
        <v>0.9789417649883847</v>
      </c>
      <c r="O387" s="170">
        <f t="shared" si="27"/>
        <v>0.93756700959740613</v>
      </c>
      <c r="P387" s="170">
        <f>IF(A387=$X$29,K387/(D387*Vendas!$U$25),IF(A387=$X$30,K387/(D387*Vendas!$U$26),IF(A387=$X$31,K387/(D387*Vendas!$U$27),IF(A387=$X$32,K387/(D387*Vendas!$U$28),IF(A387=$X$33,K387/(D387*Vendas!$U$29),IF(A387=$X$34,K387/(D387*Vendas!$U$30),IF(A387=$X$35,K387/(D387*Vendas!$U$31),IF(A387=$X$36,K387/(D387*Vendas!$U$32),0))))))))</f>
        <v>1.0181103610722892</v>
      </c>
      <c r="Q387" s="170">
        <f>IF(A387=$X$29,K387/(D387*Vendas!$U$25),IF(A387=$X$30,K387/(D387*Vendas!$U$26),IF(A387=$X$31,K387/(D387*Vendas!$U$27),IF(A387=$X$32,K387/(D387*Vendas!$U$28),IF(A387=$X$33,K387/(D387*Vendas!$U$29),IF(A387=$X$34,K387/(D387*Vendas!$U$30),IF(A387=$X$35,K387/(D387*Vendas!$U$31),IF(A387=$X$36,K387/(D387*Vendas!$U$32),0))))))))</f>
        <v>1.0181103610722892</v>
      </c>
    </row>
    <row r="388" spans="1:17">
      <c r="A388" s="263" t="s">
        <v>612</v>
      </c>
      <c r="B388" s="337" t="s">
        <v>613</v>
      </c>
      <c r="C388" s="166">
        <v>25</v>
      </c>
      <c r="D388" s="197">
        <v>252.5</v>
      </c>
      <c r="E388" s="166">
        <v>5127</v>
      </c>
      <c r="F388" s="338" t="s">
        <v>1488</v>
      </c>
      <c r="G388" s="34" t="str">
        <f t="shared" si="24"/>
        <v>X25LUCAS DONIZETTI BUENO DE CAMARGO</v>
      </c>
      <c r="H388" s="40">
        <v>44280</v>
      </c>
      <c r="I388" s="35">
        <v>143312.4</v>
      </c>
      <c r="J388" s="35" t="s">
        <v>834</v>
      </c>
      <c r="K388" s="35">
        <v>141749.26</v>
      </c>
      <c r="L388" s="170">
        <f t="shared" si="25"/>
        <v>0.98909277913146398</v>
      </c>
      <c r="M388" s="154">
        <v>144798.46</v>
      </c>
      <c r="N388" s="170">
        <f t="shared" si="26"/>
        <v>0.9789417649883847</v>
      </c>
      <c r="O388" s="170">
        <f t="shared" si="27"/>
        <v>0.93756700959740613</v>
      </c>
      <c r="P388" s="170">
        <f>IF(A388=$X$29,K388/(D388*Vendas!$U$25),IF(A388=$X$30,K388/(D388*Vendas!$U$26),IF(A388=$X$31,K388/(D388*Vendas!$U$27),IF(A388=$X$32,K388/(D388*Vendas!$U$28),IF(A388=$X$33,K388/(D388*Vendas!$U$29),IF(A388=$X$34,K388/(D388*Vendas!$U$30),IF(A388=$X$35,K388/(D388*Vendas!$U$31),IF(A388=$X$36,K388/(D388*Vendas!$U$32),0))))))))</f>
        <v>1.0181103610722892</v>
      </c>
      <c r="Q388" s="170">
        <f>IF(A388=$X$29,K388/(D388*Vendas!$U$25),IF(A388=$X$30,K388/(D388*Vendas!$U$26),IF(A388=$X$31,K388/(D388*Vendas!$U$27),IF(A388=$X$32,K388/(D388*Vendas!$U$28),IF(A388=$X$33,K388/(D388*Vendas!$U$29),IF(A388=$X$34,K388/(D388*Vendas!$U$30),IF(A388=$X$35,K388/(D388*Vendas!$U$31),IF(A388=$X$36,K388/(D388*Vendas!$U$32),0))))))))</f>
        <v>1.0181103610722892</v>
      </c>
    </row>
    <row r="389" spans="1:17">
      <c r="A389" s="263" t="s">
        <v>612</v>
      </c>
      <c r="B389" s="337" t="s">
        <v>613</v>
      </c>
      <c r="C389" s="73">
        <v>26</v>
      </c>
      <c r="D389" s="315">
        <v>252.5</v>
      </c>
      <c r="E389" s="166">
        <v>5128</v>
      </c>
      <c r="F389" s="74" t="s">
        <v>1488</v>
      </c>
      <c r="G389" s="34" t="str">
        <f t="shared" ref="G389:G452" si="28">CONCATENATE(B389,C389,F389)</f>
        <v>X26LUCAS DONIZETTI BUENO DE CAMARGO</v>
      </c>
      <c r="H389" s="40">
        <v>44280</v>
      </c>
      <c r="I389" s="35">
        <v>143312.4</v>
      </c>
      <c r="J389" s="35" t="s">
        <v>834</v>
      </c>
      <c r="K389" s="35">
        <v>141749.26</v>
      </c>
      <c r="L389" s="170">
        <f t="shared" ref="L389:L452" si="29">K389/I389</f>
        <v>0.98909277913146398</v>
      </c>
      <c r="M389" s="154">
        <v>144798.46</v>
      </c>
      <c r="N389" s="170">
        <f t="shared" ref="N389:N452" si="30">K389/M389</f>
        <v>0.9789417649883847</v>
      </c>
      <c r="O389" s="170">
        <f t="shared" ref="O389:O452" si="31">K389/(D389*$U$10)</f>
        <v>0.93756700959740613</v>
      </c>
      <c r="P389" s="170">
        <f>IF(A389=$X$29,K389/(D389*Vendas!$U$25),IF(A389=$X$30,K389/(D389*Vendas!$U$26),IF(A389=$X$31,K389/(D389*Vendas!$U$27),IF(A389=$X$32,K389/(D389*Vendas!$U$28),IF(A389=$X$33,K389/(D389*Vendas!$U$29),IF(A389=$X$34,K389/(D389*Vendas!$U$30),IF(A389=$X$35,K389/(D389*Vendas!$U$31),IF(A389=$X$36,K389/(D389*Vendas!$U$32),0))))))))</f>
        <v>1.0181103610722892</v>
      </c>
      <c r="Q389" s="170">
        <f>IF(A389=$X$29,K389/(D389*Vendas!$U$25),IF(A389=$X$30,K389/(D389*Vendas!$U$26),IF(A389=$X$31,K389/(D389*Vendas!$U$27),IF(A389=$X$32,K389/(D389*Vendas!$U$28),IF(A389=$X$33,K389/(D389*Vendas!$U$29),IF(A389=$X$34,K389/(D389*Vendas!$U$30),IF(A389=$X$35,K389/(D389*Vendas!$U$31),IF(A389=$X$36,K389/(D389*Vendas!$U$32),0))))))))</f>
        <v>1.0181103610722892</v>
      </c>
    </row>
    <row r="390" spans="1:17">
      <c r="A390" s="263" t="s">
        <v>612</v>
      </c>
      <c r="B390" s="337" t="s">
        <v>613</v>
      </c>
      <c r="C390" s="166">
        <v>27</v>
      </c>
      <c r="D390" s="197">
        <v>252.5</v>
      </c>
      <c r="E390" s="166">
        <v>3136</v>
      </c>
      <c r="F390" s="338" t="s">
        <v>1073</v>
      </c>
      <c r="G390" s="34" t="str">
        <f t="shared" si="28"/>
        <v>X27THAIS FERNANDA VASCONCELOS DOS SANTOS</v>
      </c>
      <c r="H390" s="40">
        <v>43762</v>
      </c>
      <c r="I390" s="35">
        <v>105280</v>
      </c>
      <c r="J390" s="35" t="s">
        <v>834</v>
      </c>
      <c r="K390" s="35">
        <v>107668.31</v>
      </c>
      <c r="L390" s="170">
        <f t="shared" si="29"/>
        <v>1.0226853153495441</v>
      </c>
      <c r="M390" s="154">
        <v>131169.68</v>
      </c>
      <c r="N390" s="170">
        <f t="shared" si="30"/>
        <v>0.82083229904959742</v>
      </c>
      <c r="O390" s="170">
        <f t="shared" si="31"/>
        <v>0.71214661321763861</v>
      </c>
      <c r="P390" s="170">
        <f>IF(A390=$X$29,K390/(D390*Vendas!$U$25),IF(A390=$X$30,K390/(D390*Vendas!$U$26),IF(A390=$X$31,K390/(D390*Vendas!$U$27),IF(A390=$X$32,K390/(D390*Vendas!$U$28),IF(A390=$X$33,K390/(D390*Vendas!$U$29),IF(A390=$X$34,K390/(D390*Vendas!$U$30),IF(A390=$X$35,K390/(D390*Vendas!$U$31),IF(A390=$X$36,K390/(D390*Vendas!$U$32),0))))))))</f>
        <v>0.77332482702303462</v>
      </c>
      <c r="Q390" s="170">
        <f>IF(A390=$X$29,K390/(D390*Vendas!$U$25),IF(A390=$X$30,K390/(D390*Vendas!$U$26),IF(A390=$X$31,K390/(D390*Vendas!$U$27),IF(A390=$X$32,K390/(D390*Vendas!$U$28),IF(A390=$X$33,K390/(D390*Vendas!$U$29),IF(A390=$X$34,K390/(D390*Vendas!$U$30),IF(A390=$X$35,K390/(D390*Vendas!$U$31),IF(A390=$X$36,K390/(D390*Vendas!$U$32),0))))))))</f>
        <v>0.77332482702303462</v>
      </c>
    </row>
    <row r="391" spans="1:17">
      <c r="A391" s="263" t="s">
        <v>612</v>
      </c>
      <c r="B391" s="337" t="s">
        <v>613</v>
      </c>
      <c r="C391" s="73">
        <v>28</v>
      </c>
      <c r="D391" s="315">
        <v>439.76</v>
      </c>
      <c r="E391" s="166">
        <v>3137</v>
      </c>
      <c r="F391" s="74" t="s">
        <v>1073</v>
      </c>
      <c r="G391" s="34" t="str">
        <f t="shared" si="28"/>
        <v>X28THAIS FERNANDA VASCONCELOS DOS SANTOS</v>
      </c>
      <c r="H391" s="40">
        <v>43762</v>
      </c>
      <c r="I391" s="35">
        <v>164500</v>
      </c>
      <c r="J391" s="35" t="s">
        <v>834</v>
      </c>
      <c r="K391" s="35">
        <v>168231.57</v>
      </c>
      <c r="L391" s="170">
        <f t="shared" si="29"/>
        <v>1.0226843161094226</v>
      </c>
      <c r="M391" s="154">
        <v>204959.76</v>
      </c>
      <c r="N391" s="170">
        <f t="shared" si="30"/>
        <v>0.82080292248585773</v>
      </c>
      <c r="O391" s="170">
        <f t="shared" si="31"/>
        <v>0.63890262637135342</v>
      </c>
      <c r="P391" s="170">
        <f>IF(A391=$X$29,K391/(D391*Vendas!$U$25),IF(A391=$X$30,K391/(D391*Vendas!$U$26),IF(A391=$X$31,K391/(D391*Vendas!$U$27),IF(A391=$X$32,K391/(D391*Vendas!$U$28),IF(A391=$X$33,K391/(D391*Vendas!$U$29),IF(A391=$X$34,K391/(D391*Vendas!$U$30),IF(A391=$X$35,K391/(D391*Vendas!$U$31),IF(A391=$X$36,K391/(D391*Vendas!$U$32),0))))))))</f>
        <v>0.69378868599940124</v>
      </c>
      <c r="Q391" s="170">
        <f>IF(A391=$X$29,K391/(D391*Vendas!$U$25),IF(A391=$X$30,K391/(D391*Vendas!$U$26),IF(A391=$X$31,K391/(D391*Vendas!$U$27),IF(A391=$X$32,K391/(D391*Vendas!$U$28),IF(A391=$X$33,K391/(D391*Vendas!$U$29),IF(A391=$X$34,K391/(D391*Vendas!$U$30),IF(A391=$X$35,K391/(D391*Vendas!$U$31),IF(A391=$X$36,K391/(D391*Vendas!$U$32),0))))))))</f>
        <v>0.69378868599940124</v>
      </c>
    </row>
    <row r="392" spans="1:17">
      <c r="A392" s="263" t="s">
        <v>612</v>
      </c>
      <c r="B392" s="337" t="s">
        <v>614</v>
      </c>
      <c r="C392" s="166">
        <v>1</v>
      </c>
      <c r="D392" s="197">
        <v>279.54000000000002</v>
      </c>
      <c r="E392" s="166">
        <v>7103</v>
      </c>
      <c r="F392" s="338" t="s">
        <v>951</v>
      </c>
      <c r="G392" s="34" t="str">
        <f t="shared" si="28"/>
        <v>XIV1BRUNO BORTOLETO CORA</v>
      </c>
      <c r="H392" s="40">
        <v>43565</v>
      </c>
      <c r="I392" s="35">
        <v>135325.26</v>
      </c>
      <c r="J392" s="35" t="s">
        <v>834</v>
      </c>
      <c r="K392" s="35">
        <v>92115</v>
      </c>
      <c r="L392" s="170">
        <f t="shared" si="29"/>
        <v>0.68069331623674689</v>
      </c>
      <c r="M392" s="154">
        <v>164060.39000000001</v>
      </c>
      <c r="N392" s="170">
        <f t="shared" si="30"/>
        <v>0.56147007818279593</v>
      </c>
      <c r="O392" s="170">
        <f t="shared" si="31"/>
        <v>0.55033773872226777</v>
      </c>
      <c r="P392" s="170">
        <f>IF(A392=$X$29,K392/(D392*Vendas!$U$25),IF(A392=$X$30,K392/(D392*Vendas!$U$26),IF(A392=$X$31,K392/(D392*Vendas!$U$27),IF(A392=$X$32,K392/(D392*Vendas!$U$28),IF(A392=$X$33,K392/(D392*Vendas!$U$29),IF(A392=$X$34,K392/(D392*Vendas!$U$30),IF(A392=$X$35,K392/(D392*Vendas!$U$31),IF(A392=$X$36,K392/(D392*Vendas!$U$32),0))))))))</f>
        <v>0.59761547510383439</v>
      </c>
      <c r="Q392" s="170">
        <f>IF(A392=$X$29,K392/(D392*Vendas!$U$25),IF(A392=$X$30,K392/(D392*Vendas!$U$26),IF(A392=$X$31,K392/(D392*Vendas!$U$27),IF(A392=$X$32,K392/(D392*Vendas!$U$28),IF(A392=$X$33,K392/(D392*Vendas!$U$29),IF(A392=$X$34,K392/(D392*Vendas!$U$30),IF(A392=$X$35,K392/(D392*Vendas!$U$31),IF(A392=$X$36,K392/(D392*Vendas!$U$32),0))))))))</f>
        <v>0.59761547510383439</v>
      </c>
    </row>
    <row r="393" spans="1:17">
      <c r="A393" s="263" t="s">
        <v>612</v>
      </c>
      <c r="B393" s="337" t="s">
        <v>614</v>
      </c>
      <c r="C393" s="73">
        <v>2</v>
      </c>
      <c r="D393" s="315">
        <v>257</v>
      </c>
      <c r="E393" s="166">
        <v>7250</v>
      </c>
      <c r="F393" s="74" t="s">
        <v>975</v>
      </c>
      <c r="G393" s="34" t="str">
        <f t="shared" si="28"/>
        <v>XIV2KAIO HENRIQUE ALBANO CAVALARI</v>
      </c>
      <c r="H393" s="40">
        <v>43609</v>
      </c>
      <c r="I393" s="35">
        <v>112800</v>
      </c>
      <c r="J393" s="35" t="s">
        <v>834</v>
      </c>
      <c r="K393" s="35">
        <v>112216.37</v>
      </c>
      <c r="L393" s="170">
        <f t="shared" si="29"/>
        <v>0.99482597517730498</v>
      </c>
      <c r="M393" s="154">
        <v>143942.69</v>
      </c>
      <c r="N393" s="170">
        <f t="shared" si="30"/>
        <v>0.77959061345873137</v>
      </c>
      <c r="O393" s="170">
        <f t="shared" si="31"/>
        <v>0.72923246011145348</v>
      </c>
      <c r="P393" s="170">
        <f>IF(A393=$X$29,K393/(D393*Vendas!$U$25),IF(A393=$X$30,K393/(D393*Vendas!$U$26),IF(A393=$X$31,K393/(D393*Vendas!$U$27),IF(A393=$X$32,K393/(D393*Vendas!$U$28),IF(A393=$X$33,K393/(D393*Vendas!$U$29),IF(A393=$X$34,K393/(D393*Vendas!$U$30),IF(A393=$X$35,K393/(D393*Vendas!$U$31),IF(A393=$X$36,K393/(D393*Vendas!$U$32),0))))))))</f>
        <v>0.7918784638001618</v>
      </c>
      <c r="Q393" s="170">
        <f>IF(A393=$X$29,K393/(D393*Vendas!$U$25),IF(A393=$X$30,K393/(D393*Vendas!$U$26),IF(A393=$X$31,K393/(D393*Vendas!$U$27),IF(A393=$X$32,K393/(D393*Vendas!$U$28),IF(A393=$X$33,K393/(D393*Vendas!$U$29),IF(A393=$X$34,K393/(D393*Vendas!$U$30),IF(A393=$X$35,K393/(D393*Vendas!$U$31),IF(A393=$X$36,K393/(D393*Vendas!$U$32),0))))))))</f>
        <v>0.7918784638001618</v>
      </c>
    </row>
    <row r="394" spans="1:17">
      <c r="A394" s="263" t="s">
        <v>612</v>
      </c>
      <c r="B394" s="337" t="s">
        <v>614</v>
      </c>
      <c r="C394" s="166">
        <v>3</v>
      </c>
      <c r="D394" s="197">
        <v>257</v>
      </c>
      <c r="E394" s="166">
        <v>6886</v>
      </c>
      <c r="F394" s="338" t="s">
        <v>901</v>
      </c>
      <c r="G394" s="34" t="str">
        <f t="shared" si="28"/>
        <v>XIV3ANDREA BRENZAN ALVIM</v>
      </c>
      <c r="H394" s="40">
        <v>43487</v>
      </c>
      <c r="I394" s="35">
        <v>120790</v>
      </c>
      <c r="J394" s="35" t="s">
        <v>834</v>
      </c>
      <c r="K394" s="35">
        <v>122898.57</v>
      </c>
      <c r="L394" s="170">
        <f t="shared" si="29"/>
        <v>1.0174564947429423</v>
      </c>
      <c r="M394" s="154">
        <v>164700.73000000001</v>
      </c>
      <c r="N394" s="170">
        <f t="shared" si="30"/>
        <v>0.74619323180899078</v>
      </c>
      <c r="O394" s="170">
        <f t="shared" si="31"/>
        <v>0.7986502017956888</v>
      </c>
      <c r="P394" s="170">
        <f>IF(A394=$X$29,K394/(D394*Vendas!$U$25),IF(A394=$X$30,K394/(D394*Vendas!$U$26),IF(A394=$X$31,K394/(D394*Vendas!$U$27),IF(A394=$X$32,K394/(D394*Vendas!$U$28),IF(A394=$X$33,K394/(D394*Vendas!$U$29),IF(A394=$X$34,K394/(D394*Vendas!$U$30),IF(A394=$X$35,K394/(D394*Vendas!$U$31),IF(A394=$X$36,K394/(D394*Vendas!$U$32),0))))))))</f>
        <v>0.86725965930671844</v>
      </c>
      <c r="Q394" s="170">
        <f>IF(A394=$X$29,K394/(D394*Vendas!$U$25),IF(A394=$X$30,K394/(D394*Vendas!$U$26),IF(A394=$X$31,K394/(D394*Vendas!$U$27),IF(A394=$X$32,K394/(D394*Vendas!$U$28),IF(A394=$X$33,K394/(D394*Vendas!$U$29),IF(A394=$X$34,K394/(D394*Vendas!$U$30),IF(A394=$X$35,K394/(D394*Vendas!$U$31),IF(A394=$X$36,K394/(D394*Vendas!$U$32),0))))))))</f>
        <v>0.86725965930671844</v>
      </c>
    </row>
    <row r="395" spans="1:17">
      <c r="A395" s="263" t="s">
        <v>612</v>
      </c>
      <c r="B395" s="337" t="s">
        <v>614</v>
      </c>
      <c r="C395" s="73">
        <v>4</v>
      </c>
      <c r="D395" s="315">
        <v>257</v>
      </c>
      <c r="E395" s="166">
        <v>6881</v>
      </c>
      <c r="F395" s="74" t="s">
        <v>901</v>
      </c>
      <c r="G395" s="34" t="str">
        <f t="shared" si="28"/>
        <v>XIV4ANDREA BRENZAN ALVIM</v>
      </c>
      <c r="H395" s="40">
        <v>43483</v>
      </c>
      <c r="I395" s="35">
        <v>120790</v>
      </c>
      <c r="J395" s="35" t="s">
        <v>834</v>
      </c>
      <c r="K395" s="35">
        <v>122898.57</v>
      </c>
      <c r="L395" s="170">
        <f t="shared" si="29"/>
        <v>1.0174564947429423</v>
      </c>
      <c r="M395" s="154">
        <v>164700.73000000001</v>
      </c>
      <c r="N395" s="170">
        <f t="shared" si="30"/>
        <v>0.74619323180899078</v>
      </c>
      <c r="O395" s="170">
        <f t="shared" si="31"/>
        <v>0.7986502017956888</v>
      </c>
      <c r="P395" s="170">
        <f>IF(A395=$X$29,K395/(D395*Vendas!$U$25),IF(A395=$X$30,K395/(D395*Vendas!$U$26),IF(A395=$X$31,K395/(D395*Vendas!$U$27),IF(A395=$X$32,K395/(D395*Vendas!$U$28),IF(A395=$X$33,K395/(D395*Vendas!$U$29),IF(A395=$X$34,K395/(D395*Vendas!$U$30),IF(A395=$X$35,K395/(D395*Vendas!$U$31),IF(A395=$X$36,K395/(D395*Vendas!$U$32),0))))))))</f>
        <v>0.86725965930671844</v>
      </c>
      <c r="Q395" s="170">
        <f>IF(A395=$X$29,K395/(D395*Vendas!$U$25),IF(A395=$X$30,K395/(D395*Vendas!$U$26),IF(A395=$X$31,K395/(D395*Vendas!$U$27),IF(A395=$X$32,K395/(D395*Vendas!$U$28),IF(A395=$X$33,K395/(D395*Vendas!$U$29),IF(A395=$X$34,K395/(D395*Vendas!$U$30),IF(A395=$X$35,K395/(D395*Vendas!$U$31),IF(A395=$X$36,K395/(D395*Vendas!$U$32),0))))))))</f>
        <v>0.86725965930671844</v>
      </c>
    </row>
    <row r="396" spans="1:17">
      <c r="A396" s="263" t="s">
        <v>612</v>
      </c>
      <c r="B396" s="337" t="s">
        <v>614</v>
      </c>
      <c r="C396" s="166">
        <v>6</v>
      </c>
      <c r="D396" s="197">
        <v>257</v>
      </c>
      <c r="E396" s="166">
        <v>5116</v>
      </c>
      <c r="F396" s="338" t="s">
        <v>1502</v>
      </c>
      <c r="G396" s="34" t="str">
        <f t="shared" si="28"/>
        <v>XIV6BRUNO SCUPINARI</v>
      </c>
      <c r="H396" s="40">
        <v>44256</v>
      </c>
      <c r="I396" s="35">
        <v>131599.9</v>
      </c>
      <c r="J396" s="35" t="s">
        <v>834</v>
      </c>
      <c r="K396" s="35">
        <v>124610.55</v>
      </c>
      <c r="L396" s="170">
        <f t="shared" si="29"/>
        <v>0.94688939733236888</v>
      </c>
      <c r="M396" s="154">
        <v>132210.54999999999</v>
      </c>
      <c r="N396" s="170">
        <f t="shared" si="30"/>
        <v>0.94251593386458199</v>
      </c>
      <c r="O396" s="170">
        <f t="shared" si="31"/>
        <v>0.80977541808152664</v>
      </c>
      <c r="P396" s="170">
        <f>IF(A396=$X$29,K396/(D396*Vendas!$U$25),IF(A396=$X$30,K396/(D396*Vendas!$U$26),IF(A396=$X$31,K396/(D396*Vendas!$U$27),IF(A396=$X$32,K396/(D396*Vendas!$U$28),IF(A396=$X$33,K396/(D396*Vendas!$U$29),IF(A396=$X$34,K396/(D396*Vendas!$U$30),IF(A396=$X$35,K396/(D396*Vendas!$U$31),IF(A396=$X$36,K396/(D396*Vendas!$U$32),0))))))))</f>
        <v>0.87934060696575067</v>
      </c>
      <c r="Q396" s="170">
        <f>IF(A396=$X$29,K396/(D396*Vendas!$U$25),IF(A396=$X$30,K396/(D396*Vendas!$U$26),IF(A396=$X$31,K396/(D396*Vendas!$U$27),IF(A396=$X$32,K396/(D396*Vendas!$U$28),IF(A396=$X$33,K396/(D396*Vendas!$U$29),IF(A396=$X$34,K396/(D396*Vendas!$U$30),IF(A396=$X$35,K396/(D396*Vendas!$U$31),IF(A396=$X$36,K396/(D396*Vendas!$U$32),0))))))))</f>
        <v>0.87934060696575067</v>
      </c>
    </row>
    <row r="397" spans="1:17">
      <c r="A397" s="263" t="s">
        <v>612</v>
      </c>
      <c r="B397" s="337" t="s">
        <v>614</v>
      </c>
      <c r="C397" s="73">
        <v>7</v>
      </c>
      <c r="D397" s="315">
        <v>257</v>
      </c>
      <c r="E397" s="166">
        <v>5118</v>
      </c>
      <c r="F397" s="74" t="s">
        <v>1502</v>
      </c>
      <c r="G397" s="34" t="str">
        <f t="shared" si="28"/>
        <v>XIV7BRUNO SCUPINARI</v>
      </c>
      <c r="H397" s="40">
        <v>44256</v>
      </c>
      <c r="I397" s="35">
        <v>131599.9</v>
      </c>
      <c r="J397" s="35" t="s">
        <v>834</v>
      </c>
      <c r="K397" s="35">
        <v>124610.55</v>
      </c>
      <c r="L397" s="170">
        <f t="shared" si="29"/>
        <v>0.94688939733236888</v>
      </c>
      <c r="M397" s="154">
        <v>132210.54999999999</v>
      </c>
      <c r="N397" s="170">
        <f t="shared" si="30"/>
        <v>0.94251593386458199</v>
      </c>
      <c r="O397" s="170">
        <f t="shared" si="31"/>
        <v>0.80977541808152664</v>
      </c>
      <c r="P397" s="170">
        <f>IF(A397=$X$29,K397/(D397*Vendas!$U$25),IF(A397=$X$30,K397/(D397*Vendas!$U$26),IF(A397=$X$31,K397/(D397*Vendas!$U$27),IF(A397=$X$32,K397/(D397*Vendas!$U$28),IF(A397=$X$33,K397/(D397*Vendas!$U$29),IF(A397=$X$34,K397/(D397*Vendas!$U$30),IF(A397=$X$35,K397/(D397*Vendas!$U$31),IF(A397=$X$36,K397/(D397*Vendas!$U$32),0))))))))</f>
        <v>0.87934060696575067</v>
      </c>
      <c r="Q397" s="170">
        <f>IF(A397=$X$29,K397/(D397*Vendas!$U$25),IF(A397=$X$30,K397/(D397*Vendas!$U$26),IF(A397=$X$31,K397/(D397*Vendas!$U$27),IF(A397=$X$32,K397/(D397*Vendas!$U$28),IF(A397=$X$33,K397/(D397*Vendas!$U$29),IF(A397=$X$34,K397/(D397*Vendas!$U$30),IF(A397=$X$35,K397/(D397*Vendas!$U$31),IF(A397=$X$36,K397/(D397*Vendas!$U$32),0))))))))</f>
        <v>0.87934060696575067</v>
      </c>
    </row>
    <row r="398" spans="1:17">
      <c r="A398" s="263" t="s">
        <v>612</v>
      </c>
      <c r="B398" s="337" t="s">
        <v>614</v>
      </c>
      <c r="C398" s="166">
        <v>9</v>
      </c>
      <c r="D398" s="197">
        <v>257</v>
      </c>
      <c r="E398" s="166">
        <v>5108</v>
      </c>
      <c r="F398" s="338" t="s">
        <v>1503</v>
      </c>
      <c r="G398" s="34" t="str">
        <f t="shared" si="28"/>
        <v>XIV9VIVIANE HELENA DA SILVA ALMEIDA</v>
      </c>
      <c r="H398" s="40">
        <v>44258</v>
      </c>
      <c r="I398" s="35">
        <v>143312.4</v>
      </c>
      <c r="J398" s="35" t="s">
        <v>834</v>
      </c>
      <c r="K398" s="35">
        <v>138692.53</v>
      </c>
      <c r="L398" s="170">
        <f t="shared" si="29"/>
        <v>0.96776364082940491</v>
      </c>
      <c r="M398" s="154">
        <v>144790.93</v>
      </c>
      <c r="N398" s="170">
        <f t="shared" si="30"/>
        <v>0.95788133966678712</v>
      </c>
      <c r="O398" s="170">
        <f t="shared" si="31"/>
        <v>0.90128645981848787</v>
      </c>
      <c r="P398" s="170">
        <f>IF(A398=$X$29,K398/(D398*Vendas!$U$25),IF(A398=$X$30,K398/(D398*Vendas!$U$26),IF(A398=$X$31,K398/(D398*Vendas!$U$27),IF(A398=$X$32,K398/(D398*Vendas!$U$28),IF(A398=$X$33,K398/(D398*Vendas!$U$29),IF(A398=$X$34,K398/(D398*Vendas!$U$30),IF(A398=$X$35,K398/(D398*Vendas!$U$31),IF(A398=$X$36,K398/(D398*Vendas!$U$32),0))))))))</f>
        <v>0.97871306652458867</v>
      </c>
      <c r="Q398" s="170">
        <f>IF(A398=$X$29,K398/(D398*Vendas!$U$25),IF(A398=$X$30,K398/(D398*Vendas!$U$26),IF(A398=$X$31,K398/(D398*Vendas!$U$27),IF(A398=$X$32,K398/(D398*Vendas!$U$28),IF(A398=$X$33,K398/(D398*Vendas!$U$29),IF(A398=$X$34,K398/(D398*Vendas!$U$30),IF(A398=$X$35,K398/(D398*Vendas!$U$31),IF(A398=$X$36,K398/(D398*Vendas!$U$32),0))))))))</f>
        <v>0.97871306652458867</v>
      </c>
    </row>
    <row r="399" spans="1:17">
      <c r="A399" s="263" t="s">
        <v>612</v>
      </c>
      <c r="B399" s="337" t="s">
        <v>614</v>
      </c>
      <c r="C399" s="73">
        <v>10</v>
      </c>
      <c r="D399" s="315">
        <v>257</v>
      </c>
      <c r="E399" s="166">
        <v>4769</v>
      </c>
      <c r="F399" s="74" t="s">
        <v>1177</v>
      </c>
      <c r="G399" s="34" t="str">
        <f t="shared" si="28"/>
        <v>XIV10GABRIELLA MIDORI UENO MAZETI</v>
      </c>
      <c r="H399" s="40">
        <v>44076</v>
      </c>
      <c r="I399" s="35">
        <v>124080</v>
      </c>
      <c r="J399" s="35" t="s">
        <v>834</v>
      </c>
      <c r="K399" s="35">
        <v>113842.93000000001</v>
      </c>
      <c r="L399" s="170">
        <f t="shared" si="29"/>
        <v>0.91749621212121213</v>
      </c>
      <c r="M399" s="154">
        <v>136512.9</v>
      </c>
      <c r="N399" s="170">
        <f t="shared" si="30"/>
        <v>0.83393532772360712</v>
      </c>
      <c r="O399" s="170">
        <f t="shared" si="31"/>
        <v>0.73980257880553435</v>
      </c>
      <c r="P399" s="170">
        <f>IF(A399=$X$29,K399/(D399*Vendas!$U$25),IF(A399=$X$30,K399/(D399*Vendas!$U$26),IF(A399=$X$31,K399/(D399*Vendas!$U$27),IF(A399=$X$32,K399/(D399*Vendas!$U$28),IF(A399=$X$33,K399/(D399*Vendas!$U$29),IF(A399=$X$34,K399/(D399*Vendas!$U$30),IF(A399=$X$35,K399/(D399*Vendas!$U$31),IF(A399=$X$36,K399/(D399*Vendas!$U$32),0))))))))</f>
        <v>0.8033566272274657</v>
      </c>
      <c r="Q399" s="170">
        <f>IF(A399=$X$29,K399/(D399*Vendas!$U$25),IF(A399=$X$30,K399/(D399*Vendas!$U$26),IF(A399=$X$31,K399/(D399*Vendas!$U$27),IF(A399=$X$32,K399/(D399*Vendas!$U$28),IF(A399=$X$33,K399/(D399*Vendas!$U$29),IF(A399=$X$34,K399/(D399*Vendas!$U$30),IF(A399=$X$35,K399/(D399*Vendas!$U$31),IF(A399=$X$36,K399/(D399*Vendas!$U$32),0))))))))</f>
        <v>0.8033566272274657</v>
      </c>
    </row>
    <row r="400" spans="1:17">
      <c r="A400" s="263" t="s">
        <v>612</v>
      </c>
      <c r="B400" s="337" t="s">
        <v>614</v>
      </c>
      <c r="C400" s="166">
        <v>11</v>
      </c>
      <c r="D400" s="197">
        <v>257</v>
      </c>
      <c r="E400" s="166">
        <v>4682</v>
      </c>
      <c r="F400" s="338" t="s">
        <v>1272</v>
      </c>
      <c r="G400" s="34" t="str">
        <f t="shared" si="28"/>
        <v>XIV11BRUNO BARBALHO SILVA</v>
      </c>
      <c r="H400" s="40">
        <v>44050</v>
      </c>
      <c r="I400" s="35">
        <v>119380</v>
      </c>
      <c r="J400" s="35" t="s">
        <v>834</v>
      </c>
      <c r="K400" s="35">
        <v>116722.44</v>
      </c>
      <c r="L400" s="170">
        <f t="shared" si="29"/>
        <v>0.97773864969006541</v>
      </c>
      <c r="M400" s="154">
        <v>133391.69</v>
      </c>
      <c r="N400" s="170">
        <f t="shared" si="30"/>
        <v>0.87503531891679309</v>
      </c>
      <c r="O400" s="170">
        <f t="shared" si="31"/>
        <v>0.75851493032087502</v>
      </c>
      <c r="P400" s="170">
        <f>IF(A400=$X$29,K400/(D400*Vendas!$U$25),IF(A400=$X$30,K400/(D400*Vendas!$U$26),IF(A400=$X$31,K400/(D400*Vendas!$U$27),IF(A400=$X$32,K400/(D400*Vendas!$U$28),IF(A400=$X$33,K400/(D400*Vendas!$U$29),IF(A400=$X$34,K400/(D400*Vendas!$U$30),IF(A400=$X$35,K400/(D400*Vendas!$U$31),IF(A400=$X$36,K400/(D400*Vendas!$U$32),0))))))))</f>
        <v>0.82367649638111229</v>
      </c>
      <c r="Q400" s="170">
        <f>IF(A400=$X$29,K400/(D400*Vendas!$U$25),IF(A400=$X$30,K400/(D400*Vendas!$U$26),IF(A400=$X$31,K400/(D400*Vendas!$U$27),IF(A400=$X$32,K400/(D400*Vendas!$U$28),IF(A400=$X$33,K400/(D400*Vendas!$U$29),IF(A400=$X$34,K400/(D400*Vendas!$U$30),IF(A400=$X$35,K400/(D400*Vendas!$U$31),IF(A400=$X$36,K400/(D400*Vendas!$U$32),0))))))))</f>
        <v>0.82367649638111229</v>
      </c>
    </row>
    <row r="401" spans="1:17">
      <c r="A401" s="263" t="s">
        <v>612</v>
      </c>
      <c r="B401" s="337" t="s">
        <v>614</v>
      </c>
      <c r="C401" s="73">
        <v>12</v>
      </c>
      <c r="D401" s="315">
        <v>257</v>
      </c>
      <c r="E401" s="166">
        <v>4667</v>
      </c>
      <c r="F401" s="74" t="s">
        <v>442</v>
      </c>
      <c r="G401" s="34" t="str">
        <f t="shared" si="28"/>
        <v>XIV12SIDNEY ROEDA GARDENGUE</v>
      </c>
      <c r="H401" s="40">
        <v>44050</v>
      </c>
      <c r="I401" s="35">
        <v>122200</v>
      </c>
      <c r="J401" s="35" t="s">
        <v>834</v>
      </c>
      <c r="K401" s="35">
        <v>109126.44</v>
      </c>
      <c r="L401" s="170">
        <f t="shared" si="29"/>
        <v>0.89301505728314245</v>
      </c>
      <c r="M401" s="154">
        <v>127485.35</v>
      </c>
      <c r="N401" s="170">
        <f t="shared" si="30"/>
        <v>0.85599200221829408</v>
      </c>
      <c r="O401" s="170">
        <f t="shared" si="31"/>
        <v>0.70915270476495473</v>
      </c>
      <c r="P401" s="170">
        <f>IF(A401=$X$29,K401/(D401*Vendas!$U$25),IF(A401=$X$30,K401/(D401*Vendas!$U$26),IF(A401=$X$31,K401/(D401*Vendas!$U$27),IF(A401=$X$32,K401/(D401*Vendas!$U$28),IF(A401=$X$33,K401/(D401*Vendas!$U$29),IF(A401=$X$34,K401/(D401*Vendas!$U$30),IF(A401=$X$35,K401/(D401*Vendas!$U$31),IF(A401=$X$36,K401/(D401*Vendas!$U$32),0))))))))</f>
        <v>0.77007372157182175</v>
      </c>
      <c r="Q401" s="170">
        <f>IF(A401=$X$29,K401/(D401*Vendas!$U$25),IF(A401=$X$30,K401/(D401*Vendas!$U$26),IF(A401=$X$31,K401/(D401*Vendas!$U$27),IF(A401=$X$32,K401/(D401*Vendas!$U$28),IF(A401=$X$33,K401/(D401*Vendas!$U$29),IF(A401=$X$34,K401/(D401*Vendas!$U$30),IF(A401=$X$35,K401/(D401*Vendas!$U$31),IF(A401=$X$36,K401/(D401*Vendas!$U$32),0))))))))</f>
        <v>0.77007372157182175</v>
      </c>
    </row>
    <row r="402" spans="1:17">
      <c r="A402" s="263" t="s">
        <v>612</v>
      </c>
      <c r="B402" s="337" t="s">
        <v>614</v>
      </c>
      <c r="C402" s="166">
        <v>14</v>
      </c>
      <c r="D402" s="197">
        <v>257</v>
      </c>
      <c r="E402" s="166">
        <v>4676</v>
      </c>
      <c r="F402" s="338" t="s">
        <v>1275</v>
      </c>
      <c r="G402" s="34" t="str">
        <f t="shared" si="28"/>
        <v>XIV14GUSTAVO SHINJI YAMASHIRO SATO</v>
      </c>
      <c r="H402" s="40">
        <v>44055</v>
      </c>
      <c r="I402" s="35">
        <v>117876</v>
      </c>
      <c r="J402" s="35" t="s">
        <v>1249</v>
      </c>
      <c r="K402" s="35">
        <v>118633.65000000001</v>
      </c>
      <c r="L402" s="170">
        <f t="shared" si="29"/>
        <v>1.0064275170518173</v>
      </c>
      <c r="M402" s="154">
        <v>131969.69</v>
      </c>
      <c r="N402" s="170">
        <f t="shared" si="30"/>
        <v>0.89894618984101582</v>
      </c>
      <c r="O402" s="170">
        <f t="shared" si="31"/>
        <v>0.77093483278331976</v>
      </c>
      <c r="P402" s="170">
        <f>IF(A402=$X$29,K402/(D402*Vendas!$U$25),IF(A402=$X$30,K402/(D402*Vendas!$U$26),IF(A402=$X$31,K402/(D402*Vendas!$U$27),IF(A402=$X$32,K402/(D402*Vendas!$U$28),IF(A402=$X$33,K402/(D402*Vendas!$U$29),IF(A402=$X$34,K402/(D402*Vendas!$U$30),IF(A402=$X$35,K402/(D402*Vendas!$U$31),IF(A402=$X$36,K402/(D402*Vendas!$U$32),0))))))))</f>
        <v>0.83716335252161578</v>
      </c>
      <c r="Q402" s="170">
        <f>IF(A402=$X$29,K402/(D402*Vendas!$U$25),IF(A402=$X$30,K402/(D402*Vendas!$U$26),IF(A402=$X$31,K402/(D402*Vendas!$U$27),IF(A402=$X$32,K402/(D402*Vendas!$U$28),IF(A402=$X$33,K402/(D402*Vendas!$U$29),IF(A402=$X$34,K402/(D402*Vendas!$U$30),IF(A402=$X$35,K402/(D402*Vendas!$U$31),IF(A402=$X$36,K402/(D402*Vendas!$U$32),0))))))))</f>
        <v>0.83716335252161578</v>
      </c>
    </row>
    <row r="403" spans="1:17">
      <c r="A403" s="263" t="s">
        <v>612</v>
      </c>
      <c r="B403" s="337" t="s">
        <v>614</v>
      </c>
      <c r="C403" s="73">
        <v>15</v>
      </c>
      <c r="D403" s="315">
        <v>257</v>
      </c>
      <c r="E403" s="166">
        <v>4784</v>
      </c>
      <c r="F403" s="74" t="s">
        <v>1324</v>
      </c>
      <c r="G403" s="34" t="str">
        <f t="shared" si="28"/>
        <v>XIV15MARCELO HENRIQUE PELEGRINI ROCHA</v>
      </c>
      <c r="H403" s="40">
        <v>44098</v>
      </c>
      <c r="I403" s="35">
        <v>124080</v>
      </c>
      <c r="J403" s="35" t="s">
        <v>834</v>
      </c>
      <c r="K403" s="35">
        <v>119394.24000000001</v>
      </c>
      <c r="L403" s="170">
        <f t="shared" si="29"/>
        <v>0.96223597678916828</v>
      </c>
      <c r="M403" s="154">
        <v>136972.76999999999</v>
      </c>
      <c r="N403" s="170">
        <f t="shared" si="30"/>
        <v>0.87166405410360037</v>
      </c>
      <c r="O403" s="170">
        <f t="shared" si="31"/>
        <v>0.77587748880432783</v>
      </c>
      <c r="P403" s="170">
        <f>IF(A403=$X$29,K403/(D403*Vendas!$U$25),IF(A403=$X$30,K403/(D403*Vendas!$U$26),IF(A403=$X$31,K403/(D403*Vendas!$U$27),IF(A403=$X$32,K403/(D403*Vendas!$U$28),IF(A403=$X$33,K403/(D403*Vendas!$U$29),IF(A403=$X$34,K403/(D403*Vendas!$U$30),IF(A403=$X$35,K403/(D403*Vendas!$U$31),IF(A403=$X$36,K403/(D403*Vendas!$U$32),0))))))))</f>
        <v>0.84253061614618108</v>
      </c>
      <c r="Q403" s="170">
        <f>IF(A403=$X$29,K403/(D403*Vendas!$U$25),IF(A403=$X$30,K403/(D403*Vendas!$U$26),IF(A403=$X$31,K403/(D403*Vendas!$U$27),IF(A403=$X$32,K403/(D403*Vendas!$U$28),IF(A403=$X$33,K403/(D403*Vendas!$U$29),IF(A403=$X$34,K403/(D403*Vendas!$U$30),IF(A403=$X$35,K403/(D403*Vendas!$U$31),IF(A403=$X$36,K403/(D403*Vendas!$U$32),0))))))))</f>
        <v>0.84253061614618108</v>
      </c>
    </row>
    <row r="404" spans="1:17">
      <c r="A404" s="263" t="s">
        <v>612</v>
      </c>
      <c r="B404" s="337" t="s">
        <v>614</v>
      </c>
      <c r="C404" s="166">
        <v>16</v>
      </c>
      <c r="D404" s="197">
        <v>257</v>
      </c>
      <c r="E404" s="166">
        <v>7135</v>
      </c>
      <c r="F404" s="338" t="s">
        <v>952</v>
      </c>
      <c r="G404" s="34" t="str">
        <f t="shared" si="28"/>
        <v>XIV16NILTON CESAR GONCALVES CAMARGO</v>
      </c>
      <c r="H404" s="40">
        <v>43577</v>
      </c>
      <c r="I404" s="35">
        <v>111971.39</v>
      </c>
      <c r="J404" s="35" t="s">
        <v>834</v>
      </c>
      <c r="K404" s="35">
        <v>92299.66</v>
      </c>
      <c r="L404" s="170">
        <f t="shared" si="29"/>
        <v>0.82431467538270276</v>
      </c>
      <c r="M404" s="154">
        <v>140868.95000000001</v>
      </c>
      <c r="N404" s="170">
        <f t="shared" si="30"/>
        <v>0.65521649731896203</v>
      </c>
      <c r="O404" s="170">
        <f t="shared" si="31"/>
        <v>0.59980471770073052</v>
      </c>
      <c r="P404" s="170">
        <f>IF(A404=$X$29,K404/(D404*Vendas!$U$25),IF(A404=$X$30,K404/(D404*Vendas!$U$26),IF(A404=$X$31,K404/(D404*Vendas!$U$27),IF(A404=$X$32,K404/(D404*Vendas!$U$28),IF(A404=$X$33,K404/(D404*Vendas!$U$29),IF(A404=$X$34,K404/(D404*Vendas!$U$30),IF(A404=$X$35,K404/(D404*Vendas!$U$31),IF(A404=$X$36,K404/(D404*Vendas!$U$32),0))))))))</f>
        <v>0.65133200236362343</v>
      </c>
      <c r="Q404" s="170">
        <f>IF(A404=$X$29,K404/(D404*Vendas!$U$25),IF(A404=$X$30,K404/(D404*Vendas!$U$26),IF(A404=$X$31,K404/(D404*Vendas!$U$27),IF(A404=$X$32,K404/(D404*Vendas!$U$28),IF(A404=$X$33,K404/(D404*Vendas!$U$29),IF(A404=$X$34,K404/(D404*Vendas!$U$30),IF(A404=$X$35,K404/(D404*Vendas!$U$31),IF(A404=$X$36,K404/(D404*Vendas!$U$32),0))))))))</f>
        <v>0.65133200236362343</v>
      </c>
    </row>
    <row r="405" spans="1:17">
      <c r="A405" s="263" t="s">
        <v>612</v>
      </c>
      <c r="B405" s="337" t="s">
        <v>614</v>
      </c>
      <c r="C405" s="73">
        <v>17</v>
      </c>
      <c r="D405" s="315">
        <v>257</v>
      </c>
      <c r="E405" s="166">
        <v>4311</v>
      </c>
      <c r="F405" s="74" t="s">
        <v>1177</v>
      </c>
      <c r="G405" s="34" t="str">
        <f t="shared" si="28"/>
        <v>XIV17GABRIELLA MIDORI UENO MAZETI</v>
      </c>
      <c r="H405" s="40">
        <v>43983</v>
      </c>
      <c r="I405" s="35">
        <v>124080</v>
      </c>
      <c r="J405" s="35" t="s">
        <v>834</v>
      </c>
      <c r="K405" s="35">
        <v>72905.070000000007</v>
      </c>
      <c r="L405" s="170">
        <f t="shared" si="29"/>
        <v>0.58756503868471954</v>
      </c>
      <c r="M405" s="154">
        <v>127942.49</v>
      </c>
      <c r="N405" s="170">
        <f t="shared" si="30"/>
        <v>0.56982688081183974</v>
      </c>
      <c r="O405" s="170">
        <f t="shared" si="31"/>
        <v>0.47376994595973593</v>
      </c>
      <c r="P405" s="170">
        <f>IF(A405=$X$29,K405/(D405*Vendas!$U$25),IF(A405=$X$30,K405/(D405*Vendas!$U$26),IF(A405=$X$31,K405/(D405*Vendas!$U$27),IF(A405=$X$32,K405/(D405*Vendas!$U$28),IF(A405=$X$33,K405/(D405*Vendas!$U$29),IF(A405=$X$34,K405/(D405*Vendas!$U$30),IF(A405=$X$35,K405/(D405*Vendas!$U$31),IF(A405=$X$36,K405/(D405*Vendas!$U$32),0))))))))</f>
        <v>0.51446999074059574</v>
      </c>
      <c r="Q405" s="170">
        <f>IF(A405=$X$29,K405/(D405*Vendas!$U$25),IF(A405=$X$30,K405/(D405*Vendas!$U$26),IF(A405=$X$31,K405/(D405*Vendas!$U$27),IF(A405=$X$32,K405/(D405*Vendas!$U$28),IF(A405=$X$33,K405/(D405*Vendas!$U$29),IF(A405=$X$34,K405/(D405*Vendas!$U$30),IF(A405=$X$35,K405/(D405*Vendas!$U$31),IF(A405=$X$36,K405/(D405*Vendas!$U$32),0))))))))</f>
        <v>0.51446999074059574</v>
      </c>
    </row>
    <row r="406" spans="1:17">
      <c r="A406" s="263" t="s">
        <v>612</v>
      </c>
      <c r="B406" s="337" t="s">
        <v>614</v>
      </c>
      <c r="C406" s="166">
        <v>18</v>
      </c>
      <c r="D406" s="197">
        <v>257</v>
      </c>
      <c r="E406" s="166">
        <v>7102</v>
      </c>
      <c r="F406" s="338" t="s">
        <v>953</v>
      </c>
      <c r="G406" s="34" t="str">
        <f t="shared" si="28"/>
        <v>XIV18APARECIDO FRANCESCHINI</v>
      </c>
      <c r="H406" s="40">
        <v>43563</v>
      </c>
      <c r="I406" s="35">
        <v>99530.91</v>
      </c>
      <c r="J406" s="35" t="s">
        <v>1250</v>
      </c>
      <c r="K406" s="35">
        <v>103273.86</v>
      </c>
      <c r="L406" s="170">
        <f t="shared" si="29"/>
        <v>1.0376059055423084</v>
      </c>
      <c r="M406" s="154">
        <v>127728.69</v>
      </c>
      <c r="N406" s="170">
        <f t="shared" si="30"/>
        <v>0.80854082195628874</v>
      </c>
      <c r="O406" s="170">
        <f t="shared" si="31"/>
        <v>0.67112000676020656</v>
      </c>
      <c r="P406" s="170">
        <f>IF(A406=$X$29,K406/(D406*Vendas!$U$25),IF(A406=$X$30,K406/(D406*Vendas!$U$26),IF(A406=$X$31,K406/(D406*Vendas!$U$27),IF(A406=$X$32,K406/(D406*Vendas!$U$28),IF(A406=$X$33,K406/(D406*Vendas!$U$29),IF(A406=$X$34,K406/(D406*Vendas!$U$30),IF(A406=$X$35,K406/(D406*Vendas!$U$31),IF(A406=$X$36,K406/(D406*Vendas!$U$32),0))))))))</f>
        <v>0.72877375740734596</v>
      </c>
      <c r="Q406" s="170">
        <f>IF(A406=$X$29,K406/(D406*Vendas!$U$25),IF(A406=$X$30,K406/(D406*Vendas!$U$26),IF(A406=$X$31,K406/(D406*Vendas!$U$27),IF(A406=$X$32,K406/(D406*Vendas!$U$28),IF(A406=$X$33,K406/(D406*Vendas!$U$29),IF(A406=$X$34,K406/(D406*Vendas!$U$30),IF(A406=$X$35,K406/(D406*Vendas!$U$31),IF(A406=$X$36,K406/(D406*Vendas!$U$32),0))))))))</f>
        <v>0.72877375740734596</v>
      </c>
    </row>
    <row r="407" spans="1:17">
      <c r="A407" s="263" t="s">
        <v>612</v>
      </c>
      <c r="B407" s="337" t="s">
        <v>614</v>
      </c>
      <c r="C407" s="73">
        <v>19</v>
      </c>
      <c r="D407" s="315">
        <v>257</v>
      </c>
      <c r="E407" s="166">
        <v>7243</v>
      </c>
      <c r="F407" s="74" t="s">
        <v>976</v>
      </c>
      <c r="G407" s="34" t="str">
        <f t="shared" si="28"/>
        <v>XIV19WILSON LOPES DE SOUSA JUNIOR</v>
      </c>
      <c r="H407" s="40">
        <v>43595</v>
      </c>
      <c r="I407" s="35">
        <v>99531.16</v>
      </c>
      <c r="J407" s="35" t="s">
        <v>834</v>
      </c>
      <c r="K407" s="35">
        <v>105537.17</v>
      </c>
      <c r="L407" s="170">
        <f t="shared" si="29"/>
        <v>1.0603430121782966</v>
      </c>
      <c r="M407" s="154">
        <v>128606.92</v>
      </c>
      <c r="N407" s="170">
        <f t="shared" si="30"/>
        <v>0.82061812848017823</v>
      </c>
      <c r="O407" s="170">
        <f t="shared" si="31"/>
        <v>0.68582801343779598</v>
      </c>
      <c r="P407" s="170">
        <f>IF(A407=$X$29,K407/(D407*Vendas!$U$25),IF(A407=$X$30,K407/(D407*Vendas!$U$26),IF(A407=$X$31,K407/(D407*Vendas!$U$27),IF(A407=$X$32,K407/(D407*Vendas!$U$28),IF(A407=$X$33,K407/(D407*Vendas!$U$29),IF(A407=$X$34,K407/(D407*Vendas!$U$30),IF(A407=$X$35,K407/(D407*Vendas!$U$31),IF(A407=$X$36,K407/(D407*Vendas!$U$32),0))))))))</f>
        <v>0.74474528140071294</v>
      </c>
      <c r="Q407" s="170">
        <f>IF(A407=$X$29,K407/(D407*Vendas!$U$25),IF(A407=$X$30,K407/(D407*Vendas!$U$26),IF(A407=$X$31,K407/(D407*Vendas!$U$27),IF(A407=$X$32,K407/(D407*Vendas!$U$28),IF(A407=$X$33,K407/(D407*Vendas!$U$29),IF(A407=$X$34,K407/(D407*Vendas!$U$30),IF(A407=$X$35,K407/(D407*Vendas!$U$31),IF(A407=$X$36,K407/(D407*Vendas!$U$32),0))))))))</f>
        <v>0.74474528140071294</v>
      </c>
    </row>
    <row r="408" spans="1:17">
      <c r="A408" s="263" t="s">
        <v>612</v>
      </c>
      <c r="B408" s="337" t="s">
        <v>614</v>
      </c>
      <c r="C408" s="166">
        <v>20</v>
      </c>
      <c r="D408" s="197">
        <v>257</v>
      </c>
      <c r="E408" s="166">
        <v>6814</v>
      </c>
      <c r="F408" s="338" t="s">
        <v>909</v>
      </c>
      <c r="G408" s="34" t="str">
        <f t="shared" si="28"/>
        <v>XIV20MARCOS JOSE DE MOURA</v>
      </c>
      <c r="H408" s="40">
        <v>43455</v>
      </c>
      <c r="I408" s="35">
        <v>94000</v>
      </c>
      <c r="J408" s="35" t="s">
        <v>834</v>
      </c>
      <c r="K408" s="35">
        <v>13320.48</v>
      </c>
      <c r="L408" s="170">
        <f t="shared" si="29"/>
        <v>0.1417072340425532</v>
      </c>
      <c r="M408" s="154">
        <v>95744.35</v>
      </c>
      <c r="N408" s="170">
        <f t="shared" si="30"/>
        <v>0.13912549408920735</v>
      </c>
      <c r="O408" s="170">
        <f t="shared" si="31"/>
        <v>8.6562472126530329E-2</v>
      </c>
      <c r="P408" s="170">
        <f>IF(A408=$X$29,K408/(D408*Vendas!$U$25),IF(A408=$X$30,K408/(D408*Vendas!$U$26),IF(A408=$X$31,K408/(D408*Vendas!$U$27),IF(A408=$X$32,K408/(D408*Vendas!$U$28),IF(A408=$X$33,K408/(D408*Vendas!$U$29),IF(A408=$X$34,K408/(D408*Vendas!$U$30),IF(A408=$X$35,K408/(D408*Vendas!$U$31),IF(A408=$X$36,K408/(D408*Vendas!$U$32),0))))))))</f>
        <v>9.3998774327495885E-2</v>
      </c>
      <c r="Q408" s="170">
        <f>IF(A408=$X$29,K408/(D408*Vendas!$U$25),IF(A408=$X$30,K408/(D408*Vendas!$U$26),IF(A408=$X$31,K408/(D408*Vendas!$U$27),IF(A408=$X$32,K408/(D408*Vendas!$U$28),IF(A408=$X$33,K408/(D408*Vendas!$U$29),IF(A408=$X$34,K408/(D408*Vendas!$U$30),IF(A408=$X$35,K408/(D408*Vendas!$U$31),IF(A408=$X$36,K408/(D408*Vendas!$U$32),0))))))))</f>
        <v>9.3998774327495885E-2</v>
      </c>
    </row>
    <row r="409" spans="1:17">
      <c r="A409" s="263" t="s">
        <v>612</v>
      </c>
      <c r="B409" s="337" t="s">
        <v>614</v>
      </c>
      <c r="C409" s="73">
        <v>21</v>
      </c>
      <c r="D409" s="315">
        <v>257</v>
      </c>
      <c r="E409" s="166">
        <v>6808</v>
      </c>
      <c r="F409" s="74" t="s">
        <v>909</v>
      </c>
      <c r="G409" s="34" t="str">
        <f t="shared" si="28"/>
        <v>XIV21MARCOS JOSE DE MOURA</v>
      </c>
      <c r="H409" s="40">
        <v>43455</v>
      </c>
      <c r="I409" s="35">
        <v>94000</v>
      </c>
      <c r="J409" s="35" t="s">
        <v>834</v>
      </c>
      <c r="K409" s="35">
        <v>13320.48</v>
      </c>
      <c r="L409" s="170">
        <f t="shared" si="29"/>
        <v>0.1417072340425532</v>
      </c>
      <c r="M409" s="154">
        <v>95745.14</v>
      </c>
      <c r="N409" s="170">
        <f t="shared" si="30"/>
        <v>0.13912434615480221</v>
      </c>
      <c r="O409" s="170">
        <f t="shared" si="31"/>
        <v>8.6562472126530329E-2</v>
      </c>
      <c r="P409" s="170">
        <f>IF(A409=$X$29,K409/(D409*Vendas!$U$25),IF(A409=$X$30,K409/(D409*Vendas!$U$26),IF(A409=$X$31,K409/(D409*Vendas!$U$27),IF(A409=$X$32,K409/(D409*Vendas!$U$28),IF(A409=$X$33,K409/(D409*Vendas!$U$29),IF(A409=$X$34,K409/(D409*Vendas!$U$30),IF(A409=$X$35,K409/(D409*Vendas!$U$31),IF(A409=$X$36,K409/(D409*Vendas!$U$32),0))))))))</f>
        <v>9.3998774327495885E-2</v>
      </c>
      <c r="Q409" s="170">
        <f>IF(A409=$X$29,K409/(D409*Vendas!$U$25),IF(A409=$X$30,K409/(D409*Vendas!$U$26),IF(A409=$X$31,K409/(D409*Vendas!$U$27),IF(A409=$X$32,K409/(D409*Vendas!$U$28),IF(A409=$X$33,K409/(D409*Vendas!$U$29),IF(A409=$X$34,K409/(D409*Vendas!$U$30),IF(A409=$X$35,K409/(D409*Vendas!$U$31),IF(A409=$X$36,K409/(D409*Vendas!$U$32),0))))))))</f>
        <v>9.3998774327495885E-2</v>
      </c>
    </row>
    <row r="410" spans="1:17">
      <c r="A410" s="263" t="s">
        <v>612</v>
      </c>
      <c r="B410" s="337" t="s">
        <v>614</v>
      </c>
      <c r="C410" s="166">
        <v>22</v>
      </c>
      <c r="D410" s="197">
        <v>257</v>
      </c>
      <c r="E410" s="166">
        <v>6834</v>
      </c>
      <c r="F410" s="338" t="s">
        <v>906</v>
      </c>
      <c r="G410" s="34" t="str">
        <f t="shared" si="28"/>
        <v>XIV22JOAO BATISTA DA SILVA JUNIOR</v>
      </c>
      <c r="H410" s="40">
        <v>43479</v>
      </c>
      <c r="I410" s="35">
        <v>96632</v>
      </c>
      <c r="J410" s="35" t="s">
        <v>834</v>
      </c>
      <c r="K410" s="35">
        <v>63823.99</v>
      </c>
      <c r="L410" s="170">
        <f t="shared" si="29"/>
        <v>0.66048503601291497</v>
      </c>
      <c r="M410" s="154">
        <v>125903.65000000001</v>
      </c>
      <c r="N410" s="170">
        <f t="shared" si="30"/>
        <v>0.50692724158513269</v>
      </c>
      <c r="O410" s="170">
        <f t="shared" si="31"/>
        <v>0.41475700240373847</v>
      </c>
      <c r="P410" s="170">
        <f>IF(A410=$X$29,K410/(D410*Vendas!$U$25),IF(A410=$X$30,K410/(D410*Vendas!$U$26),IF(A410=$X$31,K410/(D410*Vendas!$U$27),IF(A410=$X$32,K410/(D410*Vendas!$U$28),IF(A410=$X$33,K410/(D410*Vendas!$U$29),IF(A410=$X$34,K410/(D410*Vendas!$U$30),IF(A410=$X$35,K410/(D410*Vendas!$U$31),IF(A410=$X$36,K410/(D410*Vendas!$U$32),0))))))))</f>
        <v>0.45038743594002273</v>
      </c>
      <c r="Q410" s="170">
        <f>IF(A410=$X$29,K410/(D410*Vendas!$U$25),IF(A410=$X$30,K410/(D410*Vendas!$U$26),IF(A410=$X$31,K410/(D410*Vendas!$U$27),IF(A410=$X$32,K410/(D410*Vendas!$U$28),IF(A410=$X$33,K410/(D410*Vendas!$U$29),IF(A410=$X$34,K410/(D410*Vendas!$U$30),IF(A410=$X$35,K410/(D410*Vendas!$U$31),IF(A410=$X$36,K410/(D410*Vendas!$U$32),0))))))))</f>
        <v>0.45038743594002273</v>
      </c>
    </row>
    <row r="411" spans="1:17">
      <c r="A411" s="263" t="s">
        <v>612</v>
      </c>
      <c r="B411" s="337" t="s">
        <v>614</v>
      </c>
      <c r="C411" s="73">
        <v>23</v>
      </c>
      <c r="D411" s="315">
        <v>261.19</v>
      </c>
      <c r="E411" s="166">
        <v>3230</v>
      </c>
      <c r="F411" s="74" t="s">
        <v>1111</v>
      </c>
      <c r="G411" s="34" t="str">
        <f t="shared" si="28"/>
        <v>XIV23PATRICIA DE PAULA PADILHA</v>
      </c>
      <c r="H411" s="40">
        <v>43773</v>
      </c>
      <c r="I411" s="35">
        <v>101153.4</v>
      </c>
      <c r="J411" s="35" t="s">
        <v>834</v>
      </c>
      <c r="K411" s="35">
        <v>84909.55</v>
      </c>
      <c r="L411" s="170">
        <f t="shared" si="29"/>
        <v>0.83941370235701429</v>
      </c>
      <c r="M411" s="154">
        <v>121925.29000000001</v>
      </c>
      <c r="N411" s="170">
        <f t="shared" si="30"/>
        <v>0.69640638131760846</v>
      </c>
      <c r="O411" s="170">
        <f t="shared" si="31"/>
        <v>0.5429288169740345</v>
      </c>
      <c r="P411" s="170">
        <f>IF(A411=$X$29,K411/(D411*Vendas!$U$25),IF(A411=$X$30,K411/(D411*Vendas!$U$26),IF(A411=$X$31,K411/(D411*Vendas!$U$27),IF(A411=$X$32,K411/(D411*Vendas!$U$28),IF(A411=$X$33,K411/(D411*Vendas!$U$29),IF(A411=$X$34,K411/(D411*Vendas!$U$30),IF(A411=$X$35,K411/(D411*Vendas!$U$31),IF(A411=$X$36,K411/(D411*Vendas!$U$32),0))))))))</f>
        <v>0.58957007683466001</v>
      </c>
      <c r="Q411" s="170">
        <f>IF(A411=$X$29,K411/(D411*Vendas!$U$25),IF(A411=$X$30,K411/(D411*Vendas!$U$26),IF(A411=$X$31,K411/(D411*Vendas!$U$27),IF(A411=$X$32,K411/(D411*Vendas!$U$28),IF(A411=$X$33,K411/(D411*Vendas!$U$29),IF(A411=$X$34,K411/(D411*Vendas!$U$30),IF(A411=$X$35,K411/(D411*Vendas!$U$31),IF(A411=$X$36,K411/(D411*Vendas!$U$32),0))))))))</f>
        <v>0.58957007683466001</v>
      </c>
    </row>
    <row r="412" spans="1:17">
      <c r="A412" s="263" t="s">
        <v>612</v>
      </c>
      <c r="B412" s="337" t="s">
        <v>614</v>
      </c>
      <c r="C412" s="166">
        <v>24</v>
      </c>
      <c r="D412" s="197">
        <v>254.95</v>
      </c>
      <c r="E412" s="166">
        <v>6777</v>
      </c>
      <c r="F412" s="338" t="s">
        <v>880</v>
      </c>
      <c r="G412" s="34" t="str">
        <f t="shared" si="28"/>
        <v>XIV24WASHINGTON DE OLIVEIRA DRUMOND</v>
      </c>
      <c r="H412" s="40">
        <v>43439</v>
      </c>
      <c r="I412" s="35">
        <v>91068.14</v>
      </c>
      <c r="J412" s="35" t="s">
        <v>834</v>
      </c>
      <c r="K412" s="35">
        <v>62634.25</v>
      </c>
      <c r="L412" s="170">
        <f t="shared" si="29"/>
        <v>0.68777346281586516</v>
      </c>
      <c r="M412" s="154">
        <v>118229.36</v>
      </c>
      <c r="N412" s="170">
        <f t="shared" si="30"/>
        <v>0.52976900154073403</v>
      </c>
      <c r="O412" s="170">
        <f t="shared" si="31"/>
        <v>0.41029834440720164</v>
      </c>
      <c r="P412" s="170">
        <f>IF(A412=$X$29,K412/(D412*Vendas!$U$25),IF(A412=$X$30,K412/(D412*Vendas!$U$26),IF(A412=$X$31,K412/(D412*Vendas!$U$27),IF(A412=$X$32,K412/(D412*Vendas!$U$28),IF(A412=$X$33,K412/(D412*Vendas!$U$29),IF(A412=$X$34,K412/(D412*Vendas!$U$30),IF(A412=$X$35,K412/(D412*Vendas!$U$31),IF(A412=$X$36,K412/(D412*Vendas!$U$32),0))))))))</f>
        <v>0.44554574904587613</v>
      </c>
      <c r="Q412" s="170">
        <f>IF(A412=$X$29,K412/(D412*Vendas!$U$25),IF(A412=$X$30,K412/(D412*Vendas!$U$26),IF(A412=$X$31,K412/(D412*Vendas!$U$27),IF(A412=$X$32,K412/(D412*Vendas!$U$28),IF(A412=$X$33,K412/(D412*Vendas!$U$29),IF(A412=$X$34,K412/(D412*Vendas!$U$30),IF(A412=$X$35,K412/(D412*Vendas!$U$31),IF(A412=$X$36,K412/(D412*Vendas!$U$32),0))))))))</f>
        <v>0.44554574904587613</v>
      </c>
    </row>
    <row r="413" spans="1:17">
      <c r="A413" s="263" t="s">
        <v>612</v>
      </c>
      <c r="B413" s="337" t="s">
        <v>614</v>
      </c>
      <c r="C413" s="73">
        <v>25</v>
      </c>
      <c r="D413" s="315">
        <v>254.95</v>
      </c>
      <c r="E413" s="166">
        <v>3135</v>
      </c>
      <c r="F413" s="74" t="s">
        <v>1074</v>
      </c>
      <c r="G413" s="34" t="str">
        <f t="shared" si="28"/>
        <v>XIV25EMERSON SOUZA DE ALMEIDA</v>
      </c>
      <c r="H413" s="40">
        <v>43760</v>
      </c>
      <c r="I413" s="35">
        <v>93800.35</v>
      </c>
      <c r="J413" s="35" t="s">
        <v>834</v>
      </c>
      <c r="K413" s="35">
        <v>93872.69</v>
      </c>
      <c r="L413" s="170">
        <f t="shared" si="29"/>
        <v>1.0007712124741539</v>
      </c>
      <c r="M413" s="154">
        <v>115481.86</v>
      </c>
      <c r="N413" s="170">
        <f t="shared" si="30"/>
        <v>0.81287823039912932</v>
      </c>
      <c r="O413" s="170">
        <f t="shared" si="31"/>
        <v>0.61493207457661703</v>
      </c>
      <c r="P413" s="170">
        <f>IF(A413=$X$29,K413/(D413*Vendas!$U$25),IF(A413=$X$30,K413/(D413*Vendas!$U$26),IF(A413=$X$31,K413/(D413*Vendas!$U$27),IF(A413=$X$32,K413/(D413*Vendas!$U$28),IF(A413=$X$33,K413/(D413*Vendas!$U$29),IF(A413=$X$34,K413/(D413*Vendas!$U$30),IF(A413=$X$35,K413/(D413*Vendas!$U$31),IF(A413=$X$36,K413/(D413*Vendas!$U$32),0))))))))</f>
        <v>0.66775890157543727</v>
      </c>
      <c r="Q413" s="170">
        <f>IF(A413=$X$29,K413/(D413*Vendas!$U$25),IF(A413=$X$30,K413/(D413*Vendas!$U$26),IF(A413=$X$31,K413/(D413*Vendas!$U$27),IF(A413=$X$32,K413/(D413*Vendas!$U$28),IF(A413=$X$33,K413/(D413*Vendas!$U$29),IF(A413=$X$34,K413/(D413*Vendas!$U$30),IF(A413=$X$35,K413/(D413*Vendas!$U$31),IF(A413=$X$36,K413/(D413*Vendas!$U$32),0))))))))</f>
        <v>0.66775890157543727</v>
      </c>
    </row>
    <row r="414" spans="1:17">
      <c r="A414" s="263" t="s">
        <v>612</v>
      </c>
      <c r="B414" s="337" t="s">
        <v>614</v>
      </c>
      <c r="C414" s="166">
        <v>26</v>
      </c>
      <c r="D414" s="197">
        <v>532.03</v>
      </c>
      <c r="E414" s="166">
        <v>3101</v>
      </c>
      <c r="F414" s="338" t="s">
        <v>1062</v>
      </c>
      <c r="G414" s="34" t="str">
        <f t="shared" si="28"/>
        <v>XIV26ANDERSON FRANCO GIL</v>
      </c>
      <c r="H414" s="40">
        <v>43728</v>
      </c>
      <c r="I414" s="35">
        <v>195802</v>
      </c>
      <c r="J414" s="35" t="s">
        <v>834</v>
      </c>
      <c r="K414" s="35">
        <v>174693.88</v>
      </c>
      <c r="L414" s="170">
        <f t="shared" si="29"/>
        <v>0.89219660677623314</v>
      </c>
      <c r="M414" s="154">
        <v>239213.93</v>
      </c>
      <c r="N414" s="170">
        <f t="shared" si="30"/>
        <v>0.73028305667650717</v>
      </c>
      <c r="O414" s="170">
        <f t="shared" si="31"/>
        <v>0.54838361262720936</v>
      </c>
      <c r="P414" s="170">
        <f>IF(A414=$X$29,K414/(D414*Vendas!$U$25),IF(A414=$X$30,K414/(D414*Vendas!$U$26),IF(A414=$X$31,K414/(D414*Vendas!$U$27),IF(A414=$X$32,K414/(D414*Vendas!$U$28),IF(A414=$X$33,K414/(D414*Vendas!$U$29),IF(A414=$X$34,K414/(D414*Vendas!$U$30),IF(A414=$X$35,K414/(D414*Vendas!$U$31),IF(A414=$X$36,K414/(D414*Vendas!$U$32),0))))))))</f>
        <v>0.59549347635189998</v>
      </c>
      <c r="Q414" s="170">
        <f>IF(A414=$X$29,K414/(D414*Vendas!$U$25),IF(A414=$X$30,K414/(D414*Vendas!$U$26),IF(A414=$X$31,K414/(D414*Vendas!$U$27),IF(A414=$X$32,K414/(D414*Vendas!$U$28),IF(A414=$X$33,K414/(D414*Vendas!$U$29),IF(A414=$X$34,K414/(D414*Vendas!$U$30),IF(A414=$X$35,K414/(D414*Vendas!$U$31),IF(A414=$X$36,K414/(D414*Vendas!$U$32),0))))))))</f>
        <v>0.59549347635189998</v>
      </c>
    </row>
    <row r="415" spans="1:17">
      <c r="A415" s="263" t="s">
        <v>612</v>
      </c>
      <c r="B415" s="337" t="s">
        <v>615</v>
      </c>
      <c r="C415" s="73">
        <v>2</v>
      </c>
      <c r="D415" s="315">
        <v>265.01</v>
      </c>
      <c r="E415" s="166">
        <v>3227</v>
      </c>
      <c r="F415" s="74" t="s">
        <v>88</v>
      </c>
      <c r="G415" s="34" t="str">
        <f t="shared" si="28"/>
        <v>XVII2BRUNO FERREIRA DA SILVA</v>
      </c>
      <c r="H415" s="40">
        <v>43774</v>
      </c>
      <c r="I415" s="35">
        <v>89300</v>
      </c>
      <c r="J415" s="35" t="s">
        <v>834</v>
      </c>
      <c r="K415" s="35">
        <v>76148.69</v>
      </c>
      <c r="L415" s="170">
        <f t="shared" si="29"/>
        <v>0.85272889137737962</v>
      </c>
      <c r="M415" s="154">
        <v>108390.3</v>
      </c>
      <c r="N415" s="170">
        <f t="shared" si="30"/>
        <v>0.70254155584032885</v>
      </c>
      <c r="O415" s="170">
        <f t="shared" si="31"/>
        <v>0.47989151788589735</v>
      </c>
      <c r="P415" s="170">
        <f>IF(A415=$X$29,K415/(D415*Vendas!$U$25),IF(A415=$X$30,K415/(D415*Vendas!$U$26),IF(A415=$X$31,K415/(D415*Vendas!$U$27),IF(A415=$X$32,K415/(D415*Vendas!$U$28),IF(A415=$X$33,K415/(D415*Vendas!$U$29),IF(A415=$X$34,K415/(D415*Vendas!$U$30),IF(A415=$X$35,K415/(D415*Vendas!$U$31),IF(A415=$X$36,K415/(D415*Vendas!$U$32),0))))))))</f>
        <v>0.52111744712534047</v>
      </c>
      <c r="Q415" s="170">
        <f>IF(A415=$X$29,K415/(D415*Vendas!$U$25),IF(A415=$X$30,K415/(D415*Vendas!$U$26),IF(A415=$X$31,K415/(D415*Vendas!$U$27),IF(A415=$X$32,K415/(D415*Vendas!$U$28),IF(A415=$X$33,K415/(D415*Vendas!$U$29),IF(A415=$X$34,K415/(D415*Vendas!$U$30),IF(A415=$X$35,K415/(D415*Vendas!$U$31),IF(A415=$X$36,K415/(D415*Vendas!$U$32),0))))))))</f>
        <v>0.52111744712534047</v>
      </c>
    </row>
    <row r="416" spans="1:17">
      <c r="A416" s="263" t="s">
        <v>612</v>
      </c>
      <c r="B416" s="337" t="s">
        <v>615</v>
      </c>
      <c r="C416" s="166">
        <v>4</v>
      </c>
      <c r="D416" s="197">
        <v>265.01</v>
      </c>
      <c r="E416" s="166">
        <v>5093</v>
      </c>
      <c r="F416" s="338" t="s">
        <v>1504</v>
      </c>
      <c r="G416" s="34" t="str">
        <f t="shared" si="28"/>
        <v>XVII4IZABELA DE OLIVEIRA AMERICO</v>
      </c>
      <c r="H416" s="40">
        <v>44256</v>
      </c>
      <c r="I416" s="35">
        <v>117453</v>
      </c>
      <c r="J416" s="35" t="s">
        <v>834</v>
      </c>
      <c r="K416" s="35">
        <v>113509.14</v>
      </c>
      <c r="L416" s="170">
        <f t="shared" si="29"/>
        <v>0.96642180276365863</v>
      </c>
      <c r="M416" s="154">
        <v>118507.14</v>
      </c>
      <c r="N416" s="170">
        <f t="shared" si="30"/>
        <v>0.9578253259677012</v>
      </c>
      <c r="O416" s="170">
        <f t="shared" si="31"/>
        <v>0.71533828734969473</v>
      </c>
      <c r="P416" s="170">
        <f>IF(A416=$X$29,K416/(D416*Vendas!$U$25),IF(A416=$X$30,K416/(D416*Vendas!$U$26),IF(A416=$X$31,K416/(D416*Vendas!$U$27),IF(A416=$X$32,K416/(D416*Vendas!$U$28),IF(A416=$X$33,K416/(D416*Vendas!$U$29),IF(A416=$X$34,K416/(D416*Vendas!$U$30),IF(A416=$X$35,K416/(D416*Vendas!$U$31),IF(A416=$X$36,K416/(D416*Vendas!$U$32),0))))))))</f>
        <v>0.77679068756393399</v>
      </c>
      <c r="Q416" s="170">
        <f>IF(A416=$X$29,K416/(D416*Vendas!$U$25),IF(A416=$X$30,K416/(D416*Vendas!$U$26),IF(A416=$X$31,K416/(D416*Vendas!$U$27),IF(A416=$X$32,K416/(D416*Vendas!$U$28),IF(A416=$X$33,K416/(D416*Vendas!$U$29),IF(A416=$X$34,K416/(D416*Vendas!$U$30),IF(A416=$X$35,K416/(D416*Vendas!$U$31),IF(A416=$X$36,K416/(D416*Vendas!$U$32),0))))))))</f>
        <v>0.77679068756393399</v>
      </c>
    </row>
    <row r="417" spans="1:17">
      <c r="A417" s="263" t="s">
        <v>612</v>
      </c>
      <c r="B417" s="337" t="s">
        <v>615</v>
      </c>
      <c r="C417" s="73">
        <v>11</v>
      </c>
      <c r="D417" s="315">
        <v>265.01</v>
      </c>
      <c r="E417" s="166"/>
      <c r="F417" s="74" t="s">
        <v>931</v>
      </c>
      <c r="G417" s="34" t="str">
        <f t="shared" si="28"/>
        <v>XVII11GUILHERME ROCHA HIDALGO MORENO</v>
      </c>
      <c r="H417" s="40">
        <v>43514</v>
      </c>
      <c r="I417" s="35">
        <v>76916.350000000006</v>
      </c>
      <c r="J417" s="35" t="s">
        <v>1249</v>
      </c>
      <c r="K417" s="35">
        <v>67340.36</v>
      </c>
      <c r="L417" s="170">
        <f t="shared" si="29"/>
        <v>0.87550124258366391</v>
      </c>
      <c r="M417" s="154">
        <v>100617.21</v>
      </c>
      <c r="N417" s="170">
        <f t="shared" si="30"/>
        <v>0.66927278146551661</v>
      </c>
      <c r="O417" s="170">
        <f t="shared" si="31"/>
        <v>0.4243811361086155</v>
      </c>
      <c r="P417" s="170">
        <f>IF(A417=$X$29,K417/(D417*Vendas!$U$25),IF(A417=$X$30,K417/(D417*Vendas!$U$26),IF(A417=$X$31,K417/(D417*Vendas!$U$27),IF(A417=$X$32,K417/(D417*Vendas!$U$28),IF(A417=$X$33,K417/(D417*Vendas!$U$29),IF(A417=$X$34,K417/(D417*Vendas!$U$30),IF(A417=$X$35,K417/(D417*Vendas!$U$31),IF(A417=$X$36,K417/(D417*Vendas!$U$32),0))))))))</f>
        <v>0.46083834786522776</v>
      </c>
      <c r="Q417" s="170">
        <f>IF(A417=$X$29,K417/(D417*Vendas!$U$25),IF(A417=$X$30,K417/(D417*Vendas!$U$26),IF(A417=$X$31,K417/(D417*Vendas!$U$27),IF(A417=$X$32,K417/(D417*Vendas!$U$28),IF(A417=$X$33,K417/(D417*Vendas!$U$29),IF(A417=$X$34,K417/(D417*Vendas!$U$30),IF(A417=$X$35,K417/(D417*Vendas!$U$31),IF(A417=$X$36,K417/(D417*Vendas!$U$32),0))))))))</f>
        <v>0.46083834786522776</v>
      </c>
    </row>
    <row r="418" spans="1:17">
      <c r="A418" s="263" t="s">
        <v>612</v>
      </c>
      <c r="B418" s="337" t="s">
        <v>615</v>
      </c>
      <c r="C418" s="166">
        <v>14</v>
      </c>
      <c r="D418" s="197">
        <v>264.81</v>
      </c>
      <c r="E418" s="166">
        <v>5050</v>
      </c>
      <c r="F418" s="338" t="s">
        <v>1485</v>
      </c>
      <c r="G418" s="34" t="str">
        <f t="shared" si="28"/>
        <v>XVII14JEFFERSON GONCALVES BUSONI</v>
      </c>
      <c r="H418" s="40">
        <v>44249</v>
      </c>
      <c r="I418" s="35">
        <v>103635</v>
      </c>
      <c r="J418" s="35" t="s">
        <v>834</v>
      </c>
      <c r="K418" s="35">
        <v>99997.2</v>
      </c>
      <c r="L418" s="170">
        <f t="shared" si="29"/>
        <v>0.96489795918367349</v>
      </c>
      <c r="M418" s="154">
        <v>105587.37</v>
      </c>
      <c r="N418" s="170">
        <f t="shared" si="30"/>
        <v>0.94705645192223276</v>
      </c>
      <c r="O418" s="170">
        <f t="shared" si="31"/>
        <v>0.63066155559188664</v>
      </c>
      <c r="P418" s="170">
        <f>IF(A418=$X$29,K418/(D418*Vendas!$U$25),IF(A418=$X$30,K418/(D418*Vendas!$U$26),IF(A418=$X$31,K418/(D418*Vendas!$U$27),IF(A418=$X$32,K418/(D418*Vendas!$U$28),IF(A418=$X$33,K418/(D418*Vendas!$U$29),IF(A418=$X$34,K418/(D418*Vendas!$U$30),IF(A418=$X$35,K418/(D418*Vendas!$U$31),IF(A418=$X$36,K418/(D418*Vendas!$U$32),0))))))))</f>
        <v>0.68483965146531711</v>
      </c>
      <c r="Q418" s="170">
        <f>IF(A418=$X$29,K418/(D418*Vendas!$U$25),IF(A418=$X$30,K418/(D418*Vendas!$U$26),IF(A418=$X$31,K418/(D418*Vendas!$U$27),IF(A418=$X$32,K418/(D418*Vendas!$U$28),IF(A418=$X$33,K418/(D418*Vendas!$U$29),IF(A418=$X$34,K418/(D418*Vendas!$U$30),IF(A418=$X$35,K418/(D418*Vendas!$U$31),IF(A418=$X$36,K418/(D418*Vendas!$U$32),0))))))))</f>
        <v>0.68483965146531711</v>
      </c>
    </row>
    <row r="419" spans="1:17">
      <c r="A419" s="263" t="s">
        <v>612</v>
      </c>
      <c r="B419" s="337" t="s">
        <v>615</v>
      </c>
      <c r="C419" s="73">
        <v>15</v>
      </c>
      <c r="D419" s="315">
        <v>264.81</v>
      </c>
      <c r="E419" s="166">
        <v>7016</v>
      </c>
      <c r="F419" s="74" t="s">
        <v>943</v>
      </c>
      <c r="G419" s="34" t="str">
        <f t="shared" si="28"/>
        <v>XVII15WILSON ALESSANDRO DOS SANTOS</v>
      </c>
      <c r="H419" s="40">
        <v>43510</v>
      </c>
      <c r="I419" s="35">
        <v>74676.42</v>
      </c>
      <c r="J419" s="35" t="s">
        <v>834</v>
      </c>
      <c r="K419" s="35">
        <v>68483.490000000005</v>
      </c>
      <c r="L419" s="170">
        <f t="shared" si="29"/>
        <v>0.91706980597088084</v>
      </c>
      <c r="M419" s="154">
        <v>99302.87</v>
      </c>
      <c r="N419" s="170">
        <f t="shared" si="30"/>
        <v>0.68964260549569223</v>
      </c>
      <c r="O419" s="170">
        <f t="shared" si="31"/>
        <v>0.43191113686944654</v>
      </c>
      <c r="P419" s="170">
        <f>IF(A419=$X$29,K419/(D419*Vendas!$U$25),IF(A419=$X$30,K419/(D419*Vendas!$U$26),IF(A419=$X$31,K419/(D419*Vendas!$U$27),IF(A419=$X$32,K419/(D419*Vendas!$U$28),IF(A419=$X$33,K419/(D419*Vendas!$U$29),IF(A419=$X$34,K419/(D419*Vendas!$U$30),IF(A419=$X$35,K419/(D419*Vendas!$U$31),IF(A419=$X$36,K419/(D419*Vendas!$U$32),0))))))))</f>
        <v>0.46901522665363166</v>
      </c>
      <c r="Q419" s="170">
        <f>IF(A419=$X$29,K419/(D419*Vendas!$U$25),IF(A419=$X$30,K419/(D419*Vendas!$U$26),IF(A419=$X$31,K419/(D419*Vendas!$U$27),IF(A419=$X$32,K419/(D419*Vendas!$U$28),IF(A419=$X$33,K419/(D419*Vendas!$U$29),IF(A419=$X$34,K419/(D419*Vendas!$U$30),IF(A419=$X$35,K419/(D419*Vendas!$U$31),IF(A419=$X$36,K419/(D419*Vendas!$U$32),0))))))))</f>
        <v>0.46901522665363166</v>
      </c>
    </row>
    <row r="420" spans="1:17">
      <c r="A420" s="263" t="s">
        <v>612</v>
      </c>
      <c r="B420" s="337" t="s">
        <v>615</v>
      </c>
      <c r="C420" s="166">
        <v>16</v>
      </c>
      <c r="D420" s="197">
        <v>264.81</v>
      </c>
      <c r="E420" s="166">
        <v>3076</v>
      </c>
      <c r="F420" s="338" t="s">
        <v>1063</v>
      </c>
      <c r="G420" s="34" t="str">
        <f t="shared" si="28"/>
        <v>XVII16JUVENAL TENORIO DA ROCHA</v>
      </c>
      <c r="H420" s="40">
        <v>43710</v>
      </c>
      <c r="I420" s="35">
        <v>73131.649999999994</v>
      </c>
      <c r="J420" s="35" t="s">
        <v>834</v>
      </c>
      <c r="K420" s="35">
        <v>71390.53</v>
      </c>
      <c r="L420" s="170">
        <f t="shared" si="29"/>
        <v>0.97619197707148686</v>
      </c>
      <c r="M420" s="154">
        <v>90929.49</v>
      </c>
      <c r="N420" s="170">
        <f t="shared" si="30"/>
        <v>0.78511965700016573</v>
      </c>
      <c r="O420" s="170">
        <f t="shared" si="31"/>
        <v>0.450245233909842</v>
      </c>
      <c r="P420" s="170">
        <f>IF(A420=$X$29,K420/(D420*Vendas!$U$25),IF(A420=$X$30,K420/(D420*Vendas!$U$26),IF(A420=$X$31,K420/(D420*Vendas!$U$27),IF(A420=$X$32,K420/(D420*Vendas!$U$28),IF(A420=$X$33,K420/(D420*Vendas!$U$29),IF(A420=$X$34,K420/(D420*Vendas!$U$30),IF(A420=$X$35,K420/(D420*Vendas!$U$31),IF(A420=$X$36,K420/(D420*Vendas!$U$32),0))))))))</f>
        <v>0.48892434671295065</v>
      </c>
      <c r="Q420" s="170">
        <f>IF(A420=$X$29,K420/(D420*Vendas!$U$25),IF(A420=$X$30,K420/(D420*Vendas!$U$26),IF(A420=$X$31,K420/(D420*Vendas!$U$27),IF(A420=$X$32,K420/(D420*Vendas!$U$28),IF(A420=$X$33,K420/(D420*Vendas!$U$29),IF(A420=$X$34,K420/(D420*Vendas!$U$30),IF(A420=$X$35,K420/(D420*Vendas!$U$31),IF(A420=$X$36,K420/(D420*Vendas!$U$32),0))))))))</f>
        <v>0.48892434671295065</v>
      </c>
    </row>
    <row r="421" spans="1:17">
      <c r="A421" s="263" t="s">
        <v>612</v>
      </c>
      <c r="B421" s="337" t="s">
        <v>615</v>
      </c>
      <c r="C421" s="73">
        <v>17</v>
      </c>
      <c r="D421" s="315">
        <v>372.89</v>
      </c>
      <c r="E421" s="166"/>
      <c r="F421" s="74" t="s">
        <v>930</v>
      </c>
      <c r="G421" s="34" t="str">
        <f t="shared" si="28"/>
        <v>XVII17PRISCILA JESSILYN DA ROCHA</v>
      </c>
      <c r="H421" s="40">
        <v>43511</v>
      </c>
      <c r="I421" s="35">
        <v>105154.98</v>
      </c>
      <c r="J421" s="35" t="s">
        <v>834</v>
      </c>
      <c r="K421" s="35">
        <v>79289.31</v>
      </c>
      <c r="L421" s="170">
        <f t="shared" si="29"/>
        <v>0.75402334725373921</v>
      </c>
      <c r="M421" s="154">
        <v>131958.62</v>
      </c>
      <c r="N421" s="170">
        <f t="shared" si="30"/>
        <v>0.60086495296783193</v>
      </c>
      <c r="O421" s="170">
        <f t="shared" si="31"/>
        <v>0.35512136482749795</v>
      </c>
      <c r="P421" s="170">
        <f>IF(A421=$X$29,K421/(D421*Vendas!$U$25),IF(A421=$X$30,K421/(D421*Vendas!$U$26),IF(A421=$X$31,K421/(D421*Vendas!$U$27),IF(A421=$X$32,K421/(D421*Vendas!$U$28),IF(A421=$X$33,K421/(D421*Vendas!$U$29),IF(A421=$X$34,K421/(D421*Vendas!$U$30),IF(A421=$X$35,K421/(D421*Vendas!$U$31),IF(A421=$X$36,K421/(D421*Vendas!$U$32),0))))))))</f>
        <v>0.38562869348854312</v>
      </c>
      <c r="Q421" s="170">
        <f>IF(A421=$X$29,K421/(D421*Vendas!$U$25),IF(A421=$X$30,K421/(D421*Vendas!$U$26),IF(A421=$X$31,K421/(D421*Vendas!$U$27),IF(A421=$X$32,K421/(D421*Vendas!$U$28),IF(A421=$X$33,K421/(D421*Vendas!$U$29),IF(A421=$X$34,K421/(D421*Vendas!$U$30),IF(A421=$X$35,K421/(D421*Vendas!$U$31),IF(A421=$X$36,K421/(D421*Vendas!$U$32),0))))))))</f>
        <v>0.38562869348854312</v>
      </c>
    </row>
    <row r="422" spans="1:17">
      <c r="A422" s="263" t="s">
        <v>878</v>
      </c>
      <c r="B422" s="337" t="s">
        <v>621</v>
      </c>
      <c r="C422" s="166">
        <v>1</v>
      </c>
      <c r="D422" s="197">
        <v>382.45</v>
      </c>
      <c r="E422" s="166">
        <v>4973</v>
      </c>
      <c r="F422" s="338" t="s">
        <v>1411</v>
      </c>
      <c r="G422" s="34" t="str">
        <f t="shared" si="28"/>
        <v>L1SIDNEY RUFINO BELARDI</v>
      </c>
      <c r="H422" s="40">
        <v>44202</v>
      </c>
      <c r="I422" s="35">
        <v>183300</v>
      </c>
      <c r="J422" s="35" t="s">
        <v>834</v>
      </c>
      <c r="K422" s="35">
        <v>162958.72</v>
      </c>
      <c r="L422" s="170">
        <f t="shared" si="29"/>
        <v>0.88902738679759952</v>
      </c>
      <c r="M422" s="154">
        <v>186338.63</v>
      </c>
      <c r="N422" s="170">
        <f t="shared" si="30"/>
        <v>0.8745299887629312</v>
      </c>
      <c r="O422" s="170">
        <f t="shared" si="31"/>
        <v>0.711616220689678</v>
      </c>
      <c r="P422" s="170">
        <f>IF(A422=$X$29,K422/(D422*Vendas!$U$25),IF(A422=$X$30,K422/(D422*Vendas!$U$26),IF(A422=$X$31,K422/(D422*Vendas!$U$27),IF(A422=$X$32,K422/(D422*Vendas!$U$28),IF(A422=$X$33,K422/(D422*Vendas!$U$29),IF(A422=$X$34,K422/(D422*Vendas!$U$30),IF(A422=$X$35,K422/(D422*Vendas!$U$31),IF(A422=$X$36,K422/(D422*Vendas!$U$32),0))))))))</f>
        <v>0.83262835638103427</v>
      </c>
      <c r="Q422" s="170">
        <f>IF(A422=$X$29,K422/(D422*Vendas!$U$25),IF(A422=$X$30,K422/(D422*Vendas!$U$26),IF(A422=$X$31,K422/(D422*Vendas!$U$27),IF(A422=$X$32,K422/(D422*Vendas!$U$28),IF(A422=$X$33,K422/(D422*Vendas!$U$29),IF(A422=$X$34,K422/(D422*Vendas!$U$30),IF(A422=$X$35,K422/(D422*Vendas!$U$31),IF(A422=$X$36,K422/(D422*Vendas!$U$32),0))))))))</f>
        <v>0.83262835638103427</v>
      </c>
    </row>
    <row r="423" spans="1:17">
      <c r="A423" s="263" t="s">
        <v>878</v>
      </c>
      <c r="B423" s="337" t="s">
        <v>621</v>
      </c>
      <c r="C423" s="73">
        <v>2</v>
      </c>
      <c r="D423" s="315">
        <v>255.91</v>
      </c>
      <c r="E423" s="166"/>
      <c r="F423" s="74" t="s">
        <v>1053</v>
      </c>
      <c r="G423" s="34" t="str">
        <f t="shared" si="28"/>
        <v>L2GUILHERME NEVES BORGES</v>
      </c>
      <c r="H423" s="40">
        <v>43691</v>
      </c>
      <c r="I423" s="35">
        <v>101520</v>
      </c>
      <c r="J423" s="35" t="s">
        <v>834</v>
      </c>
      <c r="K423" s="35">
        <v>102097.23</v>
      </c>
      <c r="L423" s="170">
        <f t="shared" si="29"/>
        <v>1.0056858747044917</v>
      </c>
      <c r="M423" s="154">
        <v>125783.98</v>
      </c>
      <c r="N423" s="170">
        <f t="shared" si="30"/>
        <v>0.8116870685758234</v>
      </c>
      <c r="O423" s="170">
        <f t="shared" si="31"/>
        <v>0.66629967589611239</v>
      </c>
      <c r="P423" s="170">
        <f>IF(A423=$X$29,K423/(D423*Vendas!$U$25),IF(A423=$X$30,K423/(D423*Vendas!$U$26),IF(A423=$X$31,K423/(D423*Vendas!$U$27),IF(A423=$X$32,K423/(D423*Vendas!$U$28),IF(A423=$X$33,K423/(D423*Vendas!$U$29),IF(A423=$X$34,K423/(D423*Vendas!$U$30),IF(A423=$X$35,K423/(D423*Vendas!$U$31),IF(A423=$X$36,K423/(D423*Vendas!$U$32),0))))))))</f>
        <v>0.77960561868716127</v>
      </c>
      <c r="Q423" s="170">
        <f>IF(A423=$X$29,K423/(D423*Vendas!$U$25),IF(A423=$X$30,K423/(D423*Vendas!$U$26),IF(A423=$X$31,K423/(D423*Vendas!$U$27),IF(A423=$X$32,K423/(D423*Vendas!$U$28),IF(A423=$X$33,K423/(D423*Vendas!$U$29),IF(A423=$X$34,K423/(D423*Vendas!$U$30),IF(A423=$X$35,K423/(D423*Vendas!$U$31),IF(A423=$X$36,K423/(D423*Vendas!$U$32),0))))))))</f>
        <v>0.77960561868716127</v>
      </c>
    </row>
    <row r="424" spans="1:17">
      <c r="A424" s="263" t="s">
        <v>878</v>
      </c>
      <c r="B424" s="337" t="s">
        <v>621</v>
      </c>
      <c r="C424" s="166">
        <v>3</v>
      </c>
      <c r="D424" s="197">
        <v>252.96</v>
      </c>
      <c r="E424" s="166">
        <v>4213</v>
      </c>
      <c r="F424" s="338" t="s">
        <v>1169</v>
      </c>
      <c r="G424" s="34" t="str">
        <f t="shared" si="28"/>
        <v>L3VANESSA FRAGA DE ALMEIDA</v>
      </c>
      <c r="H424" s="40">
        <v>43992</v>
      </c>
      <c r="I424" s="35">
        <v>101520</v>
      </c>
      <c r="J424" s="35" t="s">
        <v>834</v>
      </c>
      <c r="K424" s="35">
        <v>100727.26000000001</v>
      </c>
      <c r="L424" s="170">
        <f t="shared" si="29"/>
        <v>0.99219129235618608</v>
      </c>
      <c r="M424" s="154">
        <v>115702.63</v>
      </c>
      <c r="N424" s="170">
        <f t="shared" si="30"/>
        <v>0.87057018496468064</v>
      </c>
      <c r="O424" s="170">
        <f t="shared" si="31"/>
        <v>0.66502514599532492</v>
      </c>
      <c r="P424" s="170">
        <f>IF(A424=$X$29,K424/(D424*Vendas!$U$25),IF(A424=$X$30,K424/(D424*Vendas!$U$26),IF(A424=$X$31,K424/(D424*Vendas!$U$27),IF(A424=$X$32,K424/(D424*Vendas!$U$28),IF(A424=$X$33,K424/(D424*Vendas!$U$29),IF(A424=$X$34,K424/(D424*Vendas!$U$30),IF(A424=$X$35,K424/(D424*Vendas!$U$31),IF(A424=$X$36,K424/(D424*Vendas!$U$32),0))))))))</f>
        <v>0.77811435175760391</v>
      </c>
      <c r="Q424" s="170">
        <f>IF(A424=$X$29,K424/(D424*Vendas!$U$25),IF(A424=$X$30,K424/(D424*Vendas!$U$26),IF(A424=$X$31,K424/(D424*Vendas!$U$27),IF(A424=$X$32,K424/(D424*Vendas!$U$28),IF(A424=$X$33,K424/(D424*Vendas!$U$29),IF(A424=$X$34,K424/(D424*Vendas!$U$30),IF(A424=$X$35,K424/(D424*Vendas!$U$31),IF(A424=$X$36,K424/(D424*Vendas!$U$32),0))))))))</f>
        <v>0.77811435175760391</v>
      </c>
    </row>
    <row r="425" spans="1:17">
      <c r="A425" s="263" t="s">
        <v>878</v>
      </c>
      <c r="B425" s="337" t="s">
        <v>621</v>
      </c>
      <c r="C425" s="73">
        <v>5</v>
      </c>
      <c r="D425" s="315">
        <v>266.76</v>
      </c>
      <c r="E425" s="166">
        <v>3737</v>
      </c>
      <c r="F425" s="74" t="s">
        <v>1138</v>
      </c>
      <c r="G425" s="34" t="str">
        <f t="shared" si="28"/>
        <v>L5THIAGO RUFINO DE OLIVEIRA GOMES</v>
      </c>
      <c r="H425" s="40">
        <v>43864</v>
      </c>
      <c r="I425" s="35">
        <v>101519.4</v>
      </c>
      <c r="J425" s="35" t="s">
        <v>834</v>
      </c>
      <c r="K425" s="35">
        <v>79062.400000000009</v>
      </c>
      <c r="L425" s="170">
        <f t="shared" si="29"/>
        <v>0.77879104880446504</v>
      </c>
      <c r="M425" s="154">
        <v>116668.87</v>
      </c>
      <c r="N425" s="170">
        <f t="shared" si="30"/>
        <v>0.67766491609972745</v>
      </c>
      <c r="O425" s="170">
        <f t="shared" si="31"/>
        <v>0.49498516632954326</v>
      </c>
      <c r="P425" s="170">
        <f>IF(A425=$X$29,K425/(D425*Vendas!$U$25),IF(A425=$X$30,K425/(D425*Vendas!$U$26),IF(A425=$X$31,K425/(D425*Vendas!$U$27),IF(A425=$X$32,K425/(D425*Vendas!$U$28),IF(A425=$X$33,K425/(D425*Vendas!$U$29),IF(A425=$X$34,K425/(D425*Vendas!$U$30),IF(A425=$X$35,K425/(D425*Vendas!$U$31),IF(A425=$X$36,K425/(D425*Vendas!$U$32),0))))))))</f>
        <v>0.57915864407155793</v>
      </c>
      <c r="Q425" s="170">
        <f>IF(A425=$X$29,K425/(D425*Vendas!$U$25),IF(A425=$X$30,K425/(D425*Vendas!$U$26),IF(A425=$X$31,K425/(D425*Vendas!$U$27),IF(A425=$X$32,K425/(D425*Vendas!$U$28),IF(A425=$X$33,K425/(D425*Vendas!$U$29),IF(A425=$X$34,K425/(D425*Vendas!$U$30),IF(A425=$X$35,K425/(D425*Vendas!$U$31),IF(A425=$X$36,K425/(D425*Vendas!$U$32),0))))))))</f>
        <v>0.57915864407155793</v>
      </c>
    </row>
    <row r="426" spans="1:17">
      <c r="A426" s="263" t="s">
        <v>878</v>
      </c>
      <c r="B426" s="337" t="s">
        <v>621</v>
      </c>
      <c r="C426" s="166">
        <v>6</v>
      </c>
      <c r="D426" s="197">
        <v>266.76</v>
      </c>
      <c r="E426" s="166">
        <v>3818</v>
      </c>
      <c r="F426" s="338" t="s">
        <v>1147</v>
      </c>
      <c r="G426" s="34" t="str">
        <f t="shared" si="28"/>
        <v>L6ALEXANDRE MARTINS MOREIRA</v>
      </c>
      <c r="H426" s="40">
        <v>43907</v>
      </c>
      <c r="I426" s="35">
        <v>101520</v>
      </c>
      <c r="J426" s="35" t="s">
        <v>834</v>
      </c>
      <c r="K426" s="35">
        <v>79821.150000000009</v>
      </c>
      <c r="L426" s="170">
        <f t="shared" si="29"/>
        <v>0.78626034278959822</v>
      </c>
      <c r="M426" s="154">
        <v>116926.71</v>
      </c>
      <c r="N426" s="170">
        <f t="shared" si="30"/>
        <v>0.68265967630492641</v>
      </c>
      <c r="O426" s="170">
        <f t="shared" si="31"/>
        <v>0.49973546476410308</v>
      </c>
      <c r="P426" s="170">
        <f>IF(A426=$X$29,K426/(D426*Vendas!$U$25),IF(A426=$X$30,K426/(D426*Vendas!$U$26),IF(A426=$X$31,K426/(D426*Vendas!$U$27),IF(A426=$X$32,K426/(D426*Vendas!$U$28),IF(A426=$X$33,K426/(D426*Vendas!$U$29),IF(A426=$X$34,K426/(D426*Vendas!$U$30),IF(A426=$X$35,K426/(D426*Vendas!$U$31),IF(A426=$X$36,K426/(D426*Vendas!$U$32),0))))))))</f>
        <v>0.58471674275297025</v>
      </c>
      <c r="Q426" s="170">
        <f>IF(A426=$X$29,K426/(D426*Vendas!$U$25),IF(A426=$X$30,K426/(D426*Vendas!$U$26),IF(A426=$X$31,K426/(D426*Vendas!$U$27),IF(A426=$X$32,K426/(D426*Vendas!$U$28),IF(A426=$X$33,K426/(D426*Vendas!$U$29),IF(A426=$X$34,K426/(D426*Vendas!$U$30),IF(A426=$X$35,K426/(D426*Vendas!$U$31),IF(A426=$X$36,K426/(D426*Vendas!$U$32),0))))))))</f>
        <v>0.58471674275297025</v>
      </c>
    </row>
    <row r="427" spans="1:17">
      <c r="A427" s="263" t="s">
        <v>878</v>
      </c>
      <c r="B427" s="337" t="s">
        <v>621</v>
      </c>
      <c r="C427" s="73">
        <v>7</v>
      </c>
      <c r="D427" s="315">
        <v>266.76</v>
      </c>
      <c r="E427" s="166">
        <v>3229</v>
      </c>
      <c r="F427" s="74" t="s">
        <v>1108</v>
      </c>
      <c r="G427" s="34" t="str">
        <f t="shared" si="28"/>
        <v>L7DIEGO RODRIGUES</v>
      </c>
      <c r="H427" s="40">
        <v>43773</v>
      </c>
      <c r="I427" s="35">
        <v>101520</v>
      </c>
      <c r="J427" s="35" t="s">
        <v>834</v>
      </c>
      <c r="K427" s="35">
        <v>101303.14</v>
      </c>
      <c r="L427" s="170">
        <f t="shared" si="29"/>
        <v>0.99786386918833725</v>
      </c>
      <c r="M427" s="154">
        <v>124937.08</v>
      </c>
      <c r="N427" s="170">
        <f t="shared" si="30"/>
        <v>0.8108332610302722</v>
      </c>
      <c r="O427" s="170">
        <f t="shared" si="31"/>
        <v>0.63422754182272489</v>
      </c>
      <c r="P427" s="170">
        <f>IF(A427=$X$29,K427/(D427*Vendas!$U$25),IF(A427=$X$30,K427/(D427*Vendas!$U$26),IF(A427=$X$31,K427/(D427*Vendas!$U$27),IF(A427=$X$32,K427/(D427*Vendas!$U$28),IF(A427=$X$33,K427/(D427*Vendas!$U$29),IF(A427=$X$34,K427/(D427*Vendas!$U$30),IF(A427=$X$35,K427/(D427*Vendas!$U$31),IF(A427=$X$36,K427/(D427*Vendas!$U$32),0))))))))</f>
        <v>0.74207953720847331</v>
      </c>
      <c r="Q427" s="170">
        <f>IF(A427=$X$29,K427/(D427*Vendas!$U$25),IF(A427=$X$30,K427/(D427*Vendas!$U$26),IF(A427=$X$31,K427/(D427*Vendas!$U$27),IF(A427=$X$32,K427/(D427*Vendas!$U$28),IF(A427=$X$33,K427/(D427*Vendas!$U$29),IF(A427=$X$34,K427/(D427*Vendas!$U$30),IF(A427=$X$35,K427/(D427*Vendas!$U$31),IF(A427=$X$36,K427/(D427*Vendas!$U$32),0))))))))</f>
        <v>0.74207953720847331</v>
      </c>
    </row>
    <row r="428" spans="1:17">
      <c r="A428" s="263" t="s">
        <v>878</v>
      </c>
      <c r="B428" s="337" t="s">
        <v>621</v>
      </c>
      <c r="C428" s="166">
        <v>8</v>
      </c>
      <c r="D428" s="197">
        <v>266.76</v>
      </c>
      <c r="E428" s="166">
        <v>3102</v>
      </c>
      <c r="F428" s="338" t="s">
        <v>1064</v>
      </c>
      <c r="G428" s="34" t="str">
        <f t="shared" si="28"/>
        <v>L8LUCIVANA DOS SANTOS</v>
      </c>
      <c r="H428" s="40">
        <v>43735</v>
      </c>
      <c r="I428" s="35">
        <v>101520</v>
      </c>
      <c r="J428" s="35" t="s">
        <v>834</v>
      </c>
      <c r="K428" s="35">
        <v>100091.77</v>
      </c>
      <c r="L428" s="170">
        <f t="shared" si="29"/>
        <v>0.98593154058313637</v>
      </c>
      <c r="M428" s="154">
        <v>126625.01000000001</v>
      </c>
      <c r="N428" s="170">
        <f t="shared" si="30"/>
        <v>0.79045814093124256</v>
      </c>
      <c r="O428" s="170">
        <f t="shared" si="31"/>
        <v>0.62664352994177241</v>
      </c>
      <c r="P428" s="170">
        <f>IF(A428=$X$29,K428/(D428*Vendas!$U$25),IF(A428=$X$30,K428/(D428*Vendas!$U$26),IF(A428=$X$31,K428/(D428*Vendas!$U$27),IF(A428=$X$32,K428/(D428*Vendas!$U$28),IF(A428=$X$33,K428/(D428*Vendas!$U$29),IF(A428=$X$34,K428/(D428*Vendas!$U$30),IF(A428=$X$35,K428/(D428*Vendas!$U$31),IF(A428=$X$36,K428/(D428*Vendas!$U$32),0))))))))</f>
        <v>0.73320584495186381</v>
      </c>
      <c r="Q428" s="170">
        <f>IF(A428=$X$29,K428/(D428*Vendas!$U$25),IF(A428=$X$30,K428/(D428*Vendas!$U$26),IF(A428=$X$31,K428/(D428*Vendas!$U$27),IF(A428=$X$32,K428/(D428*Vendas!$U$28),IF(A428=$X$33,K428/(D428*Vendas!$U$29),IF(A428=$X$34,K428/(D428*Vendas!$U$30),IF(A428=$X$35,K428/(D428*Vendas!$U$31),IF(A428=$X$36,K428/(D428*Vendas!$U$32),0))))))))</f>
        <v>0.73320584495186381</v>
      </c>
    </row>
    <row r="429" spans="1:17">
      <c r="A429" s="263" t="s">
        <v>878</v>
      </c>
      <c r="B429" s="337" t="s">
        <v>621</v>
      </c>
      <c r="C429" s="73">
        <v>9</v>
      </c>
      <c r="D429" s="315">
        <v>266.76</v>
      </c>
      <c r="E429" s="166">
        <v>4186</v>
      </c>
      <c r="F429" s="74" t="s">
        <v>1170</v>
      </c>
      <c r="G429" s="34" t="str">
        <f t="shared" si="28"/>
        <v>L9MARCELLE ZACARIAS SILVA TOLENTINO BEZERRA</v>
      </c>
      <c r="H429" s="40">
        <v>43997</v>
      </c>
      <c r="I429" s="35">
        <v>101520</v>
      </c>
      <c r="J429" s="35" t="s">
        <v>834</v>
      </c>
      <c r="K429" s="35">
        <v>90533.01</v>
      </c>
      <c r="L429" s="170">
        <f t="shared" si="29"/>
        <v>0.89177511820330968</v>
      </c>
      <c r="M429" s="154">
        <v>114218.85</v>
      </c>
      <c r="N429" s="170">
        <f t="shared" si="30"/>
        <v>0.79262757417011287</v>
      </c>
      <c r="O429" s="170">
        <f t="shared" si="31"/>
        <v>0.56679909809421669</v>
      </c>
      <c r="P429" s="170">
        <f>IF(A429=$X$29,K429/(D429*Vendas!$U$25),IF(A429=$X$30,K429/(D429*Vendas!$U$26),IF(A429=$X$31,K429/(D429*Vendas!$U$27),IF(A429=$X$32,K429/(D429*Vendas!$U$28),IF(A429=$X$33,K429/(D429*Vendas!$U$29),IF(A429=$X$34,K429/(D429*Vendas!$U$30),IF(A429=$X$35,K429/(D429*Vendas!$U$31),IF(A429=$X$36,K429/(D429*Vendas!$U$32),0))))))))</f>
        <v>0.66318471631669151</v>
      </c>
      <c r="Q429" s="170">
        <f>IF(A429=$X$29,K429/(D429*Vendas!$U$25),IF(A429=$X$30,K429/(D429*Vendas!$U$26),IF(A429=$X$31,K429/(D429*Vendas!$U$27),IF(A429=$X$32,K429/(D429*Vendas!$U$28),IF(A429=$X$33,K429/(D429*Vendas!$U$29),IF(A429=$X$34,K429/(D429*Vendas!$U$30),IF(A429=$X$35,K429/(D429*Vendas!$U$31),IF(A429=$X$36,K429/(D429*Vendas!$U$32),0))))))))</f>
        <v>0.66318471631669151</v>
      </c>
    </row>
    <row r="430" spans="1:17">
      <c r="A430" s="263" t="s">
        <v>878</v>
      </c>
      <c r="B430" s="337" t="s">
        <v>621</v>
      </c>
      <c r="C430" s="166">
        <v>11</v>
      </c>
      <c r="D430" s="197">
        <v>266.76</v>
      </c>
      <c r="E430" s="166">
        <v>4678</v>
      </c>
      <c r="F430" s="338" t="s">
        <v>1259</v>
      </c>
      <c r="G430" s="34" t="str">
        <f t="shared" si="28"/>
        <v>L11ALEXANDRE CASSIO BENITES DA SILVA</v>
      </c>
      <c r="H430" s="40">
        <v>44057</v>
      </c>
      <c r="I430" s="35">
        <v>108100</v>
      </c>
      <c r="J430" s="35" t="s">
        <v>834</v>
      </c>
      <c r="K430" s="35">
        <v>107474.67</v>
      </c>
      <c r="L430" s="170">
        <f t="shared" si="29"/>
        <v>0.99421526364477331</v>
      </c>
      <c r="M430" s="154">
        <v>120939.99</v>
      </c>
      <c r="N430" s="170">
        <f t="shared" si="30"/>
        <v>0.88866114508526084</v>
      </c>
      <c r="O430" s="170">
        <f t="shared" si="31"/>
        <v>0.6728655771411286</v>
      </c>
      <c r="P430" s="170">
        <f>IF(A430=$X$29,K430/(D430*Vendas!$U$25),IF(A430=$X$30,K430/(D430*Vendas!$U$26),IF(A430=$X$31,K430/(D430*Vendas!$U$27),IF(A430=$X$32,K430/(D430*Vendas!$U$28),IF(A430=$X$33,K430/(D430*Vendas!$U$29),IF(A430=$X$34,K430/(D430*Vendas!$U$30),IF(A430=$X$35,K430/(D430*Vendas!$U$31),IF(A430=$X$36,K430/(D430*Vendas!$U$32),0))))))))</f>
        <v>0.78728806802270279</v>
      </c>
      <c r="Q430" s="170">
        <f>IF(A430=$X$29,K430/(D430*Vendas!$U$25),IF(A430=$X$30,K430/(D430*Vendas!$U$26),IF(A430=$X$31,K430/(D430*Vendas!$U$27),IF(A430=$X$32,K430/(D430*Vendas!$U$28),IF(A430=$X$33,K430/(D430*Vendas!$U$29),IF(A430=$X$34,K430/(D430*Vendas!$U$30),IF(A430=$X$35,K430/(D430*Vendas!$U$31),IF(A430=$X$36,K430/(D430*Vendas!$U$32),0))))))))</f>
        <v>0.78728806802270279</v>
      </c>
    </row>
    <row r="431" spans="1:17">
      <c r="A431" s="263" t="s">
        <v>878</v>
      </c>
      <c r="B431" s="337" t="s">
        <v>621</v>
      </c>
      <c r="C431" s="73">
        <v>12</v>
      </c>
      <c r="D431" s="315">
        <v>266.76</v>
      </c>
      <c r="E431" s="166">
        <v>4395</v>
      </c>
      <c r="F431" s="74" t="s">
        <v>1235</v>
      </c>
      <c r="G431" s="34" t="str">
        <f t="shared" si="28"/>
        <v>L12THIAGO AUGUSTO RIGONI</v>
      </c>
      <c r="H431" s="40">
        <v>44017</v>
      </c>
      <c r="I431" s="35">
        <v>101520.1</v>
      </c>
      <c r="J431" s="35" t="s">
        <v>834</v>
      </c>
      <c r="K431" s="35">
        <v>82759.040000000008</v>
      </c>
      <c r="L431" s="170">
        <f t="shared" si="29"/>
        <v>0.81519856658927647</v>
      </c>
      <c r="M431" s="154">
        <v>105817.72</v>
      </c>
      <c r="N431" s="170">
        <f t="shared" si="30"/>
        <v>0.78209056101378871</v>
      </c>
      <c r="O431" s="170">
        <f t="shared" si="31"/>
        <v>0.51812868290961722</v>
      </c>
      <c r="P431" s="170">
        <f>IF(A431=$X$29,K431/(D431*Vendas!$U$25),IF(A431=$X$30,K431/(D431*Vendas!$U$26),IF(A431=$X$31,K431/(D431*Vendas!$U$27),IF(A431=$X$32,K431/(D431*Vendas!$U$28),IF(A431=$X$33,K431/(D431*Vendas!$U$29),IF(A431=$X$34,K431/(D431*Vendas!$U$30),IF(A431=$X$35,K431/(D431*Vendas!$U$31),IF(A431=$X$36,K431/(D431*Vendas!$U$32),0))))))))</f>
        <v>0.60623777410075874</v>
      </c>
      <c r="Q431" s="170">
        <f>IF(A431=$X$29,K431/(D431*Vendas!$U$25),IF(A431=$X$30,K431/(D431*Vendas!$U$26),IF(A431=$X$31,K431/(D431*Vendas!$U$27),IF(A431=$X$32,K431/(D431*Vendas!$U$28),IF(A431=$X$33,K431/(D431*Vendas!$U$29),IF(A431=$X$34,K431/(D431*Vendas!$U$30),IF(A431=$X$35,K431/(D431*Vendas!$U$31),IF(A431=$X$36,K431/(D431*Vendas!$U$32),0))))))))</f>
        <v>0.60623777410075874</v>
      </c>
    </row>
    <row r="432" spans="1:17">
      <c r="A432" s="263" t="s">
        <v>878</v>
      </c>
      <c r="B432" s="337" t="s">
        <v>621</v>
      </c>
      <c r="C432" s="166">
        <v>15</v>
      </c>
      <c r="D432" s="197">
        <v>266.76</v>
      </c>
      <c r="E432" s="166">
        <v>4166</v>
      </c>
      <c r="F432" s="338" t="s">
        <v>1179</v>
      </c>
      <c r="G432" s="34" t="str">
        <f t="shared" si="28"/>
        <v>L15MARCIO MERINO DE  LIMA</v>
      </c>
      <c r="H432" s="40">
        <v>43992</v>
      </c>
      <c r="I432" s="35">
        <v>101520</v>
      </c>
      <c r="J432" s="35" t="s">
        <v>834</v>
      </c>
      <c r="K432" s="35">
        <v>100679.92</v>
      </c>
      <c r="L432" s="170">
        <f t="shared" si="29"/>
        <v>0.99172498029944833</v>
      </c>
      <c r="M432" s="154">
        <v>115748.36</v>
      </c>
      <c r="N432" s="170">
        <f t="shared" si="30"/>
        <v>0.8698172483826121</v>
      </c>
      <c r="O432" s="170">
        <f t="shared" si="31"/>
        <v>0.63032575468547758</v>
      </c>
      <c r="P432" s="170">
        <f>IF(A432=$X$29,K432/(D432*Vendas!$U$25),IF(A432=$X$30,K432/(D432*Vendas!$U$26),IF(A432=$X$31,K432/(D432*Vendas!$U$27),IF(A432=$X$32,K432/(D432*Vendas!$U$28),IF(A432=$X$33,K432/(D432*Vendas!$U$29),IF(A432=$X$34,K432/(D432*Vendas!$U$30),IF(A432=$X$35,K432/(D432*Vendas!$U$31),IF(A432=$X$36,K432/(D432*Vendas!$U$32),0))))))))</f>
        <v>0.73751424131360699</v>
      </c>
      <c r="Q432" s="170">
        <f>IF(A432=$X$29,K432/(D432*Vendas!$U$25),IF(A432=$X$30,K432/(D432*Vendas!$U$26),IF(A432=$X$31,K432/(D432*Vendas!$U$27),IF(A432=$X$32,K432/(D432*Vendas!$U$28),IF(A432=$X$33,K432/(D432*Vendas!$U$29),IF(A432=$X$34,K432/(D432*Vendas!$U$30),IF(A432=$X$35,K432/(D432*Vendas!$U$31),IF(A432=$X$36,K432/(D432*Vendas!$U$32),0))))))))</f>
        <v>0.73751424131360699</v>
      </c>
    </row>
    <row r="433" spans="1:17">
      <c r="A433" s="263" t="s">
        <v>878</v>
      </c>
      <c r="B433" s="337" t="s">
        <v>622</v>
      </c>
      <c r="C433" s="73">
        <v>1</v>
      </c>
      <c r="D433" s="315">
        <v>396.16</v>
      </c>
      <c r="E433" s="166">
        <v>5073</v>
      </c>
      <c r="F433" s="74" t="s">
        <v>1491</v>
      </c>
      <c r="G433" s="34" t="str">
        <f t="shared" si="28"/>
        <v>LI1VICTORIA FERNANDA LIMA MENDES</v>
      </c>
      <c r="H433" s="40">
        <v>44256</v>
      </c>
      <c r="I433" s="35">
        <v>218660.73</v>
      </c>
      <c r="J433" s="35" t="s">
        <v>834</v>
      </c>
      <c r="K433" s="35">
        <v>211571.23</v>
      </c>
      <c r="L433" s="170">
        <f t="shared" si="29"/>
        <v>0.9675776258498725</v>
      </c>
      <c r="M433" s="154">
        <v>220875.91</v>
      </c>
      <c r="N433" s="170">
        <f t="shared" si="30"/>
        <v>0.95787372194640874</v>
      </c>
      <c r="O433" s="170">
        <f t="shared" si="31"/>
        <v>0.89192613011174182</v>
      </c>
      <c r="P433" s="170">
        <f>IF(A433=$X$29,K433/(D433*Vendas!$U$25),IF(A433=$X$30,K433/(D433*Vendas!$U$26),IF(A433=$X$31,K433/(D433*Vendas!$U$27),IF(A433=$X$32,K433/(D433*Vendas!$U$28),IF(A433=$X$33,K433/(D433*Vendas!$U$29),IF(A433=$X$34,K433/(D433*Vendas!$U$30),IF(A433=$X$35,K433/(D433*Vendas!$U$31),IF(A433=$X$36,K433/(D433*Vendas!$U$32),0))))))))</f>
        <v>1.0436004213176699</v>
      </c>
      <c r="Q433" s="170">
        <f>IF(A433=$X$29,K433/(D433*Vendas!$U$25),IF(A433=$X$30,K433/(D433*Vendas!$U$26),IF(A433=$X$31,K433/(D433*Vendas!$U$27),IF(A433=$X$32,K433/(D433*Vendas!$U$28),IF(A433=$X$33,K433/(D433*Vendas!$U$29),IF(A433=$X$34,K433/(D433*Vendas!$U$30),IF(A433=$X$35,K433/(D433*Vendas!$U$31),IF(A433=$X$36,K433/(D433*Vendas!$U$32),0))))))))</f>
        <v>1.0436004213176699</v>
      </c>
    </row>
    <row r="434" spans="1:17">
      <c r="A434" s="263" t="s">
        <v>878</v>
      </c>
      <c r="B434" s="337" t="s">
        <v>622</v>
      </c>
      <c r="C434" s="166">
        <v>8</v>
      </c>
      <c r="D434" s="197">
        <v>267.08</v>
      </c>
      <c r="E434" s="166">
        <v>6793</v>
      </c>
      <c r="F434" s="338" t="s">
        <v>877</v>
      </c>
      <c r="G434" s="34" t="str">
        <f t="shared" si="28"/>
        <v>LI8PRISCILA GARCIA NEGRELI</v>
      </c>
      <c r="H434" s="40">
        <v>43439</v>
      </c>
      <c r="I434" s="35">
        <v>125527.55</v>
      </c>
      <c r="J434" s="35" t="s">
        <v>1250</v>
      </c>
      <c r="K434" s="35">
        <v>146021.46</v>
      </c>
      <c r="L434" s="170">
        <f t="shared" si="29"/>
        <v>1.1632622480085049</v>
      </c>
      <c r="M434" s="154">
        <v>169705.94</v>
      </c>
      <c r="N434" s="170">
        <f t="shared" si="30"/>
        <v>0.8604381201977962</v>
      </c>
      <c r="O434" s="170">
        <f t="shared" si="31"/>
        <v>0.91309973827833324</v>
      </c>
      <c r="P434" s="170">
        <f>IF(A434=$X$29,K434/(D434*Vendas!$U$25),IF(A434=$X$30,K434/(D434*Vendas!$U$26),IF(A434=$X$31,K434/(D434*Vendas!$U$27),IF(A434=$X$32,K434/(D434*Vendas!$U$28),IF(A434=$X$33,K434/(D434*Vendas!$U$29),IF(A434=$X$34,K434/(D434*Vendas!$U$30),IF(A434=$X$35,K434/(D434*Vendas!$U$31),IF(A434=$X$36,K434/(D434*Vendas!$U$32),0))))))))</f>
        <v>1.0683746550321838</v>
      </c>
      <c r="Q434" s="170">
        <f>IF(A434=$X$29,K434/(D434*Vendas!$U$25),IF(A434=$X$30,K434/(D434*Vendas!$U$26),IF(A434=$X$31,K434/(D434*Vendas!$U$27),IF(A434=$X$32,K434/(D434*Vendas!$U$28),IF(A434=$X$33,K434/(D434*Vendas!$U$29),IF(A434=$X$34,K434/(D434*Vendas!$U$30),IF(A434=$X$35,K434/(D434*Vendas!$U$31),IF(A434=$X$36,K434/(D434*Vendas!$U$32),0))))))))</f>
        <v>1.0683746550321838</v>
      </c>
    </row>
    <row r="435" spans="1:17">
      <c r="A435" s="263" t="s">
        <v>878</v>
      </c>
      <c r="B435" s="337" t="s">
        <v>622</v>
      </c>
      <c r="C435" s="73">
        <v>14</v>
      </c>
      <c r="D435" s="315">
        <v>349</v>
      </c>
      <c r="E435" s="166">
        <v>5004</v>
      </c>
      <c r="F435" s="74" t="s">
        <v>1413</v>
      </c>
      <c r="G435" s="34" t="str">
        <f t="shared" si="28"/>
        <v>LI14ANDERSON BATISTA DA SILVA</v>
      </c>
      <c r="H435" s="40">
        <v>44216</v>
      </c>
      <c r="I435" s="35">
        <v>182074.2</v>
      </c>
      <c r="J435" s="35" t="s">
        <v>834</v>
      </c>
      <c r="K435" s="35">
        <v>177393.99</v>
      </c>
      <c r="L435" s="170">
        <f t="shared" si="29"/>
        <v>0.97429504015395907</v>
      </c>
      <c r="M435" s="154">
        <v>189342.01</v>
      </c>
      <c r="N435" s="170">
        <f t="shared" si="30"/>
        <v>0.9368971524069063</v>
      </c>
      <c r="O435" s="170">
        <f t="shared" si="31"/>
        <v>0.84889968920743886</v>
      </c>
      <c r="P435" s="170">
        <f>IF(A435=$X$29,K435/(D435*Vendas!$U$25),IF(A435=$X$30,K435/(D435*Vendas!$U$26),IF(A435=$X$31,K435/(D435*Vendas!$U$27),IF(A435=$X$32,K435/(D435*Vendas!$U$28),IF(A435=$X$33,K435/(D435*Vendas!$U$29),IF(A435=$X$34,K435/(D435*Vendas!$U$30),IF(A435=$X$35,K435/(D435*Vendas!$U$31),IF(A435=$X$36,K435/(D435*Vendas!$U$32),0))))))))</f>
        <v>0.99325722546365358</v>
      </c>
      <c r="Q435" s="170">
        <f>IF(A435=$X$29,K435/(D435*Vendas!$U$25),IF(A435=$X$30,K435/(D435*Vendas!$U$26),IF(A435=$X$31,K435/(D435*Vendas!$U$27),IF(A435=$X$32,K435/(D435*Vendas!$U$28),IF(A435=$X$33,K435/(D435*Vendas!$U$29),IF(A435=$X$34,K435/(D435*Vendas!$U$30),IF(A435=$X$35,K435/(D435*Vendas!$U$31),IF(A435=$X$36,K435/(D435*Vendas!$U$32),0))))))))</f>
        <v>0.99325722546365358</v>
      </c>
    </row>
    <row r="436" spans="1:17">
      <c r="A436" s="263" t="s">
        <v>878</v>
      </c>
      <c r="B436" s="337" t="s">
        <v>623</v>
      </c>
      <c r="C436" s="166">
        <v>2</v>
      </c>
      <c r="D436" s="197">
        <v>302.08</v>
      </c>
      <c r="E436" s="166">
        <v>4808</v>
      </c>
      <c r="F436" s="338" t="s">
        <v>1339</v>
      </c>
      <c r="G436" s="34" t="str">
        <f t="shared" si="28"/>
        <v>XLIV2GUILHERME SOUZA MIGUELETE</v>
      </c>
      <c r="H436" s="40">
        <v>44111</v>
      </c>
      <c r="I436" s="35">
        <v>147698.46</v>
      </c>
      <c r="J436" s="35" t="s">
        <v>834</v>
      </c>
      <c r="K436" s="35">
        <v>94542.430000000008</v>
      </c>
      <c r="L436" s="170">
        <f t="shared" si="29"/>
        <v>0.64010437211058269</v>
      </c>
      <c r="M436" s="154">
        <v>158380.15</v>
      </c>
      <c r="N436" s="170">
        <f t="shared" si="30"/>
        <v>0.59693358037607624</v>
      </c>
      <c r="O436" s="170">
        <f t="shared" si="31"/>
        <v>0.52269420775220088</v>
      </c>
      <c r="P436" s="170">
        <f>IF(A436=$X$29,K436/(D436*Vendas!$U$25),IF(A436=$X$30,K436/(D436*Vendas!$U$26),IF(A436=$X$31,K436/(D436*Vendas!$U$27),IF(A436=$X$32,K436/(D436*Vendas!$U$28),IF(A436=$X$33,K436/(D436*Vendas!$U$29),IF(A436=$X$34,K436/(D436*Vendas!$U$30),IF(A436=$X$35,K436/(D436*Vendas!$U$31),IF(A436=$X$36,K436/(D436*Vendas!$U$32),0))))))))</f>
        <v>0.61157967797418789</v>
      </c>
      <c r="Q436" s="170">
        <f>IF(A436=$X$29,K436/(D436*Vendas!$U$25),IF(A436=$X$30,K436/(D436*Vendas!$U$26),IF(A436=$X$31,K436/(D436*Vendas!$U$27),IF(A436=$X$32,K436/(D436*Vendas!$U$28),IF(A436=$X$33,K436/(D436*Vendas!$U$29),IF(A436=$X$34,K436/(D436*Vendas!$U$30),IF(A436=$X$35,K436/(D436*Vendas!$U$31),IF(A436=$X$36,K436/(D436*Vendas!$U$32),0))))))))</f>
        <v>0.61157967797418789</v>
      </c>
    </row>
    <row r="437" spans="1:17">
      <c r="A437" s="263" t="s">
        <v>878</v>
      </c>
      <c r="B437" s="337" t="s">
        <v>623</v>
      </c>
      <c r="C437" s="73">
        <v>3</v>
      </c>
      <c r="D437" s="315">
        <v>302.08</v>
      </c>
      <c r="E437" s="166">
        <v>3802</v>
      </c>
      <c r="F437" s="74" t="s">
        <v>1148</v>
      </c>
      <c r="G437" s="34" t="str">
        <f t="shared" si="28"/>
        <v>XLIV3FABRICIO DELFINO DOS SANTOS</v>
      </c>
      <c r="H437" s="40">
        <v>43896</v>
      </c>
      <c r="I437" s="35">
        <v>171000</v>
      </c>
      <c r="J437" s="35" t="s">
        <v>834</v>
      </c>
      <c r="K437" s="35">
        <v>82953.900000000009</v>
      </c>
      <c r="L437" s="170">
        <f t="shared" si="29"/>
        <v>0.48511052631578955</v>
      </c>
      <c r="M437" s="154">
        <v>175905.77</v>
      </c>
      <c r="N437" s="170">
        <f t="shared" si="30"/>
        <v>0.47158146091512526</v>
      </c>
      <c r="O437" s="170">
        <f t="shared" si="31"/>
        <v>0.45862501144147977</v>
      </c>
      <c r="P437" s="170">
        <f>IF(A437=$X$29,K437/(D437*Vendas!$U$25),IF(A437=$X$30,K437/(D437*Vendas!$U$26),IF(A437=$X$31,K437/(D437*Vendas!$U$27),IF(A437=$X$32,K437/(D437*Vendas!$U$28),IF(A437=$X$33,K437/(D437*Vendas!$U$29),IF(A437=$X$34,K437/(D437*Vendas!$U$30),IF(A437=$X$35,K437/(D437*Vendas!$U$31),IF(A437=$X$36,K437/(D437*Vendas!$U$32),0))))))))</f>
        <v>0.5366153530081994</v>
      </c>
      <c r="Q437" s="170">
        <f>IF(A437=$X$29,K437/(D437*Vendas!$U$25),IF(A437=$X$30,K437/(D437*Vendas!$U$26),IF(A437=$X$31,K437/(D437*Vendas!$U$27),IF(A437=$X$32,K437/(D437*Vendas!$U$28),IF(A437=$X$33,K437/(D437*Vendas!$U$29),IF(A437=$X$34,K437/(D437*Vendas!$U$30),IF(A437=$X$35,K437/(D437*Vendas!$U$31),IF(A437=$X$36,K437/(D437*Vendas!$U$32),0))))))))</f>
        <v>0.5366153530081994</v>
      </c>
    </row>
    <row r="438" spans="1:17">
      <c r="A438" s="263" t="s">
        <v>878</v>
      </c>
      <c r="B438" s="337" t="s">
        <v>623</v>
      </c>
      <c r="C438" s="166">
        <v>4</v>
      </c>
      <c r="D438" s="197">
        <v>321.25</v>
      </c>
      <c r="E438" s="166">
        <v>4266</v>
      </c>
      <c r="F438" s="338" t="s">
        <v>1172</v>
      </c>
      <c r="G438" s="34" t="str">
        <f t="shared" si="28"/>
        <v>XLIV4NELSON LEITE DOS SANTOS FILHO</v>
      </c>
      <c r="H438" s="40">
        <v>44001</v>
      </c>
      <c r="I438" s="35">
        <v>172020</v>
      </c>
      <c r="J438" s="35" t="s">
        <v>834</v>
      </c>
      <c r="K438" s="35">
        <v>82318.040000000008</v>
      </c>
      <c r="L438" s="170">
        <f t="shared" si="29"/>
        <v>0.47853761190559241</v>
      </c>
      <c r="M438" s="154">
        <v>185476.72</v>
      </c>
      <c r="N438" s="170">
        <f t="shared" si="30"/>
        <v>0.44381871751883473</v>
      </c>
      <c r="O438" s="170">
        <f t="shared" si="31"/>
        <v>0.42795172804647336</v>
      </c>
      <c r="P438" s="170">
        <f>IF(A438=$X$29,K438/(D438*Vendas!$U$25),IF(A438=$X$30,K438/(D438*Vendas!$U$26),IF(A438=$X$31,K438/(D438*Vendas!$U$27),IF(A438=$X$32,K438/(D438*Vendas!$U$28),IF(A438=$X$33,K438/(D438*Vendas!$U$29),IF(A438=$X$34,K438/(D438*Vendas!$U$30),IF(A438=$X$35,K438/(D438*Vendas!$U$31),IF(A438=$X$36,K438/(D438*Vendas!$U$32),0))))))))</f>
        <v>0.50072600029889536</v>
      </c>
      <c r="Q438" s="170">
        <f>IF(A438=$X$29,K438/(D438*Vendas!$U$25),IF(A438=$X$30,K438/(D438*Vendas!$U$26),IF(A438=$X$31,K438/(D438*Vendas!$U$27),IF(A438=$X$32,K438/(D438*Vendas!$U$28),IF(A438=$X$33,K438/(D438*Vendas!$U$29),IF(A438=$X$34,K438/(D438*Vendas!$U$30),IF(A438=$X$35,K438/(D438*Vendas!$U$31),IF(A438=$X$36,K438/(D438*Vendas!$U$32),0))))))))</f>
        <v>0.50072600029889536</v>
      </c>
    </row>
    <row r="439" spans="1:17">
      <c r="A439" s="263" t="s">
        <v>878</v>
      </c>
      <c r="B439" s="337" t="s">
        <v>623</v>
      </c>
      <c r="C439" s="73">
        <v>5</v>
      </c>
      <c r="D439" s="315">
        <v>302.08</v>
      </c>
      <c r="E439" s="166">
        <v>3902</v>
      </c>
      <c r="F439" s="74" t="s">
        <v>1155</v>
      </c>
      <c r="G439" s="34" t="str">
        <f t="shared" si="28"/>
        <v>XLIV5LEANDRO DA SILVA CREPALDI</v>
      </c>
      <c r="H439" s="40">
        <v>43981</v>
      </c>
      <c r="I439" s="35">
        <v>182360</v>
      </c>
      <c r="J439" s="35" t="s">
        <v>834</v>
      </c>
      <c r="K439" s="35">
        <v>193594.80000000002</v>
      </c>
      <c r="L439" s="170">
        <f t="shared" si="29"/>
        <v>1.0616078087299847</v>
      </c>
      <c r="M439" s="154">
        <v>206560.23</v>
      </c>
      <c r="N439" s="170">
        <f t="shared" si="30"/>
        <v>0.93723172171138658</v>
      </c>
      <c r="O439" s="170">
        <f t="shared" si="31"/>
        <v>1.0703224003333296</v>
      </c>
      <c r="P439" s="170">
        <f>IF(A439=$X$29,K439/(D439*Vendas!$U$25),IF(A439=$X$30,K439/(D439*Vendas!$U$26),IF(A439=$X$31,K439/(D439*Vendas!$U$27),IF(A439=$X$32,K439/(D439*Vendas!$U$28),IF(A439=$X$33,K439/(D439*Vendas!$U$29),IF(A439=$X$34,K439/(D439*Vendas!$U$30),IF(A439=$X$35,K439/(D439*Vendas!$U$31),IF(A439=$X$36,K439/(D439*Vendas!$U$32),0))))))))</f>
        <v>1.2523334278744191</v>
      </c>
      <c r="Q439" s="170">
        <f>IF(A439=$X$29,K439/(D439*Vendas!$U$25),IF(A439=$X$30,K439/(D439*Vendas!$U$26),IF(A439=$X$31,K439/(D439*Vendas!$U$27),IF(A439=$X$32,K439/(D439*Vendas!$U$28),IF(A439=$X$33,K439/(D439*Vendas!$U$29),IF(A439=$X$34,K439/(D439*Vendas!$U$30),IF(A439=$X$35,K439/(D439*Vendas!$U$31),IF(A439=$X$36,K439/(D439*Vendas!$U$32),0))))))))</f>
        <v>1.2523334278744191</v>
      </c>
    </row>
    <row r="440" spans="1:17">
      <c r="A440" s="263" t="s">
        <v>878</v>
      </c>
      <c r="B440" s="337" t="s">
        <v>620</v>
      </c>
      <c r="C440" s="166">
        <v>1</v>
      </c>
      <c r="D440" s="197">
        <v>333.9</v>
      </c>
      <c r="E440" s="166">
        <v>5001</v>
      </c>
      <c r="F440" s="338" t="s">
        <v>1414</v>
      </c>
      <c r="G440" s="34" t="str">
        <f t="shared" si="28"/>
        <v>XLIX1JULIANO CEZAR GOUVEIA</v>
      </c>
      <c r="H440" s="40">
        <v>44211</v>
      </c>
      <c r="I440" s="35">
        <v>169200</v>
      </c>
      <c r="J440" s="35" t="s">
        <v>834</v>
      </c>
      <c r="K440" s="35">
        <v>164751.42000000001</v>
      </c>
      <c r="L440" s="170">
        <f t="shared" si="29"/>
        <v>0.97370815602836891</v>
      </c>
      <c r="M440" s="154">
        <v>176219.58000000002</v>
      </c>
      <c r="N440" s="170">
        <f t="shared" si="30"/>
        <v>0.93492119320679345</v>
      </c>
      <c r="O440" s="170">
        <f t="shared" si="31"/>
        <v>0.82405395265545578</v>
      </c>
      <c r="P440" s="170">
        <f>IF(A440=$X$29,K440/(D440*Vendas!$U$25),IF(A440=$X$30,K440/(D440*Vendas!$U$26),IF(A440=$X$31,K440/(D440*Vendas!$U$27),IF(A440=$X$32,K440/(D440*Vendas!$U$28),IF(A440=$X$33,K440/(D440*Vendas!$U$29),IF(A440=$X$34,K440/(D440*Vendas!$U$30),IF(A440=$X$35,K440/(D440*Vendas!$U$31),IF(A440=$X$36,K440/(D440*Vendas!$U$32),0))))))))</f>
        <v>0.9641864086569425</v>
      </c>
      <c r="Q440" s="170">
        <f>IF(A440=$X$29,K440/(D440*Vendas!$U$25),IF(A440=$X$30,K440/(D440*Vendas!$U$26),IF(A440=$X$31,K440/(D440*Vendas!$U$27),IF(A440=$X$32,K440/(D440*Vendas!$U$28),IF(A440=$X$33,K440/(D440*Vendas!$U$29),IF(A440=$X$34,K440/(D440*Vendas!$U$30),IF(A440=$X$35,K440/(D440*Vendas!$U$31),IF(A440=$X$36,K440/(D440*Vendas!$U$32),0))))))))</f>
        <v>0.9641864086569425</v>
      </c>
    </row>
    <row r="441" spans="1:17">
      <c r="A441" s="263" t="s">
        <v>878</v>
      </c>
      <c r="B441" s="337" t="s">
        <v>620</v>
      </c>
      <c r="C441" s="73">
        <v>3</v>
      </c>
      <c r="D441" s="315">
        <v>250.41</v>
      </c>
      <c r="E441" s="166">
        <v>4839</v>
      </c>
      <c r="F441" s="74" t="s">
        <v>1340</v>
      </c>
      <c r="G441" s="34" t="str">
        <f t="shared" si="28"/>
        <v>XLIX3PAULO MENDONÇA FELIX PESSOA</v>
      </c>
      <c r="H441" s="40">
        <v>44123</v>
      </c>
      <c r="I441" s="35">
        <v>126532.68</v>
      </c>
      <c r="J441" s="35" t="s">
        <v>834</v>
      </c>
      <c r="K441" s="35">
        <v>126145.45</v>
      </c>
      <c r="L441" s="170">
        <f t="shared" si="29"/>
        <v>0.99693968388245635</v>
      </c>
      <c r="M441" s="154">
        <v>138401.76</v>
      </c>
      <c r="N441" s="170">
        <f t="shared" si="30"/>
        <v>0.91144397296681767</v>
      </c>
      <c r="O441" s="170">
        <f t="shared" si="31"/>
        <v>0.84132311583438957</v>
      </c>
      <c r="P441" s="170">
        <f>IF(A441=$X$29,K441/(D441*Vendas!$U$25),IF(A441=$X$30,K441/(D441*Vendas!$U$26),IF(A441=$X$31,K441/(D441*Vendas!$U$27),IF(A441=$X$32,K441/(D441*Vendas!$U$28),IF(A441=$X$33,K441/(D441*Vendas!$U$29),IF(A441=$X$34,K441/(D441*Vendas!$U$30),IF(A441=$X$35,K441/(D441*Vendas!$U$31),IF(A441=$X$36,K441/(D441*Vendas!$U$32),0))))))))</f>
        <v>0.98439223665200415</v>
      </c>
      <c r="Q441" s="170">
        <f>IF(A441=$X$29,K441/(D441*Vendas!$U$25),IF(A441=$X$30,K441/(D441*Vendas!$U$26),IF(A441=$X$31,K441/(D441*Vendas!$U$27),IF(A441=$X$32,K441/(D441*Vendas!$U$28),IF(A441=$X$33,K441/(D441*Vendas!$U$29),IF(A441=$X$34,K441/(D441*Vendas!$U$30),IF(A441=$X$35,K441/(D441*Vendas!$U$31),IF(A441=$X$36,K441/(D441*Vendas!$U$32),0))))))))</f>
        <v>0.98439223665200415</v>
      </c>
    </row>
    <row r="442" spans="1:17">
      <c r="A442" s="263" t="s">
        <v>878</v>
      </c>
      <c r="B442" s="337" t="s">
        <v>620</v>
      </c>
      <c r="C442" s="166">
        <v>4</v>
      </c>
      <c r="D442" s="197">
        <v>250.41</v>
      </c>
      <c r="E442" s="166">
        <v>4520</v>
      </c>
      <c r="F442" s="338" t="s">
        <v>1236</v>
      </c>
      <c r="G442" s="34" t="str">
        <f t="shared" si="28"/>
        <v>XLIX4AUGUSTO CESAR DA SILVA MOREIRA</v>
      </c>
      <c r="H442" s="40">
        <v>44018</v>
      </c>
      <c r="I442" s="35">
        <v>108100</v>
      </c>
      <c r="J442" s="35" t="s">
        <v>834</v>
      </c>
      <c r="K442" s="35">
        <v>107506.06</v>
      </c>
      <c r="L442" s="170">
        <f t="shared" si="29"/>
        <v>0.99450564292321919</v>
      </c>
      <c r="M442" s="154">
        <v>122141.40000000001</v>
      </c>
      <c r="N442" s="170">
        <f t="shared" si="30"/>
        <v>0.88017707345748442</v>
      </c>
      <c r="O442" s="170">
        <f t="shared" si="31"/>
        <v>0.71700828979783926</v>
      </c>
      <c r="P442" s="170">
        <f>IF(A442=$X$29,K442/(D442*Vendas!$U$25),IF(A442=$X$30,K442/(D442*Vendas!$U$26),IF(A442=$X$31,K442/(D442*Vendas!$U$27),IF(A442=$X$32,K442/(D442*Vendas!$U$28),IF(A442=$X$33,K442/(D442*Vendas!$U$29),IF(A442=$X$34,K442/(D442*Vendas!$U$30),IF(A442=$X$35,K442/(D442*Vendas!$U$31),IF(A442=$X$36,K442/(D442*Vendas!$U$32),0))))))))</f>
        <v>0.83893736046004475</v>
      </c>
      <c r="Q442" s="170">
        <f>IF(A442=$X$29,K442/(D442*Vendas!$U$25),IF(A442=$X$30,K442/(D442*Vendas!$U$26),IF(A442=$X$31,K442/(D442*Vendas!$U$27),IF(A442=$X$32,K442/(D442*Vendas!$U$28),IF(A442=$X$33,K442/(D442*Vendas!$U$29),IF(A442=$X$34,K442/(D442*Vendas!$U$30),IF(A442=$X$35,K442/(D442*Vendas!$U$31),IF(A442=$X$36,K442/(D442*Vendas!$U$32),0))))))))</f>
        <v>0.83893736046004475</v>
      </c>
    </row>
    <row r="443" spans="1:17">
      <c r="A443" s="263" t="s">
        <v>878</v>
      </c>
      <c r="B443" s="337" t="s">
        <v>620</v>
      </c>
      <c r="C443" s="73">
        <v>5</v>
      </c>
      <c r="D443" s="315">
        <v>256.73</v>
      </c>
      <c r="E443" s="166">
        <v>7118</v>
      </c>
      <c r="F443" s="74" t="s">
        <v>947</v>
      </c>
      <c r="G443" s="34" t="str">
        <f t="shared" si="28"/>
        <v>XLIX5INGRID RODRIGUES PAULINO</v>
      </c>
      <c r="H443" s="40">
        <v>43564</v>
      </c>
      <c r="I443" s="35">
        <v>120554.72</v>
      </c>
      <c r="J443" s="35" t="s">
        <v>834</v>
      </c>
      <c r="K443" s="35">
        <v>127343.17</v>
      </c>
      <c r="L443" s="170">
        <f t="shared" si="29"/>
        <v>1.0563101137806965</v>
      </c>
      <c r="M443" s="154">
        <v>159432.12</v>
      </c>
      <c r="N443" s="170">
        <f t="shared" si="30"/>
        <v>0.79872970390157272</v>
      </c>
      <c r="O443" s="170">
        <f t="shared" si="31"/>
        <v>0.82840351948828461</v>
      </c>
      <c r="P443" s="170">
        <f>IF(A443=$X$29,K443/(D443*Vendas!$U$25),IF(A443=$X$30,K443/(D443*Vendas!$U$26),IF(A443=$X$31,K443/(D443*Vendas!$U$27),IF(A443=$X$32,K443/(D443*Vendas!$U$28),IF(A443=$X$33,K443/(D443*Vendas!$U$29),IF(A443=$X$34,K443/(D443*Vendas!$U$30),IF(A443=$X$35,K443/(D443*Vendas!$U$31),IF(A443=$X$36,K443/(D443*Vendas!$U$32),0))))))))</f>
        <v>0.96927563031560249</v>
      </c>
      <c r="Q443" s="170">
        <f>IF(A443=$X$29,K443/(D443*Vendas!$U$25),IF(A443=$X$30,K443/(D443*Vendas!$U$26),IF(A443=$X$31,K443/(D443*Vendas!$U$27),IF(A443=$X$32,K443/(D443*Vendas!$U$28),IF(A443=$X$33,K443/(D443*Vendas!$U$29),IF(A443=$X$34,K443/(D443*Vendas!$U$30),IF(A443=$X$35,K443/(D443*Vendas!$U$31),IF(A443=$X$36,K443/(D443*Vendas!$U$32),0))))))))</f>
        <v>0.96927563031560249</v>
      </c>
    </row>
    <row r="444" spans="1:17">
      <c r="A444" s="263" t="s">
        <v>878</v>
      </c>
      <c r="B444" s="337" t="s">
        <v>620</v>
      </c>
      <c r="C444" s="166">
        <v>6</v>
      </c>
      <c r="D444" s="197">
        <v>256.73</v>
      </c>
      <c r="E444" s="166">
        <v>4793</v>
      </c>
      <c r="F444" s="338" t="s">
        <v>1311</v>
      </c>
      <c r="G444" s="34" t="str">
        <f t="shared" si="28"/>
        <v>XLIX6VALDEMIR RICCI</v>
      </c>
      <c r="H444" s="40">
        <v>44098</v>
      </c>
      <c r="I444" s="35">
        <v>108100</v>
      </c>
      <c r="J444" s="35" t="s">
        <v>834</v>
      </c>
      <c r="K444" s="35">
        <v>56197.26</v>
      </c>
      <c r="L444" s="170">
        <f t="shared" si="29"/>
        <v>0.519863644773358</v>
      </c>
      <c r="M444" s="154">
        <v>110787.2</v>
      </c>
      <c r="N444" s="170">
        <f t="shared" si="30"/>
        <v>0.50725408711475695</v>
      </c>
      <c r="O444" s="170">
        <f t="shared" si="31"/>
        <v>0.36557915096348081</v>
      </c>
      <c r="P444" s="170">
        <f>IF(A444=$X$29,K444/(D444*Vendas!$U$25),IF(A444=$X$30,K444/(D444*Vendas!$U$26),IF(A444=$X$31,K444/(D444*Vendas!$U$27),IF(A444=$X$32,K444/(D444*Vendas!$U$28),IF(A444=$X$33,K444/(D444*Vendas!$U$29),IF(A444=$X$34,K444/(D444*Vendas!$U$30),IF(A444=$X$35,K444/(D444*Vendas!$U$31),IF(A444=$X$36,K444/(D444*Vendas!$U$32),0))))))))</f>
        <v>0.42774680894554296</v>
      </c>
      <c r="Q444" s="170">
        <f>IF(A444=$X$29,K444/(D444*Vendas!$U$25),IF(A444=$X$30,K444/(D444*Vendas!$U$26),IF(A444=$X$31,K444/(D444*Vendas!$U$27),IF(A444=$X$32,K444/(D444*Vendas!$U$28),IF(A444=$X$33,K444/(D444*Vendas!$U$29),IF(A444=$X$34,K444/(D444*Vendas!$U$30),IF(A444=$X$35,K444/(D444*Vendas!$U$31),IF(A444=$X$36,K444/(D444*Vendas!$U$32),0))))))))</f>
        <v>0.42774680894554296</v>
      </c>
    </row>
    <row r="445" spans="1:17">
      <c r="A445" s="263" t="s">
        <v>878</v>
      </c>
      <c r="B445" s="337" t="s">
        <v>620</v>
      </c>
      <c r="C445" s="73">
        <v>7</v>
      </c>
      <c r="D445" s="315">
        <v>256.73</v>
      </c>
      <c r="E445" s="166">
        <v>6872</v>
      </c>
      <c r="F445" s="74" t="s">
        <v>903</v>
      </c>
      <c r="G445" s="34" t="str">
        <f t="shared" si="28"/>
        <v>XLIX7RYANDER ALVES PEREIRA CRIVILIM</v>
      </c>
      <c r="H445" s="40">
        <v>43482</v>
      </c>
      <c r="I445" s="35">
        <v>104635.72</v>
      </c>
      <c r="J445" s="35" t="s">
        <v>834</v>
      </c>
      <c r="K445" s="35">
        <v>3186.92</v>
      </c>
      <c r="L445" s="170">
        <f t="shared" si="29"/>
        <v>3.0457285523528676E-2</v>
      </c>
      <c r="M445" s="154">
        <v>107560.47</v>
      </c>
      <c r="N445" s="170">
        <f t="shared" si="30"/>
        <v>2.9629100728176438E-2</v>
      </c>
      <c r="O445" s="170">
        <f t="shared" si="31"/>
        <v>2.0731820515600515E-2</v>
      </c>
      <c r="P445" s="170">
        <f>IF(A445=$X$29,K445/(D445*Vendas!$U$25),IF(A445=$X$30,K445/(D445*Vendas!$U$26),IF(A445=$X$31,K445/(D445*Vendas!$U$27),IF(A445=$X$32,K445/(D445*Vendas!$U$28),IF(A445=$X$33,K445/(D445*Vendas!$U$29),IF(A445=$X$34,K445/(D445*Vendas!$U$30),IF(A445=$X$35,K445/(D445*Vendas!$U$31),IF(A445=$X$36,K445/(D445*Vendas!$U$32),0))))))))</f>
        <v>2.4257318957627644E-2</v>
      </c>
      <c r="Q445" s="170">
        <f>IF(A445=$X$29,K445/(D445*Vendas!$U$25),IF(A445=$X$30,K445/(D445*Vendas!$U$26),IF(A445=$X$31,K445/(D445*Vendas!$U$27),IF(A445=$X$32,K445/(D445*Vendas!$U$28),IF(A445=$X$33,K445/(D445*Vendas!$U$29),IF(A445=$X$34,K445/(D445*Vendas!$U$30),IF(A445=$X$35,K445/(D445*Vendas!$U$31),IF(A445=$X$36,K445/(D445*Vendas!$U$32),0))))))))</f>
        <v>2.4257318957627644E-2</v>
      </c>
    </row>
    <row r="446" spans="1:17">
      <c r="A446" s="263" t="s">
        <v>878</v>
      </c>
      <c r="B446" s="337" t="s">
        <v>620</v>
      </c>
      <c r="C446" s="166">
        <v>8</v>
      </c>
      <c r="D446" s="197">
        <v>256.73</v>
      </c>
      <c r="E446" s="166">
        <v>5096</v>
      </c>
      <c r="F446" s="338" t="s">
        <v>1492</v>
      </c>
      <c r="G446" s="34" t="str">
        <f t="shared" si="28"/>
        <v>XLIX8MICHELLI GUERMANI</v>
      </c>
      <c r="H446" s="40">
        <v>44258</v>
      </c>
      <c r="I446" s="35">
        <v>134177.16</v>
      </c>
      <c r="J446" s="35" t="s">
        <v>834</v>
      </c>
      <c r="K446" s="35">
        <v>92966.03</v>
      </c>
      <c r="L446" s="170">
        <f t="shared" si="29"/>
        <v>0.69286031989349006</v>
      </c>
      <c r="M446" s="154">
        <v>134401.53</v>
      </c>
      <c r="N446" s="170">
        <f t="shared" si="30"/>
        <v>0.69170365843305504</v>
      </c>
      <c r="O446" s="170">
        <f t="shared" si="31"/>
        <v>0.60477045172390054</v>
      </c>
      <c r="P446" s="170">
        <f>IF(A446=$X$29,K446/(D446*Vendas!$U$25),IF(A446=$X$30,K446/(D446*Vendas!$U$26),IF(A446=$X$31,K446/(D446*Vendas!$U$27),IF(A446=$X$32,K446/(D446*Vendas!$U$28),IF(A446=$X$33,K446/(D446*Vendas!$U$29),IF(A446=$X$34,K446/(D446*Vendas!$U$30),IF(A446=$X$35,K446/(D446*Vendas!$U$31),IF(A446=$X$36,K446/(D446*Vendas!$U$32),0))))))))</f>
        <v>0.70761319453716454</v>
      </c>
      <c r="Q446" s="170">
        <f>IF(A446=$X$29,K446/(D446*Vendas!$U$25),IF(A446=$X$30,K446/(D446*Vendas!$U$26),IF(A446=$X$31,K446/(D446*Vendas!$U$27),IF(A446=$X$32,K446/(D446*Vendas!$U$28),IF(A446=$X$33,K446/(D446*Vendas!$U$29),IF(A446=$X$34,K446/(D446*Vendas!$U$30),IF(A446=$X$35,K446/(D446*Vendas!$U$31),IF(A446=$X$36,K446/(D446*Vendas!$U$32),0))))))))</f>
        <v>0.70761319453716454</v>
      </c>
    </row>
    <row r="447" spans="1:17">
      <c r="A447" s="263" t="s">
        <v>878</v>
      </c>
      <c r="B447" s="337" t="s">
        <v>620</v>
      </c>
      <c r="C447" s="73">
        <v>9</v>
      </c>
      <c r="D447" s="315">
        <v>256.73</v>
      </c>
      <c r="E447" s="166">
        <v>3138</v>
      </c>
      <c r="F447" s="74" t="s">
        <v>1071</v>
      </c>
      <c r="G447" s="34" t="str">
        <f t="shared" si="28"/>
        <v>XLIX9KARLA CAROLINA CARNIETTO TEODORO</v>
      </c>
      <c r="H447" s="40">
        <v>43761</v>
      </c>
      <c r="I447" s="35">
        <v>106220.55</v>
      </c>
      <c r="J447" s="35" t="s">
        <v>834</v>
      </c>
      <c r="K447" s="35">
        <v>38950.68</v>
      </c>
      <c r="L447" s="170">
        <f t="shared" si="29"/>
        <v>0.36669627487336487</v>
      </c>
      <c r="M447" s="154">
        <v>127483.68000000001</v>
      </c>
      <c r="N447" s="170">
        <f t="shared" si="30"/>
        <v>0.30553463784540891</v>
      </c>
      <c r="O447" s="170">
        <f t="shared" si="31"/>
        <v>0.25338524554133479</v>
      </c>
      <c r="P447" s="170">
        <f>IF(A447=$X$29,K447/(D447*Vendas!$U$25),IF(A447=$X$30,K447/(D447*Vendas!$U$26),IF(A447=$X$31,K447/(D447*Vendas!$U$27),IF(A447=$X$32,K447/(D447*Vendas!$U$28),IF(A447=$X$33,K447/(D447*Vendas!$U$29),IF(A447=$X$34,K447/(D447*Vendas!$U$30),IF(A447=$X$35,K447/(D447*Vendas!$U$31),IF(A447=$X$36,K447/(D447*Vendas!$U$32),0))))))))</f>
        <v>0.29647404653285553</v>
      </c>
      <c r="Q447" s="170">
        <f>IF(A447=$X$29,K447/(D447*Vendas!$U$25),IF(A447=$X$30,K447/(D447*Vendas!$U$26),IF(A447=$X$31,K447/(D447*Vendas!$U$27),IF(A447=$X$32,K447/(D447*Vendas!$U$28),IF(A447=$X$33,K447/(D447*Vendas!$U$29),IF(A447=$X$34,K447/(D447*Vendas!$U$30),IF(A447=$X$35,K447/(D447*Vendas!$U$31),IF(A447=$X$36,K447/(D447*Vendas!$U$32),0))))))))</f>
        <v>0.29647404653285553</v>
      </c>
    </row>
    <row r="448" spans="1:17">
      <c r="A448" s="263" t="s">
        <v>878</v>
      </c>
      <c r="B448" s="337" t="s">
        <v>620</v>
      </c>
      <c r="C448" s="166">
        <v>10</v>
      </c>
      <c r="D448" s="197">
        <v>256.73</v>
      </c>
      <c r="E448" s="166">
        <v>4521</v>
      </c>
      <c r="F448" s="338" t="s">
        <v>1237</v>
      </c>
      <c r="G448" s="34" t="str">
        <f t="shared" si="28"/>
        <v>XLIX10FRANCISCO FERNANDES JUNIOR</v>
      </c>
      <c r="H448" s="40">
        <v>44029</v>
      </c>
      <c r="I448" s="35">
        <v>103400</v>
      </c>
      <c r="J448" s="35" t="s">
        <v>834</v>
      </c>
      <c r="K448" s="35">
        <v>34716.660000000003</v>
      </c>
      <c r="L448" s="170">
        <f t="shared" si="29"/>
        <v>0.33575106382978726</v>
      </c>
      <c r="M448" s="154">
        <v>105194.96</v>
      </c>
      <c r="N448" s="170">
        <f t="shared" si="30"/>
        <v>0.33002208470824079</v>
      </c>
      <c r="O448" s="170">
        <f t="shared" si="31"/>
        <v>0.22584174187652276</v>
      </c>
      <c r="P448" s="170">
        <f>IF(A448=$X$29,K448/(D448*Vendas!$U$25),IF(A448=$X$30,K448/(D448*Vendas!$U$26),IF(A448=$X$31,K448/(D448*Vendas!$U$27),IF(A448=$X$32,K448/(D448*Vendas!$U$28),IF(A448=$X$33,K448/(D448*Vendas!$U$29),IF(A448=$X$34,K448/(D448*Vendas!$U$30),IF(A448=$X$35,K448/(D448*Vendas!$U$31),IF(A448=$X$36,K448/(D448*Vendas!$U$32),0))))))))</f>
        <v>0.26424670050189947</v>
      </c>
      <c r="Q448" s="170">
        <f>IF(A448=$X$29,K448/(D448*Vendas!$U$25),IF(A448=$X$30,K448/(D448*Vendas!$U$26),IF(A448=$X$31,K448/(D448*Vendas!$U$27),IF(A448=$X$32,K448/(D448*Vendas!$U$28),IF(A448=$X$33,K448/(D448*Vendas!$U$29),IF(A448=$X$34,K448/(D448*Vendas!$U$30),IF(A448=$X$35,K448/(D448*Vendas!$U$31),IF(A448=$X$36,K448/(D448*Vendas!$U$32),0))))))))</f>
        <v>0.26424670050189947</v>
      </c>
    </row>
    <row r="449" spans="1:17">
      <c r="A449" s="263" t="s">
        <v>878</v>
      </c>
      <c r="B449" s="337" t="s">
        <v>620</v>
      </c>
      <c r="C449" s="73">
        <v>11</v>
      </c>
      <c r="D449" s="315">
        <v>256.73</v>
      </c>
      <c r="E449" s="166">
        <v>4519</v>
      </c>
      <c r="F449" s="74" t="s">
        <v>1238</v>
      </c>
      <c r="G449" s="34" t="str">
        <f t="shared" si="28"/>
        <v>XLIX11DOUGLAS DUARTE VIEIRA</v>
      </c>
      <c r="H449" s="40">
        <v>44029</v>
      </c>
      <c r="I449" s="35">
        <v>103400</v>
      </c>
      <c r="J449" s="35" t="s">
        <v>834</v>
      </c>
      <c r="K449" s="35">
        <v>46288.88</v>
      </c>
      <c r="L449" s="170">
        <f t="shared" si="29"/>
        <v>0.44766808510638295</v>
      </c>
      <c r="M449" s="154">
        <v>105792.79000000001</v>
      </c>
      <c r="N449" s="170">
        <f t="shared" si="30"/>
        <v>0.43754286090762889</v>
      </c>
      <c r="O449" s="170">
        <f t="shared" si="31"/>
        <v>0.3011223225020303</v>
      </c>
      <c r="P449" s="170">
        <f>IF(A449=$X$29,K449/(D449*Vendas!$U$25),IF(A449=$X$30,K449/(D449*Vendas!$U$26),IF(A449=$X$31,K449/(D449*Vendas!$U$27),IF(A449=$X$32,K449/(D449*Vendas!$U$28),IF(A449=$X$33,K449/(D449*Vendas!$U$29),IF(A449=$X$34,K449/(D449*Vendas!$U$30),IF(A449=$X$35,K449/(D449*Vendas!$U$31),IF(A449=$X$36,K449/(D449*Vendas!$U$32),0))))))))</f>
        <v>0.35232893400253257</v>
      </c>
      <c r="Q449" s="170">
        <f>IF(A449=$X$29,K449/(D449*Vendas!$U$25),IF(A449=$X$30,K449/(D449*Vendas!$U$26),IF(A449=$X$31,K449/(D449*Vendas!$U$27),IF(A449=$X$32,K449/(D449*Vendas!$U$28),IF(A449=$X$33,K449/(D449*Vendas!$U$29),IF(A449=$X$34,K449/(D449*Vendas!$U$30),IF(A449=$X$35,K449/(D449*Vendas!$U$31),IF(A449=$X$36,K449/(D449*Vendas!$U$32),0))))))))</f>
        <v>0.35232893400253257</v>
      </c>
    </row>
    <row r="450" spans="1:17">
      <c r="A450" s="263" t="s">
        <v>878</v>
      </c>
      <c r="B450" s="337" t="s">
        <v>620</v>
      </c>
      <c r="C450" s="166">
        <v>12</v>
      </c>
      <c r="D450" s="197">
        <v>256.73</v>
      </c>
      <c r="E450" s="166">
        <v>4581</v>
      </c>
      <c r="F450" s="338" t="s">
        <v>1233</v>
      </c>
      <c r="G450" s="34" t="str">
        <f t="shared" si="28"/>
        <v>XLIX12CLEONILDO DA SILVA POGGIAN</v>
      </c>
      <c r="H450" s="40">
        <v>44034</v>
      </c>
      <c r="I450" s="35">
        <v>101520</v>
      </c>
      <c r="J450" s="35" t="s">
        <v>834</v>
      </c>
      <c r="K450" s="35">
        <v>62069.24</v>
      </c>
      <c r="L450" s="170">
        <f t="shared" si="29"/>
        <v>0.61139913317572891</v>
      </c>
      <c r="M450" s="154">
        <v>104736.45</v>
      </c>
      <c r="N450" s="170">
        <f t="shared" si="30"/>
        <v>0.59262310303624</v>
      </c>
      <c r="O450" s="170">
        <f t="shared" si="31"/>
        <v>0.40377805003568717</v>
      </c>
      <c r="P450" s="170">
        <f>IF(A450=$X$29,K450/(D450*Vendas!$U$25),IF(A450=$X$30,K450/(D450*Vendas!$U$26),IF(A450=$X$31,K450/(D450*Vendas!$U$27),IF(A450=$X$32,K450/(D450*Vendas!$U$28),IF(A450=$X$33,K450/(D450*Vendas!$U$29),IF(A450=$X$34,K450/(D450*Vendas!$U$30),IF(A450=$X$35,K450/(D450*Vendas!$U$31),IF(A450=$X$36,K450/(D450*Vendas!$U$32),0))))))))</f>
        <v>0.47244152728576183</v>
      </c>
      <c r="Q450" s="170">
        <f>IF(A450=$X$29,K450/(D450*Vendas!$U$25),IF(A450=$X$30,K450/(D450*Vendas!$U$26),IF(A450=$X$31,K450/(D450*Vendas!$U$27),IF(A450=$X$32,K450/(D450*Vendas!$U$28),IF(A450=$X$33,K450/(D450*Vendas!$U$29),IF(A450=$X$34,K450/(D450*Vendas!$U$30),IF(A450=$X$35,K450/(D450*Vendas!$U$31),IF(A450=$X$36,K450/(D450*Vendas!$U$32),0))))))))</f>
        <v>0.47244152728576183</v>
      </c>
    </row>
    <row r="451" spans="1:17">
      <c r="A451" s="263" t="s">
        <v>878</v>
      </c>
      <c r="B451" s="337" t="s">
        <v>620</v>
      </c>
      <c r="C451" s="73">
        <v>13</v>
      </c>
      <c r="D451" s="315">
        <v>256.73</v>
      </c>
      <c r="E451" s="166">
        <v>3763</v>
      </c>
      <c r="F451" s="74" t="s">
        <v>1396</v>
      </c>
      <c r="G451" s="34" t="str">
        <f t="shared" si="28"/>
        <v>XLIX13MARCELO NAVARRO MODESTO</v>
      </c>
      <c r="H451" s="40">
        <v>43865</v>
      </c>
      <c r="I451" s="35">
        <v>108099.75</v>
      </c>
      <c r="J451" s="35" t="s">
        <v>834</v>
      </c>
      <c r="K451" s="35">
        <v>95202.2</v>
      </c>
      <c r="L451" s="170">
        <f t="shared" si="29"/>
        <v>0.88068843822488019</v>
      </c>
      <c r="M451" s="154">
        <v>126571.33</v>
      </c>
      <c r="N451" s="170">
        <f t="shared" si="30"/>
        <v>0.75216243678564487</v>
      </c>
      <c r="O451" s="170">
        <f t="shared" si="31"/>
        <v>0.61931737322879243</v>
      </c>
      <c r="P451" s="170">
        <f>IF(A451=$X$29,K451/(D451*Vendas!$U$25),IF(A451=$X$30,K451/(D451*Vendas!$U$26),IF(A451=$X$31,K451/(D451*Vendas!$U$27),IF(A451=$X$32,K451/(D451*Vendas!$U$28),IF(A451=$X$33,K451/(D451*Vendas!$U$29),IF(A451=$X$34,K451/(D451*Vendas!$U$30),IF(A451=$X$35,K451/(D451*Vendas!$U$31),IF(A451=$X$36,K451/(D451*Vendas!$U$32),0))))))))</f>
        <v>0.72463385678581782</v>
      </c>
      <c r="Q451" s="170">
        <f>IF(A451=$X$29,K451/(D451*Vendas!$U$25),IF(A451=$X$30,K451/(D451*Vendas!$U$26),IF(A451=$X$31,K451/(D451*Vendas!$U$27),IF(A451=$X$32,K451/(D451*Vendas!$U$28),IF(A451=$X$33,K451/(D451*Vendas!$U$29),IF(A451=$X$34,K451/(D451*Vendas!$U$30),IF(A451=$X$35,K451/(D451*Vendas!$U$31),IF(A451=$X$36,K451/(D451*Vendas!$U$32),0))))))))</f>
        <v>0.72463385678581782</v>
      </c>
    </row>
    <row r="452" spans="1:17">
      <c r="A452" s="263" t="s">
        <v>878</v>
      </c>
      <c r="B452" s="337" t="s">
        <v>620</v>
      </c>
      <c r="C452" s="166">
        <v>14</v>
      </c>
      <c r="D452" s="197">
        <v>256.73</v>
      </c>
      <c r="E452" s="166">
        <v>4648</v>
      </c>
      <c r="F452" s="338" t="s">
        <v>1260</v>
      </c>
      <c r="G452" s="34" t="str">
        <f t="shared" si="28"/>
        <v>XLIX14GUILHERME RODRIGUES SPOLADOR</v>
      </c>
      <c r="H452" s="40">
        <v>44046</v>
      </c>
      <c r="I452" s="35">
        <v>103399.8</v>
      </c>
      <c r="J452" s="35" t="s">
        <v>834</v>
      </c>
      <c r="K452" s="35">
        <v>4620.55</v>
      </c>
      <c r="L452" s="170">
        <f t="shared" si="29"/>
        <v>4.4686256646531232E-2</v>
      </c>
      <c r="M452" s="154">
        <v>107006.43000000001</v>
      </c>
      <c r="N452" s="170">
        <f t="shared" si="30"/>
        <v>4.3180115437922745E-2</v>
      </c>
      <c r="O452" s="170">
        <f t="shared" si="31"/>
        <v>3.0057991190038647E-2</v>
      </c>
      <c r="P452" s="170">
        <f>IF(A452=$X$29,K452/(D452*Vendas!$U$25),IF(A452=$X$30,K452/(D452*Vendas!$U$26),IF(A452=$X$31,K452/(D452*Vendas!$U$27),IF(A452=$X$32,K452/(D452*Vendas!$U$28),IF(A452=$X$33,K452/(D452*Vendas!$U$29),IF(A452=$X$34,K452/(D452*Vendas!$U$30),IF(A452=$X$35,K452/(D452*Vendas!$U$31),IF(A452=$X$36,K452/(D452*Vendas!$U$32),0))))))))</f>
        <v>3.5169428510808683E-2</v>
      </c>
      <c r="Q452" s="170">
        <f>IF(A452=$X$29,K452/(D452*Vendas!$U$25),IF(A452=$X$30,K452/(D452*Vendas!$U$26),IF(A452=$X$31,K452/(D452*Vendas!$U$27),IF(A452=$X$32,K452/(D452*Vendas!$U$28),IF(A452=$X$33,K452/(D452*Vendas!$U$29),IF(A452=$X$34,K452/(D452*Vendas!$U$30),IF(A452=$X$35,K452/(D452*Vendas!$U$31),IF(A452=$X$36,K452/(D452*Vendas!$U$32),0))))))))</f>
        <v>3.5169428510808683E-2</v>
      </c>
    </row>
    <row r="453" spans="1:17">
      <c r="A453" s="263" t="s">
        <v>878</v>
      </c>
      <c r="B453" s="337" t="s">
        <v>620</v>
      </c>
      <c r="C453" s="73">
        <v>15</v>
      </c>
      <c r="D453" s="315">
        <v>256.73</v>
      </c>
      <c r="E453" s="166">
        <v>4670</v>
      </c>
      <c r="F453" s="74" t="s">
        <v>1261</v>
      </c>
      <c r="G453" s="34" t="str">
        <f t="shared" ref="G453:G516" si="32">CONCATENATE(B453,C453,F453)</f>
        <v>XLIX15VINICIUS NOGUEIRA DE PAULA</v>
      </c>
      <c r="H453" s="40">
        <v>44064</v>
      </c>
      <c r="I453" s="35">
        <v>108100.6</v>
      </c>
      <c r="J453" s="35" t="s">
        <v>834</v>
      </c>
      <c r="K453" s="35">
        <v>96420.59</v>
      </c>
      <c r="L453" s="170">
        <f t="shared" ref="L453:L516" si="33">K453/I453</f>
        <v>0.89195240359442951</v>
      </c>
      <c r="M453" s="154">
        <v>119447.92</v>
      </c>
      <c r="N453" s="170">
        <f t="shared" ref="N453:N516" si="34">K453/M453</f>
        <v>0.80721866065143699</v>
      </c>
      <c r="O453" s="170">
        <f t="shared" ref="O453:O516" si="35">K453/(D453*$U$10)</f>
        <v>0.62724334651899194</v>
      </c>
      <c r="P453" s="170">
        <f>IF(A453=$X$29,K453/(D453*Vendas!$U$25),IF(A453=$X$30,K453/(D453*Vendas!$U$26),IF(A453=$X$31,K453/(D453*Vendas!$U$27),IF(A453=$X$32,K453/(D453*Vendas!$U$28),IF(A453=$X$33,K453/(D453*Vendas!$U$29),IF(A453=$X$34,K453/(D453*Vendas!$U$30),IF(A453=$X$35,K453/(D453*Vendas!$U$31),IF(A453=$X$36,K453/(D453*Vendas!$U$32),0))))))))</f>
        <v>0.73390766185302503</v>
      </c>
      <c r="Q453" s="170">
        <f>IF(A453=$X$29,K453/(D453*Vendas!$U$25),IF(A453=$X$30,K453/(D453*Vendas!$U$26),IF(A453=$X$31,K453/(D453*Vendas!$U$27),IF(A453=$X$32,K453/(D453*Vendas!$U$28),IF(A453=$X$33,K453/(D453*Vendas!$U$29),IF(A453=$X$34,K453/(D453*Vendas!$U$30),IF(A453=$X$35,K453/(D453*Vendas!$U$31),IF(A453=$X$36,K453/(D453*Vendas!$U$32),0))))))))</f>
        <v>0.73390766185302503</v>
      </c>
    </row>
    <row r="454" spans="1:17">
      <c r="A454" s="263" t="s">
        <v>878</v>
      </c>
      <c r="B454" s="337" t="s">
        <v>620</v>
      </c>
      <c r="C454" s="166">
        <v>16</v>
      </c>
      <c r="D454" s="197">
        <v>256.73</v>
      </c>
      <c r="E454" s="166"/>
      <c r="F454" s="338" t="s">
        <v>1052</v>
      </c>
      <c r="G454" s="34" t="str">
        <f t="shared" si="32"/>
        <v>XLIX16WILLIAM EVANGELISTA TEODORO</v>
      </c>
      <c r="H454" s="40">
        <v>43691</v>
      </c>
      <c r="I454" s="35">
        <v>108100</v>
      </c>
      <c r="J454" s="35" t="s">
        <v>1249</v>
      </c>
      <c r="K454" s="35">
        <v>108711.35</v>
      </c>
      <c r="L454" s="170">
        <f t="shared" si="33"/>
        <v>1.0056554116558742</v>
      </c>
      <c r="M454" s="154">
        <v>133222.83000000002</v>
      </c>
      <c r="N454" s="170">
        <f t="shared" si="34"/>
        <v>0.81601141486035078</v>
      </c>
      <c r="O454" s="170">
        <f t="shared" si="35"/>
        <v>0.70719823409706806</v>
      </c>
      <c r="P454" s="170">
        <f>IF(A454=$X$29,K454/(D454*Vendas!$U$25),IF(A454=$X$30,K454/(D454*Vendas!$U$26),IF(A454=$X$31,K454/(D454*Vendas!$U$27),IF(A454=$X$32,K454/(D454*Vendas!$U$28),IF(A454=$X$33,K454/(D454*Vendas!$U$29),IF(A454=$X$34,K454/(D454*Vendas!$U$30),IF(A454=$X$35,K454/(D454*Vendas!$U$31),IF(A454=$X$36,K454/(D454*Vendas!$U$32),0))))))))</f>
        <v>0.82745908000963131</v>
      </c>
      <c r="Q454" s="170">
        <f>IF(A454=$X$29,K454/(D454*Vendas!$U$25),IF(A454=$X$30,K454/(D454*Vendas!$U$26),IF(A454=$X$31,K454/(D454*Vendas!$U$27),IF(A454=$X$32,K454/(D454*Vendas!$U$28),IF(A454=$X$33,K454/(D454*Vendas!$U$29),IF(A454=$X$34,K454/(D454*Vendas!$U$30),IF(A454=$X$35,K454/(D454*Vendas!$U$31),IF(A454=$X$36,K454/(D454*Vendas!$U$32),0))))))))</f>
        <v>0.82745908000963131</v>
      </c>
    </row>
    <row r="455" spans="1:17">
      <c r="A455" s="263" t="s">
        <v>878</v>
      </c>
      <c r="B455" s="337" t="s">
        <v>620</v>
      </c>
      <c r="C455" s="73">
        <v>17</v>
      </c>
      <c r="D455" s="315">
        <v>256.73</v>
      </c>
      <c r="E455" s="166">
        <v>4952</v>
      </c>
      <c r="F455" s="74" t="s">
        <v>1389</v>
      </c>
      <c r="G455" s="34" t="str">
        <f t="shared" si="32"/>
        <v>XLIX17BRUNO HENRIQUE FAGUNDES DE SOUZA</v>
      </c>
      <c r="H455" s="40">
        <v>44183</v>
      </c>
      <c r="I455" s="35">
        <v>134176.66</v>
      </c>
      <c r="J455" s="35" t="s">
        <v>834</v>
      </c>
      <c r="K455" s="35">
        <v>89252.71</v>
      </c>
      <c r="L455" s="170">
        <f t="shared" si="33"/>
        <v>0.66518804388184949</v>
      </c>
      <c r="M455" s="154">
        <v>136636.97</v>
      </c>
      <c r="N455" s="170">
        <f t="shared" si="34"/>
        <v>0.65321054762850794</v>
      </c>
      <c r="O455" s="170">
        <f t="shared" si="35"/>
        <v>0.58061424957355168</v>
      </c>
      <c r="P455" s="170">
        <f>IF(A455=$X$29,K455/(D455*Vendas!$U$25),IF(A455=$X$30,K455/(D455*Vendas!$U$26),IF(A455=$X$31,K455/(D455*Vendas!$U$27),IF(A455=$X$32,K455/(D455*Vendas!$U$28),IF(A455=$X$33,K455/(D455*Vendas!$U$29),IF(A455=$X$34,K455/(D455*Vendas!$U$30),IF(A455=$X$35,K455/(D455*Vendas!$U$31),IF(A455=$X$36,K455/(D455*Vendas!$U$32),0))))))))</f>
        <v>0.67934916919867538</v>
      </c>
      <c r="Q455" s="170">
        <f>IF(A455=$X$29,K455/(D455*Vendas!$U$25),IF(A455=$X$30,K455/(D455*Vendas!$U$26),IF(A455=$X$31,K455/(D455*Vendas!$U$27),IF(A455=$X$32,K455/(D455*Vendas!$U$28),IF(A455=$X$33,K455/(D455*Vendas!$U$29),IF(A455=$X$34,K455/(D455*Vendas!$U$30),IF(A455=$X$35,K455/(D455*Vendas!$U$31),IF(A455=$X$36,K455/(D455*Vendas!$U$32),0))))))))</f>
        <v>0.67934916919867538</v>
      </c>
    </row>
    <row r="456" spans="1:17">
      <c r="A456" s="263" t="s">
        <v>878</v>
      </c>
      <c r="B456" s="337" t="s">
        <v>620</v>
      </c>
      <c r="C456" s="166">
        <v>26</v>
      </c>
      <c r="D456" s="197">
        <v>263.97000000000003</v>
      </c>
      <c r="E456" s="166"/>
      <c r="F456" s="338" t="s">
        <v>983</v>
      </c>
      <c r="G456" s="34" t="str">
        <f t="shared" si="32"/>
        <v>XLIX26MARCOS RIBEIRO MORGAN</v>
      </c>
      <c r="H456" s="40">
        <v>43636</v>
      </c>
      <c r="I456" s="35">
        <v>117500</v>
      </c>
      <c r="J456" s="35" t="s">
        <v>1249</v>
      </c>
      <c r="K456" s="35">
        <v>14087.15</v>
      </c>
      <c r="L456" s="170">
        <f t="shared" si="33"/>
        <v>0.11989063829787233</v>
      </c>
      <c r="M456" s="154">
        <v>111154.86</v>
      </c>
      <c r="N456" s="170">
        <f t="shared" si="34"/>
        <v>0.12673444957782323</v>
      </c>
      <c r="O456" s="170">
        <f t="shared" si="35"/>
        <v>8.912744687584527E-2</v>
      </c>
      <c r="P456" s="170">
        <f>IF(A456=$X$29,K456/(D456*Vendas!$U$25),IF(A456=$X$30,K456/(D456*Vendas!$U$26),IF(A456=$X$31,K456/(D456*Vendas!$U$27),IF(A456=$X$32,K456/(D456*Vendas!$U$28),IF(A456=$X$33,K456/(D456*Vendas!$U$29),IF(A456=$X$34,K456/(D456*Vendas!$U$30),IF(A456=$X$35,K456/(D456*Vendas!$U$31),IF(A456=$X$36,K456/(D456*Vendas!$U$32),0))))))))</f>
        <v>0.10428379433053218</v>
      </c>
      <c r="Q456" s="170">
        <f>IF(A456=$X$29,K456/(D456*Vendas!$U$25),IF(A456=$X$30,K456/(D456*Vendas!$U$26),IF(A456=$X$31,K456/(D456*Vendas!$U$27),IF(A456=$X$32,K456/(D456*Vendas!$U$28),IF(A456=$X$33,K456/(D456*Vendas!$U$29),IF(A456=$X$34,K456/(D456*Vendas!$U$30),IF(A456=$X$35,K456/(D456*Vendas!$U$31),IF(A456=$X$36,K456/(D456*Vendas!$U$32),0))))))))</f>
        <v>0.10428379433053218</v>
      </c>
    </row>
    <row r="457" spans="1:17">
      <c r="A457" s="263" t="s">
        <v>878</v>
      </c>
      <c r="B457" s="337" t="s">
        <v>620</v>
      </c>
      <c r="C457" s="73">
        <v>27</v>
      </c>
      <c r="D457" s="315">
        <v>263.97000000000003</v>
      </c>
      <c r="E457" s="166">
        <v>3786</v>
      </c>
      <c r="F457" s="74" t="s">
        <v>983</v>
      </c>
      <c r="G457" s="34" t="str">
        <f t="shared" si="32"/>
        <v>XLIX27MARCOS RIBEIRO MORGAN</v>
      </c>
      <c r="H457" s="40">
        <v>43867</v>
      </c>
      <c r="I457" s="35">
        <v>117500</v>
      </c>
      <c r="J457" s="35" t="s">
        <v>1249</v>
      </c>
      <c r="K457" s="35">
        <v>77108.5</v>
      </c>
      <c r="L457" s="170">
        <f t="shared" si="33"/>
        <v>0.65624255319148939</v>
      </c>
      <c r="M457" s="154">
        <v>110381.96</v>
      </c>
      <c r="N457" s="170">
        <f t="shared" si="34"/>
        <v>0.69856070684013938</v>
      </c>
      <c r="O457" s="170">
        <f t="shared" si="35"/>
        <v>0.487854799404146</v>
      </c>
      <c r="P457" s="170">
        <f>IF(A457=$X$29,K457/(D457*Vendas!$U$25),IF(A457=$X$30,K457/(D457*Vendas!$U$26),IF(A457=$X$31,K457/(D457*Vendas!$U$27),IF(A457=$X$32,K457/(D457*Vendas!$U$28),IF(A457=$X$33,K457/(D457*Vendas!$U$29),IF(A457=$X$34,K457/(D457*Vendas!$U$30),IF(A457=$X$35,K457/(D457*Vendas!$U$31),IF(A457=$X$36,K457/(D457*Vendas!$U$32),0))))))))</f>
        <v>0.57081574024098858</v>
      </c>
      <c r="Q457" s="170">
        <f>IF(A457=$X$29,K457/(D457*Vendas!$U$25),IF(A457=$X$30,K457/(D457*Vendas!$U$26),IF(A457=$X$31,K457/(D457*Vendas!$U$27),IF(A457=$X$32,K457/(D457*Vendas!$U$28),IF(A457=$X$33,K457/(D457*Vendas!$U$29),IF(A457=$X$34,K457/(D457*Vendas!$U$30),IF(A457=$X$35,K457/(D457*Vendas!$U$31),IF(A457=$X$36,K457/(D457*Vendas!$U$32),0))))))))</f>
        <v>0.57081574024098858</v>
      </c>
    </row>
    <row r="458" spans="1:17">
      <c r="A458" s="263" t="s">
        <v>878</v>
      </c>
      <c r="B458" s="337" t="s">
        <v>616</v>
      </c>
      <c r="C458" s="166">
        <v>1</v>
      </c>
      <c r="D458" s="197">
        <v>274.93</v>
      </c>
      <c r="E458" s="166">
        <v>5088</v>
      </c>
      <c r="F458" s="338" t="s">
        <v>1493</v>
      </c>
      <c r="G458" s="34" t="str">
        <f t="shared" si="32"/>
        <v>XLV1HEVELIN MIKA MIYA</v>
      </c>
      <c r="H458" s="40">
        <v>44258</v>
      </c>
      <c r="I458" s="35">
        <v>171834.46</v>
      </c>
      <c r="J458" s="35" t="s">
        <v>834</v>
      </c>
      <c r="K458" s="35">
        <v>146595.84</v>
      </c>
      <c r="L458" s="170">
        <f t="shared" si="33"/>
        <v>0.85312247613197034</v>
      </c>
      <c r="M458" s="154">
        <v>172188.22</v>
      </c>
      <c r="N458" s="170">
        <f t="shared" si="34"/>
        <v>0.8513697394630132</v>
      </c>
      <c r="O458" s="170">
        <f t="shared" si="35"/>
        <v>0.89051740833153026</v>
      </c>
      <c r="P458" s="170">
        <f>IF(A458=$X$29,K458/(D458*Vendas!$U$25),IF(A458=$X$30,K458/(D458*Vendas!$U$26),IF(A458=$X$31,K458/(D458*Vendas!$U$27),IF(A458=$X$32,K458/(D458*Vendas!$U$28),IF(A458=$X$33,K458/(D458*Vendas!$U$29),IF(A458=$X$34,K458/(D458*Vendas!$U$30),IF(A458=$X$35,K458/(D458*Vendas!$U$31),IF(A458=$X$36,K458/(D458*Vendas!$U$32),0))))))))</f>
        <v>1.0419521428406577</v>
      </c>
      <c r="Q458" s="170">
        <f>IF(A458=$X$29,K458/(D458*Vendas!$U$25),IF(A458=$X$30,K458/(D458*Vendas!$U$26),IF(A458=$X$31,K458/(D458*Vendas!$U$27),IF(A458=$X$32,K458/(D458*Vendas!$U$28),IF(A458=$X$33,K458/(D458*Vendas!$U$29),IF(A458=$X$34,K458/(D458*Vendas!$U$30),IF(A458=$X$35,K458/(D458*Vendas!$U$31),IF(A458=$X$36,K458/(D458*Vendas!$U$32),0))))))))</f>
        <v>1.0419521428406577</v>
      </c>
    </row>
    <row r="459" spans="1:17">
      <c r="A459" s="263" t="s">
        <v>878</v>
      </c>
      <c r="B459" s="337" t="s">
        <v>616</v>
      </c>
      <c r="C459" s="73">
        <v>2</v>
      </c>
      <c r="D459" s="315">
        <v>263.04000000000002</v>
      </c>
      <c r="E459" s="166">
        <v>4993</v>
      </c>
      <c r="F459" s="74" t="s">
        <v>1415</v>
      </c>
      <c r="G459" s="34" t="str">
        <f t="shared" si="32"/>
        <v>XLV2RENATO ZANIN</v>
      </c>
      <c r="H459" s="40">
        <v>44222</v>
      </c>
      <c r="I459" s="35">
        <v>159471.6</v>
      </c>
      <c r="J459" s="35" t="s">
        <v>834</v>
      </c>
      <c r="K459" s="35">
        <v>154867.45000000001</v>
      </c>
      <c r="L459" s="170">
        <f t="shared" si="33"/>
        <v>0.97112871508155685</v>
      </c>
      <c r="M459" s="154">
        <v>166081.91</v>
      </c>
      <c r="N459" s="170">
        <f t="shared" si="34"/>
        <v>0.93247633050462875</v>
      </c>
      <c r="O459" s="170">
        <f t="shared" si="35"/>
        <v>0.98328915906893632</v>
      </c>
      <c r="P459" s="170">
        <f>IF(A459=$X$29,K459/(D459*Vendas!$U$25),IF(A459=$X$30,K459/(D459*Vendas!$U$26),IF(A459=$X$31,K459/(D459*Vendas!$U$27),IF(A459=$X$32,K459/(D459*Vendas!$U$28),IF(A459=$X$33,K459/(D459*Vendas!$U$29),IF(A459=$X$34,K459/(D459*Vendas!$U$30),IF(A459=$X$35,K459/(D459*Vendas!$U$31),IF(A459=$X$36,K459/(D459*Vendas!$U$32),0))))))))</f>
        <v>1.1504999641090015</v>
      </c>
      <c r="Q459" s="170">
        <f>IF(A459=$X$29,K459/(D459*Vendas!$U$25),IF(A459=$X$30,K459/(D459*Vendas!$U$26),IF(A459=$X$31,K459/(D459*Vendas!$U$27),IF(A459=$X$32,K459/(D459*Vendas!$U$28),IF(A459=$X$33,K459/(D459*Vendas!$U$29),IF(A459=$X$34,K459/(D459*Vendas!$U$30),IF(A459=$X$35,K459/(D459*Vendas!$U$31),IF(A459=$X$36,K459/(D459*Vendas!$U$32),0))))))))</f>
        <v>1.1504999641090015</v>
      </c>
    </row>
    <row r="460" spans="1:17">
      <c r="A460" s="263" t="s">
        <v>878</v>
      </c>
      <c r="B460" s="337" t="s">
        <v>616</v>
      </c>
      <c r="C460" s="166">
        <v>3</v>
      </c>
      <c r="D460" s="197">
        <v>268.16000000000003</v>
      </c>
      <c r="E460" s="166">
        <v>5020</v>
      </c>
      <c r="F460" s="338" t="s">
        <v>1479</v>
      </c>
      <c r="G460" s="34" t="str">
        <f t="shared" si="32"/>
        <v>XLV3SILAS ODA</v>
      </c>
      <c r="H460" s="40">
        <v>44236</v>
      </c>
      <c r="I460" s="35">
        <v>164500.1</v>
      </c>
      <c r="J460" s="35" t="s">
        <v>834</v>
      </c>
      <c r="K460" s="35">
        <v>136264.6</v>
      </c>
      <c r="L460" s="170">
        <f t="shared" si="33"/>
        <v>0.82835572744332675</v>
      </c>
      <c r="M460" s="154">
        <v>167369.92000000001</v>
      </c>
      <c r="N460" s="170">
        <f t="shared" si="34"/>
        <v>0.81415226822119524</v>
      </c>
      <c r="O460" s="170">
        <f t="shared" si="35"/>
        <v>0.84865651225826055</v>
      </c>
      <c r="P460" s="170">
        <f>IF(A460=$X$29,K460/(D460*Vendas!$U$25),IF(A460=$X$30,K460/(D460*Vendas!$U$26),IF(A460=$X$31,K460/(D460*Vendas!$U$27),IF(A460=$X$32,K460/(D460*Vendas!$U$28),IF(A460=$X$33,K460/(D460*Vendas!$U$29),IF(A460=$X$34,K460/(D460*Vendas!$U$30),IF(A460=$X$35,K460/(D460*Vendas!$U$31),IF(A460=$X$36,K460/(D460*Vendas!$U$32),0))))))))</f>
        <v>0.99297269566006419</v>
      </c>
      <c r="Q460" s="170">
        <f>IF(A460=$X$29,K460/(D460*Vendas!$U$25),IF(A460=$X$30,K460/(D460*Vendas!$U$26),IF(A460=$X$31,K460/(D460*Vendas!$U$27),IF(A460=$X$32,K460/(D460*Vendas!$U$28),IF(A460=$X$33,K460/(D460*Vendas!$U$29),IF(A460=$X$34,K460/(D460*Vendas!$U$30),IF(A460=$X$35,K460/(D460*Vendas!$U$31),IF(A460=$X$36,K460/(D460*Vendas!$U$32),0))))))))</f>
        <v>0.99297269566006419</v>
      </c>
    </row>
    <row r="461" spans="1:17">
      <c r="A461" s="263" t="s">
        <v>878</v>
      </c>
      <c r="B461" s="337" t="s">
        <v>616</v>
      </c>
      <c r="C461" s="73">
        <v>5</v>
      </c>
      <c r="D461" s="315">
        <v>268.16000000000003</v>
      </c>
      <c r="E461" s="166">
        <v>5122</v>
      </c>
      <c r="F461" s="74" t="s">
        <v>1506</v>
      </c>
      <c r="G461" s="34" t="str">
        <f t="shared" si="32"/>
        <v>XLV5LUIZ FERNANDO PORTELLO</v>
      </c>
      <c r="H461" s="40">
        <v>44258</v>
      </c>
      <c r="I461" s="35">
        <v>154160</v>
      </c>
      <c r="J461" s="35" t="s">
        <v>834</v>
      </c>
      <c r="K461" s="35">
        <v>33000</v>
      </c>
      <c r="L461" s="170">
        <f t="shared" si="33"/>
        <v>0.2140633108458744</v>
      </c>
      <c r="M461" s="154">
        <v>154160</v>
      </c>
      <c r="N461" s="170">
        <f t="shared" si="34"/>
        <v>0.2140633108458744</v>
      </c>
      <c r="O461" s="170">
        <f t="shared" si="35"/>
        <v>0.20552414129952018</v>
      </c>
      <c r="P461" s="170">
        <f>IF(A461=$X$29,K461/(D461*Vendas!$U$25),IF(A461=$X$30,K461/(D461*Vendas!$U$26),IF(A461=$X$31,K461/(D461*Vendas!$U$27),IF(A461=$X$32,K461/(D461*Vendas!$U$28),IF(A461=$X$33,K461/(D461*Vendas!$U$29),IF(A461=$X$34,K461/(D461*Vendas!$U$30),IF(A461=$X$35,K461/(D461*Vendas!$U$31),IF(A461=$X$36,K461/(D461*Vendas!$U$32),0))))))))</f>
        <v>0.24047404062964348</v>
      </c>
      <c r="Q461" s="170">
        <f>IF(A461=$X$29,K461/(D461*Vendas!$U$25),IF(A461=$X$30,K461/(D461*Vendas!$U$26),IF(A461=$X$31,K461/(D461*Vendas!$U$27),IF(A461=$X$32,K461/(D461*Vendas!$U$28),IF(A461=$X$33,K461/(D461*Vendas!$U$29),IF(A461=$X$34,K461/(D461*Vendas!$U$30),IF(A461=$X$35,K461/(D461*Vendas!$U$31),IF(A461=$X$36,K461/(D461*Vendas!$U$32),0))))))))</f>
        <v>0.24047404062964348</v>
      </c>
    </row>
    <row r="462" spans="1:17">
      <c r="A462" s="263" t="s">
        <v>878</v>
      </c>
      <c r="B462" s="337" t="s">
        <v>616</v>
      </c>
      <c r="C462" s="166">
        <v>7</v>
      </c>
      <c r="D462" s="197">
        <v>268.16000000000003</v>
      </c>
      <c r="E462" s="166">
        <v>5094</v>
      </c>
      <c r="F462" s="338" t="s">
        <v>1494</v>
      </c>
      <c r="G462" s="34" t="str">
        <f t="shared" si="32"/>
        <v>XLV7JOSE MARCELO TEIXEIRA COSTA</v>
      </c>
      <c r="H462" s="40">
        <v>44259</v>
      </c>
      <c r="I462" s="35">
        <v>155100</v>
      </c>
      <c r="J462" s="35" t="s">
        <v>834</v>
      </c>
      <c r="K462" s="35">
        <v>110000</v>
      </c>
      <c r="L462" s="170">
        <f t="shared" si="33"/>
        <v>0.70921985815602839</v>
      </c>
      <c r="M462" s="154">
        <v>155100</v>
      </c>
      <c r="N462" s="170">
        <f t="shared" si="34"/>
        <v>0.70921985815602839</v>
      </c>
      <c r="O462" s="170">
        <f t="shared" si="35"/>
        <v>0.68508047099840064</v>
      </c>
      <c r="P462" s="170">
        <f>IF(A462=$X$29,K462/(D462*Vendas!$U$25),IF(A462=$X$30,K462/(D462*Vendas!$U$26),IF(A462=$X$31,K462/(D462*Vendas!$U$27),IF(A462=$X$32,K462/(D462*Vendas!$U$28),IF(A462=$X$33,K462/(D462*Vendas!$U$29),IF(A462=$X$34,K462/(D462*Vendas!$U$30),IF(A462=$X$35,K462/(D462*Vendas!$U$31),IF(A462=$X$36,K462/(D462*Vendas!$U$32),0))))))))</f>
        <v>0.8015801354321449</v>
      </c>
      <c r="Q462" s="170">
        <f>IF(A462=$X$29,K462/(D462*Vendas!$U$25),IF(A462=$X$30,K462/(D462*Vendas!$U$26),IF(A462=$X$31,K462/(D462*Vendas!$U$27),IF(A462=$X$32,K462/(D462*Vendas!$U$28),IF(A462=$X$33,K462/(D462*Vendas!$U$29),IF(A462=$X$34,K462/(D462*Vendas!$U$30),IF(A462=$X$35,K462/(D462*Vendas!$U$31),IF(A462=$X$36,K462/(D462*Vendas!$U$32),0))))))))</f>
        <v>0.8015801354321449</v>
      </c>
    </row>
    <row r="463" spans="1:17">
      <c r="A463" s="263" t="s">
        <v>878</v>
      </c>
      <c r="B463" s="337" t="s">
        <v>616</v>
      </c>
      <c r="C463" s="73">
        <v>8</v>
      </c>
      <c r="D463" s="315">
        <v>268.16000000000003</v>
      </c>
      <c r="E463" s="166">
        <v>5117</v>
      </c>
      <c r="F463" s="74" t="s">
        <v>1495</v>
      </c>
      <c r="G463" s="34" t="str">
        <f t="shared" si="32"/>
        <v>XLV8ROBERTO HIROYUKI HIRAYAMA</v>
      </c>
      <c r="H463" s="40">
        <v>44266</v>
      </c>
      <c r="I463" s="35">
        <v>143726.1</v>
      </c>
      <c r="J463" s="35" t="s">
        <v>834</v>
      </c>
      <c r="K463" s="35">
        <v>107289</v>
      </c>
      <c r="L463" s="170">
        <f t="shared" si="33"/>
        <v>0.74648237167779541</v>
      </c>
      <c r="M463" s="154">
        <v>143985</v>
      </c>
      <c r="N463" s="170">
        <f t="shared" si="34"/>
        <v>0.74514011876237107</v>
      </c>
      <c r="O463" s="170">
        <f t="shared" si="35"/>
        <v>0.66819635139043099</v>
      </c>
      <c r="P463" s="170">
        <f>IF(A463=$X$29,K463/(D463*Vendas!$U$25),IF(A463=$X$30,K463/(D463*Vendas!$U$26),IF(A463=$X$31,K463/(D463*Vendas!$U$27),IF(A463=$X$32,K463/(D463*Vendas!$U$28),IF(A463=$X$33,K463/(D463*Vendas!$U$29),IF(A463=$X$34,K463/(D463*Vendas!$U$30),IF(A463=$X$35,K463/(D463*Vendas!$U$31),IF(A463=$X$36,K463/(D463*Vendas!$U$32),0))))))))</f>
        <v>0.78182482863981262</v>
      </c>
      <c r="Q463" s="170">
        <f>IF(A463=$X$29,K463/(D463*Vendas!$U$25),IF(A463=$X$30,K463/(D463*Vendas!$U$26),IF(A463=$X$31,K463/(D463*Vendas!$U$27),IF(A463=$X$32,K463/(D463*Vendas!$U$28),IF(A463=$X$33,K463/(D463*Vendas!$U$29),IF(A463=$X$34,K463/(D463*Vendas!$U$30),IF(A463=$X$35,K463/(D463*Vendas!$U$31),IF(A463=$X$36,K463/(D463*Vendas!$U$32),0))))))))</f>
        <v>0.78182482863981262</v>
      </c>
    </row>
    <row r="464" spans="1:17">
      <c r="A464" s="263" t="s">
        <v>878</v>
      </c>
      <c r="B464" s="337" t="s">
        <v>616</v>
      </c>
      <c r="C464" s="166">
        <v>11</v>
      </c>
      <c r="D464" s="197">
        <v>268.16000000000003</v>
      </c>
      <c r="E464" s="166">
        <v>3819</v>
      </c>
      <c r="F464" s="338" t="s">
        <v>1149</v>
      </c>
      <c r="G464" s="34" t="str">
        <f t="shared" si="32"/>
        <v>XLV11ALEX CAETANO DA SILVA</v>
      </c>
      <c r="H464" s="40">
        <v>43900</v>
      </c>
      <c r="I464" s="35">
        <v>129815.67999999999</v>
      </c>
      <c r="J464" s="35" t="s">
        <v>834</v>
      </c>
      <c r="K464" s="35">
        <v>125364.38</v>
      </c>
      <c r="L464" s="170">
        <f t="shared" si="33"/>
        <v>0.96571061369474021</v>
      </c>
      <c r="M464" s="154">
        <v>151826.12</v>
      </c>
      <c r="N464" s="170">
        <f t="shared" si="34"/>
        <v>0.82571022693591856</v>
      </c>
      <c r="O464" s="170">
        <f t="shared" si="35"/>
        <v>0.78076989542565889</v>
      </c>
      <c r="P464" s="170">
        <f>IF(A464=$X$29,K464/(D464*Vendas!$U$25),IF(A464=$X$30,K464/(D464*Vendas!$U$26),IF(A464=$X$31,K464/(D464*Vendas!$U$27),IF(A464=$X$32,K464/(D464*Vendas!$U$28),IF(A464=$X$33,K464/(D464*Vendas!$U$29),IF(A464=$X$34,K464/(D464*Vendas!$U$30),IF(A464=$X$35,K464/(D464*Vendas!$U$31),IF(A464=$X$36,K464/(D464*Vendas!$U$32),0))))))))</f>
        <v>0.91354178817060805</v>
      </c>
      <c r="Q464" s="170">
        <f>IF(A464=$X$29,K464/(D464*Vendas!$U$25),IF(A464=$X$30,K464/(D464*Vendas!$U$26),IF(A464=$X$31,K464/(D464*Vendas!$U$27),IF(A464=$X$32,K464/(D464*Vendas!$U$28),IF(A464=$X$33,K464/(D464*Vendas!$U$29),IF(A464=$X$34,K464/(D464*Vendas!$U$30),IF(A464=$X$35,K464/(D464*Vendas!$U$31),IF(A464=$X$36,K464/(D464*Vendas!$U$32),0))))))))</f>
        <v>0.91354178817060805</v>
      </c>
    </row>
    <row r="465" spans="1:17">
      <c r="A465" s="263" t="s">
        <v>878</v>
      </c>
      <c r="B465" s="337" t="s">
        <v>616</v>
      </c>
      <c r="C465" s="73">
        <v>12</v>
      </c>
      <c r="D465" s="315">
        <v>268.16000000000003</v>
      </c>
      <c r="E465" s="166">
        <v>4885</v>
      </c>
      <c r="F465" s="74" t="s">
        <v>1368</v>
      </c>
      <c r="G465" s="34" t="str">
        <f t="shared" si="32"/>
        <v>XLV12ANGELO MOZZAQUATRO</v>
      </c>
      <c r="H465" s="40">
        <v>44147</v>
      </c>
      <c r="I465" s="35">
        <v>137604.69</v>
      </c>
      <c r="J465" s="35" t="s">
        <v>834</v>
      </c>
      <c r="K465" s="35">
        <v>132708.62</v>
      </c>
      <c r="L465" s="170">
        <f t="shared" si="33"/>
        <v>0.96441930867327263</v>
      </c>
      <c r="M465" s="154">
        <v>148293.07</v>
      </c>
      <c r="N465" s="170">
        <f t="shared" si="34"/>
        <v>0.8949077660877881</v>
      </c>
      <c r="O465" s="170">
        <f t="shared" si="35"/>
        <v>0.82650985359225237</v>
      </c>
      <c r="P465" s="170">
        <f>IF(A465=$X$29,K465/(D465*Vendas!$U$25),IF(A465=$X$30,K465/(D465*Vendas!$U$26),IF(A465=$X$31,K465/(D465*Vendas!$U$27),IF(A465=$X$32,K465/(D465*Vendas!$U$28),IF(A465=$X$33,K465/(D465*Vendas!$U$29),IF(A465=$X$34,K465/(D465*Vendas!$U$30),IF(A465=$X$35,K465/(D465*Vendas!$U$31),IF(A465=$X$36,K465/(D465*Vendas!$U$32),0))))))))</f>
        <v>0.96705994175102772</v>
      </c>
      <c r="Q465" s="170">
        <f>IF(A465=$X$29,K465/(D465*Vendas!$U$25),IF(A465=$X$30,K465/(D465*Vendas!$U$26),IF(A465=$X$31,K465/(D465*Vendas!$U$27),IF(A465=$X$32,K465/(D465*Vendas!$U$28),IF(A465=$X$33,K465/(D465*Vendas!$U$29),IF(A465=$X$34,K465/(D465*Vendas!$U$30),IF(A465=$X$35,K465/(D465*Vendas!$U$31),IF(A465=$X$36,K465/(D465*Vendas!$U$32),0))))))))</f>
        <v>0.96705994175102772</v>
      </c>
    </row>
    <row r="466" spans="1:17">
      <c r="A466" s="263" t="s">
        <v>878</v>
      </c>
      <c r="B466" s="337" t="s">
        <v>616</v>
      </c>
      <c r="C466" s="166">
        <v>13</v>
      </c>
      <c r="D466" s="197">
        <v>268.16000000000003</v>
      </c>
      <c r="E466" s="166">
        <v>5047</v>
      </c>
      <c r="F466" s="338" t="s">
        <v>1480</v>
      </c>
      <c r="G466" s="34" t="str">
        <f t="shared" si="32"/>
        <v>XLV13EDUARDO AKIRA HIROTA</v>
      </c>
      <c r="H466" s="40">
        <v>44235</v>
      </c>
      <c r="I466" s="35">
        <v>138179.9</v>
      </c>
      <c r="J466" s="35" t="s">
        <v>834</v>
      </c>
      <c r="K466" s="35">
        <v>94228.540000000008</v>
      </c>
      <c r="L466" s="170">
        <f t="shared" si="33"/>
        <v>0.68192653200646414</v>
      </c>
      <c r="M466" s="154">
        <v>138665.21</v>
      </c>
      <c r="N466" s="170">
        <f t="shared" si="34"/>
        <v>0.67953987882036171</v>
      </c>
      <c r="O466" s="170">
        <f t="shared" si="35"/>
        <v>0.5868557505881058</v>
      </c>
      <c r="P466" s="170">
        <f>IF(A466=$X$29,K466/(D466*Vendas!$U$25),IF(A466=$X$30,K466/(D466*Vendas!$U$26),IF(A466=$X$31,K466/(D466*Vendas!$U$27),IF(A466=$X$32,K466/(D466*Vendas!$U$28),IF(A466=$X$33,K466/(D466*Vendas!$U$29),IF(A466=$X$34,K466/(D466*Vendas!$U$30),IF(A466=$X$35,K466/(D466*Vendas!$U$31),IF(A466=$X$36,K466/(D466*Vendas!$U$32),0))))))))</f>
        <v>0.68665205322521172</v>
      </c>
      <c r="Q466" s="170">
        <f>IF(A466=$X$29,K466/(D466*Vendas!$U$25),IF(A466=$X$30,K466/(D466*Vendas!$U$26),IF(A466=$X$31,K466/(D466*Vendas!$U$27),IF(A466=$X$32,K466/(D466*Vendas!$U$28),IF(A466=$X$33,K466/(D466*Vendas!$U$29),IF(A466=$X$34,K466/(D466*Vendas!$U$30),IF(A466=$X$35,K466/(D466*Vendas!$U$31),IF(A466=$X$36,K466/(D466*Vendas!$U$32),0))))))))</f>
        <v>0.68665205322521172</v>
      </c>
    </row>
    <row r="467" spans="1:17">
      <c r="A467" s="263" t="s">
        <v>878</v>
      </c>
      <c r="B467" s="337" t="s">
        <v>616</v>
      </c>
      <c r="C467" s="73">
        <v>19</v>
      </c>
      <c r="D467" s="315">
        <v>295.02999999999997</v>
      </c>
      <c r="E467" s="166">
        <v>4867</v>
      </c>
      <c r="F467" s="74" t="s">
        <v>1369</v>
      </c>
      <c r="G467" s="34" t="str">
        <f t="shared" si="32"/>
        <v>XLV19MATHEUS ASTH DA SILVA</v>
      </c>
      <c r="H467" s="40">
        <v>44138</v>
      </c>
      <c r="I467" s="35">
        <v>148519.79999999999</v>
      </c>
      <c r="J467" s="35" t="s">
        <v>834</v>
      </c>
      <c r="K467" s="35">
        <v>132170.57</v>
      </c>
      <c r="L467" s="170">
        <f t="shared" si="33"/>
        <v>0.88991885257049919</v>
      </c>
      <c r="M467" s="154">
        <v>158952.4</v>
      </c>
      <c r="N467" s="170">
        <f t="shared" si="34"/>
        <v>0.83151037669138694</v>
      </c>
      <c r="O467" s="170">
        <f t="shared" si="35"/>
        <v>0.74818928298220833</v>
      </c>
      <c r="P467" s="170">
        <f>IF(A467=$X$29,K467/(D467*Vendas!$U$25),IF(A467=$X$30,K467/(D467*Vendas!$U$26),IF(A467=$X$31,K467/(D467*Vendas!$U$27),IF(A467=$X$32,K467/(D467*Vendas!$U$28),IF(A467=$X$33,K467/(D467*Vendas!$U$29),IF(A467=$X$34,K467/(D467*Vendas!$U$30),IF(A467=$X$35,K467/(D467*Vendas!$U$31),IF(A467=$X$36,K467/(D467*Vendas!$U$32),0))))))))</f>
        <v>0.87542076029073967</v>
      </c>
      <c r="Q467" s="170">
        <f>IF(A467=$X$29,K467/(D467*Vendas!$U$25),IF(A467=$X$30,K467/(D467*Vendas!$U$26),IF(A467=$X$31,K467/(D467*Vendas!$U$27),IF(A467=$X$32,K467/(D467*Vendas!$U$28),IF(A467=$X$33,K467/(D467*Vendas!$U$29),IF(A467=$X$34,K467/(D467*Vendas!$U$30),IF(A467=$X$35,K467/(D467*Vendas!$U$31),IF(A467=$X$36,K467/(D467*Vendas!$U$32),0))))))))</f>
        <v>0.87542076029073967</v>
      </c>
    </row>
    <row r="468" spans="1:17">
      <c r="A468" s="263" t="s">
        <v>878</v>
      </c>
      <c r="B468" s="337" t="s">
        <v>617</v>
      </c>
      <c r="C468" s="166">
        <v>1</v>
      </c>
      <c r="D468" s="197">
        <v>275.70999999999998</v>
      </c>
      <c r="E468" s="166">
        <v>3149</v>
      </c>
      <c r="F468" s="338" t="s">
        <v>1070</v>
      </c>
      <c r="G468" s="34" t="str">
        <f t="shared" si="32"/>
        <v>XLVI1ROBERTO LUIZ REYS LOPEZ</v>
      </c>
      <c r="H468" s="40">
        <v>43761</v>
      </c>
      <c r="I468" s="35">
        <v>194694.97</v>
      </c>
      <c r="J468" s="35" t="s">
        <v>834</v>
      </c>
      <c r="K468" s="35">
        <v>55401.96</v>
      </c>
      <c r="L468" s="170">
        <f t="shared" si="33"/>
        <v>0.28455773664825545</v>
      </c>
      <c r="M468" s="154">
        <v>200899.80000000002</v>
      </c>
      <c r="N468" s="170">
        <f t="shared" si="34"/>
        <v>0.27576911475272747</v>
      </c>
      <c r="O468" s="170">
        <f t="shared" si="35"/>
        <v>0.33559502231308352</v>
      </c>
      <c r="P468" s="170">
        <f>IF(A468=$X$29,K468/(D468*Vendas!$U$25),IF(A468=$X$30,K468/(D468*Vendas!$U$26),IF(A468=$X$31,K468/(D468*Vendas!$U$27),IF(A468=$X$32,K468/(D468*Vendas!$U$28),IF(A468=$X$33,K468/(D468*Vendas!$U$29),IF(A468=$X$34,K468/(D468*Vendas!$U$30),IF(A468=$X$35,K468/(D468*Vendas!$U$31),IF(A468=$X$36,K468/(D468*Vendas!$U$32),0))))))))</f>
        <v>0.39266380348579977</v>
      </c>
      <c r="Q468" s="170">
        <f>IF(A468=$X$29,K468/(D468*Vendas!$U$25),IF(A468=$X$30,K468/(D468*Vendas!$U$26),IF(A468=$X$31,K468/(D468*Vendas!$U$27),IF(A468=$X$32,K468/(D468*Vendas!$U$28),IF(A468=$X$33,K468/(D468*Vendas!$U$29),IF(A468=$X$34,K468/(D468*Vendas!$U$30),IF(A468=$X$35,K468/(D468*Vendas!$U$31),IF(A468=$X$36,K468/(D468*Vendas!$U$32),0))))))))</f>
        <v>0.39266380348579977</v>
      </c>
    </row>
    <row r="469" spans="1:17">
      <c r="A469" s="263" t="s">
        <v>878</v>
      </c>
      <c r="B469" s="337" t="s">
        <v>617</v>
      </c>
      <c r="C469" s="73">
        <v>2</v>
      </c>
      <c r="D469" s="315">
        <v>275.70999999999998</v>
      </c>
      <c r="E469" s="166">
        <v>4849</v>
      </c>
      <c r="F469" s="74" t="s">
        <v>1355</v>
      </c>
      <c r="G469" s="34" t="str">
        <f t="shared" si="32"/>
        <v>XLVI2RENATO ZUNTINI MUNIZ MEIBORG</v>
      </c>
      <c r="H469" s="40">
        <v>44133</v>
      </c>
      <c r="I469" s="35">
        <v>146640</v>
      </c>
      <c r="J469" s="35" t="s">
        <v>834</v>
      </c>
      <c r="K469" s="35">
        <v>105629.16</v>
      </c>
      <c r="L469" s="170">
        <f t="shared" si="33"/>
        <v>0.72032978723404262</v>
      </c>
      <c r="M469" s="154">
        <v>150466.07</v>
      </c>
      <c r="N469" s="170">
        <f t="shared" si="34"/>
        <v>0.70201315153642274</v>
      </c>
      <c r="O469" s="170">
        <f t="shared" si="35"/>
        <v>0.63984415546150841</v>
      </c>
      <c r="P469" s="170">
        <f>IF(A469=$X$29,K469/(D469*Vendas!$U$25),IF(A469=$X$30,K469/(D469*Vendas!$U$26),IF(A469=$X$31,K469/(D469*Vendas!$U$27),IF(A469=$X$32,K469/(D469*Vendas!$U$28),IF(A469=$X$33,K469/(D469*Vendas!$U$29),IF(A469=$X$34,K469/(D469*Vendas!$U$30),IF(A469=$X$35,K469/(D469*Vendas!$U$31),IF(A469=$X$36,K469/(D469*Vendas!$U$32),0))))))))</f>
        <v>0.74865127018268129</v>
      </c>
      <c r="Q469" s="170">
        <f>IF(A469=$X$29,K469/(D469*Vendas!$U$25),IF(A469=$X$30,K469/(D469*Vendas!$U$26),IF(A469=$X$31,K469/(D469*Vendas!$U$27),IF(A469=$X$32,K469/(D469*Vendas!$U$28),IF(A469=$X$33,K469/(D469*Vendas!$U$29),IF(A469=$X$34,K469/(D469*Vendas!$U$30),IF(A469=$X$35,K469/(D469*Vendas!$U$31),IF(A469=$X$36,K469/(D469*Vendas!$U$32),0))))))))</f>
        <v>0.74865127018268129</v>
      </c>
    </row>
    <row r="470" spans="1:17">
      <c r="A470" s="263" t="s">
        <v>878</v>
      </c>
      <c r="B470" s="337" t="s">
        <v>617</v>
      </c>
      <c r="C470" s="166">
        <v>3</v>
      </c>
      <c r="D470" s="197">
        <v>252.75</v>
      </c>
      <c r="E470" s="166">
        <v>4912</v>
      </c>
      <c r="F470" s="338" t="s">
        <v>1380</v>
      </c>
      <c r="G470" s="34" t="str">
        <f t="shared" si="32"/>
        <v>XLVI3PEDRO LUIS ALVES DE OLIVEIRA</v>
      </c>
      <c r="H470" s="40">
        <v>44166</v>
      </c>
      <c r="I470" s="35">
        <v>153043.28</v>
      </c>
      <c r="J470" s="35" t="s">
        <v>834</v>
      </c>
      <c r="K470" s="35">
        <v>150345.4</v>
      </c>
      <c r="L470" s="170">
        <f t="shared" si="33"/>
        <v>0.98237178398162917</v>
      </c>
      <c r="M470" s="154">
        <v>162223.09</v>
      </c>
      <c r="N470" s="170">
        <f t="shared" si="34"/>
        <v>0.92678175468116164</v>
      </c>
      <c r="O470" s="170">
        <f t="shared" si="35"/>
        <v>0.9934405433576774</v>
      </c>
      <c r="P470" s="170">
        <f>IF(A470=$X$29,K470/(D470*Vendas!$U$25),IF(A470=$X$30,K470/(D470*Vendas!$U$26),IF(A470=$X$31,K470/(D470*Vendas!$U$27),IF(A470=$X$32,K470/(D470*Vendas!$U$28),IF(A470=$X$33,K470/(D470*Vendas!$U$29),IF(A470=$X$34,K470/(D470*Vendas!$U$30),IF(A470=$X$35,K470/(D470*Vendas!$U$31),IF(A470=$X$36,K470/(D470*Vendas!$U$32),0))))))))</f>
        <v>1.162377616935879</v>
      </c>
      <c r="Q470" s="170">
        <f>IF(A470=$X$29,K470/(D470*Vendas!$U$25),IF(A470=$X$30,K470/(D470*Vendas!$U$26),IF(A470=$X$31,K470/(D470*Vendas!$U$27),IF(A470=$X$32,K470/(D470*Vendas!$U$28),IF(A470=$X$33,K470/(D470*Vendas!$U$29),IF(A470=$X$34,K470/(D470*Vendas!$U$30),IF(A470=$X$35,K470/(D470*Vendas!$U$31),IF(A470=$X$36,K470/(D470*Vendas!$U$32),0))))))))</f>
        <v>1.162377616935879</v>
      </c>
    </row>
    <row r="471" spans="1:17">
      <c r="A471" s="263" t="s">
        <v>878</v>
      </c>
      <c r="B471" s="337" t="s">
        <v>617</v>
      </c>
      <c r="C471" s="73">
        <v>4</v>
      </c>
      <c r="D471" s="315">
        <v>252.75</v>
      </c>
      <c r="E471" s="166"/>
      <c r="F471" s="74" t="s">
        <v>933</v>
      </c>
      <c r="G471" s="34" t="str">
        <f t="shared" si="32"/>
        <v>XLVI4PAULO MASSAYOSHI TANNO</v>
      </c>
      <c r="H471" s="40">
        <v>43514</v>
      </c>
      <c r="I471" s="35">
        <v>136300</v>
      </c>
      <c r="J471" s="35" t="s">
        <v>1250</v>
      </c>
      <c r="K471" s="35">
        <v>92827.09</v>
      </c>
      <c r="L471" s="170">
        <f t="shared" si="33"/>
        <v>0.68104981658107111</v>
      </c>
      <c r="M471" s="154">
        <v>166666.05000000002</v>
      </c>
      <c r="N471" s="170">
        <f t="shared" si="34"/>
        <v>0.55696460076902277</v>
      </c>
      <c r="O471" s="170">
        <f t="shared" si="35"/>
        <v>0.6133755653841888</v>
      </c>
      <c r="P471" s="170">
        <f>IF(A471=$X$29,K471/(D471*Vendas!$U$25),IF(A471=$X$30,K471/(D471*Vendas!$U$26),IF(A471=$X$31,K471/(D471*Vendas!$U$27),IF(A471=$X$32,K471/(D471*Vendas!$U$28),IF(A471=$X$33,K471/(D471*Vendas!$U$29),IF(A471=$X$34,K471/(D471*Vendas!$U$30),IF(A471=$X$35,K471/(D471*Vendas!$U$31),IF(A471=$X$36,K471/(D471*Vendas!$U$32),0))))))))</f>
        <v>0.71768162950973136</v>
      </c>
      <c r="Q471" s="170">
        <f>IF(A471=$X$29,K471/(D471*Vendas!$U$25),IF(A471=$X$30,K471/(D471*Vendas!$U$26),IF(A471=$X$31,K471/(D471*Vendas!$U$27),IF(A471=$X$32,K471/(D471*Vendas!$U$28),IF(A471=$X$33,K471/(D471*Vendas!$U$29),IF(A471=$X$34,K471/(D471*Vendas!$U$30),IF(A471=$X$35,K471/(D471*Vendas!$U$31),IF(A471=$X$36,K471/(D471*Vendas!$U$32),0))))))))</f>
        <v>0.71768162950973136</v>
      </c>
    </row>
    <row r="472" spans="1:17">
      <c r="A472" s="263" t="s">
        <v>878</v>
      </c>
      <c r="B472" s="337" t="s">
        <v>617</v>
      </c>
      <c r="C472" s="166">
        <v>5</v>
      </c>
      <c r="D472" s="197">
        <v>252.75</v>
      </c>
      <c r="E472" s="166">
        <v>4683</v>
      </c>
      <c r="F472" s="338" t="s">
        <v>1262</v>
      </c>
      <c r="G472" s="34" t="str">
        <f t="shared" si="32"/>
        <v>XLVI5GIOVANNA NATALIE RIBEIRO DE CASTRO</v>
      </c>
      <c r="H472" s="40">
        <v>44057</v>
      </c>
      <c r="I472" s="35">
        <v>137240</v>
      </c>
      <c r="J472" s="35" t="s">
        <v>834</v>
      </c>
      <c r="K472" s="35">
        <v>139342.47</v>
      </c>
      <c r="L472" s="170">
        <f t="shared" si="33"/>
        <v>1.0153196589915476</v>
      </c>
      <c r="M472" s="154">
        <v>153632.46</v>
      </c>
      <c r="N472" s="170">
        <f t="shared" si="34"/>
        <v>0.90698586743973253</v>
      </c>
      <c r="O472" s="170">
        <f t="shared" si="35"/>
        <v>0.92073624540292465</v>
      </c>
      <c r="P472" s="170">
        <f>IF(A472=$X$29,K472/(D472*Vendas!$U$25),IF(A472=$X$30,K472/(D472*Vendas!$U$26),IF(A472=$X$31,K472/(D472*Vendas!$U$27),IF(A472=$X$32,K472/(D472*Vendas!$U$28),IF(A472=$X$33,K472/(D472*Vendas!$U$29),IF(A472=$X$34,K472/(D472*Vendas!$U$30),IF(A472=$X$35,K472/(D472*Vendas!$U$31),IF(A472=$X$36,K472/(D472*Vendas!$U$32),0))))))))</f>
        <v>1.0773097694812028</v>
      </c>
      <c r="Q472" s="170">
        <f>IF(A472=$X$29,K472/(D472*Vendas!$U$25),IF(A472=$X$30,K472/(D472*Vendas!$U$26),IF(A472=$X$31,K472/(D472*Vendas!$U$27),IF(A472=$X$32,K472/(D472*Vendas!$U$28),IF(A472=$X$33,K472/(D472*Vendas!$U$29),IF(A472=$X$34,K472/(D472*Vendas!$U$30),IF(A472=$X$35,K472/(D472*Vendas!$U$31),IF(A472=$X$36,K472/(D472*Vendas!$U$32),0))))))))</f>
        <v>1.0773097694812028</v>
      </c>
    </row>
    <row r="473" spans="1:17">
      <c r="A473" s="263" t="s">
        <v>878</v>
      </c>
      <c r="B473" s="337" t="s">
        <v>617</v>
      </c>
      <c r="C473" s="73">
        <v>6</v>
      </c>
      <c r="D473" s="315">
        <v>252.75</v>
      </c>
      <c r="E473" s="166">
        <v>4518</v>
      </c>
      <c r="F473" s="74" t="s">
        <v>1232</v>
      </c>
      <c r="G473" s="34" t="str">
        <f t="shared" si="32"/>
        <v>XLVI6RAFAELA MAICHAK DE CARVALHO</v>
      </c>
      <c r="H473" s="40">
        <v>44015</v>
      </c>
      <c r="I473" s="35">
        <v>138604.53</v>
      </c>
      <c r="J473" s="35" t="s">
        <v>834</v>
      </c>
      <c r="K473" s="35">
        <v>105510.90000000001</v>
      </c>
      <c r="L473" s="170">
        <f t="shared" si="33"/>
        <v>0.76123702450417752</v>
      </c>
      <c r="M473" s="154">
        <v>153757.09</v>
      </c>
      <c r="N473" s="170">
        <f t="shared" si="34"/>
        <v>0.68621811195828442</v>
      </c>
      <c r="O473" s="170">
        <f t="shared" si="35"/>
        <v>0.69718665038077376</v>
      </c>
      <c r="P473" s="170">
        <f>IF(A473=$X$29,K473/(D473*Vendas!$U$25),IF(A473=$X$30,K473/(D473*Vendas!$U$26),IF(A473=$X$31,K473/(D473*Vendas!$U$27),IF(A473=$X$32,K473/(D473*Vendas!$U$28),IF(A473=$X$33,K473/(D473*Vendas!$U$29),IF(A473=$X$34,K473/(D473*Vendas!$U$30),IF(A473=$X$35,K473/(D473*Vendas!$U$31),IF(A473=$X$36,K473/(D473*Vendas!$U$32),0))))))))</f>
        <v>0.81574500119564586</v>
      </c>
      <c r="Q473" s="170">
        <f>IF(A473=$X$29,K473/(D473*Vendas!$U$25),IF(A473=$X$30,K473/(D473*Vendas!$U$26),IF(A473=$X$31,K473/(D473*Vendas!$U$27),IF(A473=$X$32,K473/(D473*Vendas!$U$28),IF(A473=$X$33,K473/(D473*Vendas!$U$29),IF(A473=$X$34,K473/(D473*Vendas!$U$30),IF(A473=$X$35,K473/(D473*Vendas!$U$31),IF(A473=$X$36,K473/(D473*Vendas!$U$32),0))))))))</f>
        <v>0.81574500119564586</v>
      </c>
    </row>
    <row r="474" spans="1:17">
      <c r="A474" s="263" t="s">
        <v>878</v>
      </c>
      <c r="B474" s="337" t="s">
        <v>617</v>
      </c>
      <c r="C474" s="166">
        <v>7</v>
      </c>
      <c r="D474" s="197">
        <v>252.75</v>
      </c>
      <c r="E474" s="166">
        <v>4878</v>
      </c>
      <c r="F474" s="338" t="s">
        <v>1365</v>
      </c>
      <c r="G474" s="34" t="str">
        <f t="shared" si="32"/>
        <v>XLVI7JOAO BATISTA DE LIMA</v>
      </c>
      <c r="H474" s="40">
        <v>44162</v>
      </c>
      <c r="I474" s="35">
        <v>141000</v>
      </c>
      <c r="J474" s="35" t="s">
        <v>834</v>
      </c>
      <c r="K474" s="35">
        <v>95866.26</v>
      </c>
      <c r="L474" s="170">
        <f t="shared" si="33"/>
        <v>0.67990255319148929</v>
      </c>
      <c r="M474" s="154">
        <v>144438.51</v>
      </c>
      <c r="N474" s="170">
        <f t="shared" si="34"/>
        <v>0.66371676085553633</v>
      </c>
      <c r="O474" s="170">
        <f t="shared" si="35"/>
        <v>0.63345755456481123</v>
      </c>
      <c r="P474" s="170">
        <f>IF(A474=$X$29,K474/(D474*Vendas!$U$25),IF(A474=$X$30,K474/(D474*Vendas!$U$26),IF(A474=$X$31,K474/(D474*Vendas!$U$27),IF(A474=$X$32,K474/(D474*Vendas!$U$28),IF(A474=$X$33,K474/(D474*Vendas!$U$29),IF(A474=$X$34,K474/(D474*Vendas!$U$30),IF(A474=$X$35,K474/(D474*Vendas!$U$31),IF(A474=$X$36,K474/(D474*Vendas!$U$32),0))))))))</f>
        <v>0.74117861167255783</v>
      </c>
      <c r="Q474" s="170">
        <f>IF(A474=$X$29,K474/(D474*Vendas!$U$25),IF(A474=$X$30,K474/(D474*Vendas!$U$26),IF(A474=$X$31,K474/(D474*Vendas!$U$27),IF(A474=$X$32,K474/(D474*Vendas!$U$28),IF(A474=$X$33,K474/(D474*Vendas!$U$29),IF(A474=$X$34,K474/(D474*Vendas!$U$30),IF(A474=$X$35,K474/(D474*Vendas!$U$31),IF(A474=$X$36,K474/(D474*Vendas!$U$32),0))))))))</f>
        <v>0.74117861167255783</v>
      </c>
    </row>
    <row r="475" spans="1:17">
      <c r="A475" s="263" t="s">
        <v>878</v>
      </c>
      <c r="B475" s="337" t="s">
        <v>617</v>
      </c>
      <c r="C475" s="73">
        <v>8</v>
      </c>
      <c r="D475" s="315">
        <v>252.75</v>
      </c>
      <c r="E475" s="166">
        <v>4879</v>
      </c>
      <c r="F475" s="74" t="s">
        <v>1365</v>
      </c>
      <c r="G475" s="34" t="str">
        <f t="shared" si="32"/>
        <v>XLVI8JOAO BATISTA DE LIMA</v>
      </c>
      <c r="H475" s="40">
        <v>44162</v>
      </c>
      <c r="I475" s="35">
        <v>141000</v>
      </c>
      <c r="J475" s="35" t="s">
        <v>834</v>
      </c>
      <c r="K475" s="35">
        <v>95866.26</v>
      </c>
      <c r="L475" s="170">
        <f t="shared" si="33"/>
        <v>0.67990255319148929</v>
      </c>
      <c r="M475" s="154">
        <v>144438.51</v>
      </c>
      <c r="N475" s="170">
        <f t="shared" si="34"/>
        <v>0.66371676085553633</v>
      </c>
      <c r="O475" s="170">
        <f t="shared" si="35"/>
        <v>0.63345755456481123</v>
      </c>
      <c r="P475" s="170">
        <f>IF(A475=$X$29,K475/(D475*Vendas!$U$25),IF(A475=$X$30,K475/(D475*Vendas!$U$26),IF(A475=$X$31,K475/(D475*Vendas!$U$27),IF(A475=$X$32,K475/(D475*Vendas!$U$28),IF(A475=$X$33,K475/(D475*Vendas!$U$29),IF(A475=$X$34,K475/(D475*Vendas!$U$30),IF(A475=$X$35,K475/(D475*Vendas!$U$31),IF(A475=$X$36,K475/(D475*Vendas!$U$32),0))))))))</f>
        <v>0.74117861167255783</v>
      </c>
      <c r="Q475" s="170">
        <f>IF(A475=$X$29,K475/(D475*Vendas!$U$25),IF(A475=$X$30,K475/(D475*Vendas!$U$26),IF(A475=$X$31,K475/(D475*Vendas!$U$27),IF(A475=$X$32,K475/(D475*Vendas!$U$28),IF(A475=$X$33,K475/(D475*Vendas!$U$29),IF(A475=$X$34,K475/(D475*Vendas!$U$30),IF(A475=$X$35,K475/(D475*Vendas!$U$31),IF(A475=$X$36,K475/(D475*Vendas!$U$32),0))))))))</f>
        <v>0.74117861167255783</v>
      </c>
    </row>
    <row r="476" spans="1:17">
      <c r="A476" s="263" t="s">
        <v>878</v>
      </c>
      <c r="B476" s="337" t="s">
        <v>617</v>
      </c>
      <c r="C476" s="166">
        <v>9</v>
      </c>
      <c r="D476" s="197">
        <v>252.75</v>
      </c>
      <c r="E476" s="166">
        <v>4880</v>
      </c>
      <c r="F476" s="338" t="s">
        <v>1365</v>
      </c>
      <c r="G476" s="34" t="str">
        <f t="shared" si="32"/>
        <v>XLVI9JOAO BATISTA DE LIMA</v>
      </c>
      <c r="H476" s="40">
        <v>44162</v>
      </c>
      <c r="I476" s="35">
        <v>141000</v>
      </c>
      <c r="J476" s="35" t="s">
        <v>834</v>
      </c>
      <c r="K476" s="35">
        <v>95866.26</v>
      </c>
      <c r="L476" s="170">
        <f t="shared" si="33"/>
        <v>0.67990255319148929</v>
      </c>
      <c r="M476" s="154">
        <v>144438.51</v>
      </c>
      <c r="N476" s="170">
        <f t="shared" si="34"/>
        <v>0.66371676085553633</v>
      </c>
      <c r="O476" s="170">
        <f t="shared" si="35"/>
        <v>0.63345755456481123</v>
      </c>
      <c r="P476" s="170">
        <f>IF(A476=$X$29,K476/(D476*Vendas!$U$25),IF(A476=$X$30,K476/(D476*Vendas!$U$26),IF(A476=$X$31,K476/(D476*Vendas!$U$27),IF(A476=$X$32,K476/(D476*Vendas!$U$28),IF(A476=$X$33,K476/(D476*Vendas!$U$29),IF(A476=$X$34,K476/(D476*Vendas!$U$30),IF(A476=$X$35,K476/(D476*Vendas!$U$31),IF(A476=$X$36,K476/(D476*Vendas!$U$32),0))))))))</f>
        <v>0.74117861167255783</v>
      </c>
      <c r="Q476" s="170">
        <f>IF(A476=$X$29,K476/(D476*Vendas!$U$25),IF(A476=$X$30,K476/(D476*Vendas!$U$26),IF(A476=$X$31,K476/(D476*Vendas!$U$27),IF(A476=$X$32,K476/(D476*Vendas!$U$28),IF(A476=$X$33,K476/(D476*Vendas!$U$29),IF(A476=$X$34,K476/(D476*Vendas!$U$30),IF(A476=$X$35,K476/(D476*Vendas!$U$31),IF(A476=$X$36,K476/(D476*Vendas!$U$32),0))))))))</f>
        <v>0.74117861167255783</v>
      </c>
    </row>
    <row r="477" spans="1:17">
      <c r="A477" s="263" t="s">
        <v>878</v>
      </c>
      <c r="B477" s="337" t="s">
        <v>617</v>
      </c>
      <c r="C477" s="73">
        <v>10</v>
      </c>
      <c r="D477" s="315">
        <v>252.75</v>
      </c>
      <c r="E477" s="166">
        <v>4882</v>
      </c>
      <c r="F477" s="74" t="s">
        <v>1365</v>
      </c>
      <c r="G477" s="34" t="str">
        <f t="shared" si="32"/>
        <v>XLVI10JOAO BATISTA DE LIMA</v>
      </c>
      <c r="H477" s="40">
        <v>44162</v>
      </c>
      <c r="I477" s="35">
        <v>141000</v>
      </c>
      <c r="J477" s="35" t="s">
        <v>834</v>
      </c>
      <c r="K477" s="35">
        <v>95866.26</v>
      </c>
      <c r="L477" s="170">
        <f t="shared" si="33"/>
        <v>0.67990255319148929</v>
      </c>
      <c r="M477" s="154">
        <v>144438.51</v>
      </c>
      <c r="N477" s="170">
        <f t="shared" si="34"/>
        <v>0.66371676085553633</v>
      </c>
      <c r="O477" s="170">
        <f t="shared" si="35"/>
        <v>0.63345755456481123</v>
      </c>
      <c r="P477" s="170">
        <f>IF(A477=$X$29,K477/(D477*Vendas!$U$25),IF(A477=$X$30,K477/(D477*Vendas!$U$26),IF(A477=$X$31,K477/(D477*Vendas!$U$27),IF(A477=$X$32,K477/(D477*Vendas!$U$28),IF(A477=$X$33,K477/(D477*Vendas!$U$29),IF(A477=$X$34,K477/(D477*Vendas!$U$30),IF(A477=$X$35,K477/(D477*Vendas!$U$31),IF(A477=$X$36,K477/(D477*Vendas!$U$32),0))))))))</f>
        <v>0.74117861167255783</v>
      </c>
      <c r="Q477" s="170">
        <f>IF(A477=$X$29,K477/(D477*Vendas!$U$25),IF(A477=$X$30,K477/(D477*Vendas!$U$26),IF(A477=$X$31,K477/(D477*Vendas!$U$27),IF(A477=$X$32,K477/(D477*Vendas!$U$28),IF(A477=$X$33,K477/(D477*Vendas!$U$29),IF(A477=$X$34,K477/(D477*Vendas!$U$30),IF(A477=$X$35,K477/(D477*Vendas!$U$31),IF(A477=$X$36,K477/(D477*Vendas!$U$32),0))))))))</f>
        <v>0.74117861167255783</v>
      </c>
    </row>
    <row r="478" spans="1:17">
      <c r="A478" s="263" t="s">
        <v>878</v>
      </c>
      <c r="B478" s="337" t="s">
        <v>617</v>
      </c>
      <c r="C478" s="166">
        <v>11</v>
      </c>
      <c r="D478" s="197">
        <v>252.75</v>
      </c>
      <c r="E478" s="166">
        <v>5003</v>
      </c>
      <c r="F478" s="338" t="s">
        <v>1416</v>
      </c>
      <c r="G478" s="34" t="str">
        <f t="shared" si="32"/>
        <v>XLVI11ROBSON SAKAMOTO BATILANI</v>
      </c>
      <c r="H478" s="40">
        <v>44215</v>
      </c>
      <c r="I478" s="35">
        <v>159800</v>
      </c>
      <c r="J478" s="35" t="s">
        <v>834</v>
      </c>
      <c r="K478" s="35">
        <v>155691.53</v>
      </c>
      <c r="L478" s="170">
        <f t="shared" si="33"/>
        <v>0.97428992490613264</v>
      </c>
      <c r="M478" s="154">
        <v>166190.98000000001</v>
      </c>
      <c r="N478" s="170">
        <f t="shared" si="34"/>
        <v>0.93682298521857199</v>
      </c>
      <c r="O478" s="170">
        <f t="shared" si="35"/>
        <v>1.028766281904123</v>
      </c>
      <c r="P478" s="170">
        <f>IF(A478=$X$29,K478/(D478*Vendas!$U$25),IF(A478=$X$30,K478/(D478*Vendas!$U$26),IF(A478=$X$31,K478/(D478*Vendas!$U$27),IF(A478=$X$32,K478/(D478*Vendas!$U$28),IF(A478=$X$33,K478/(D478*Vendas!$U$29),IF(A478=$X$34,K478/(D478*Vendas!$U$30),IF(A478=$X$35,K478/(D478*Vendas!$U$31),IF(A478=$X$36,K478/(D478*Vendas!$U$32),0))))))))</f>
        <v>1.2037105865460529</v>
      </c>
      <c r="Q478" s="170">
        <f>IF(A478=$X$29,K478/(D478*Vendas!$U$25),IF(A478=$X$30,K478/(D478*Vendas!$U$26),IF(A478=$X$31,K478/(D478*Vendas!$U$27),IF(A478=$X$32,K478/(D478*Vendas!$U$28),IF(A478=$X$33,K478/(D478*Vendas!$U$29),IF(A478=$X$34,K478/(D478*Vendas!$U$30),IF(A478=$X$35,K478/(D478*Vendas!$U$31),IF(A478=$X$36,K478/(D478*Vendas!$U$32),0))))))))</f>
        <v>1.2037105865460529</v>
      </c>
    </row>
    <row r="479" spans="1:17">
      <c r="A479" s="263" t="s">
        <v>878</v>
      </c>
      <c r="B479" s="337" t="s">
        <v>617</v>
      </c>
      <c r="C479" s="73">
        <v>12</v>
      </c>
      <c r="D479" s="315">
        <v>252.75</v>
      </c>
      <c r="E479" s="166">
        <v>4977</v>
      </c>
      <c r="F479" s="74" t="s">
        <v>1417</v>
      </c>
      <c r="G479" s="34" t="str">
        <f t="shared" si="32"/>
        <v>XLVI12ALESSANDRO LUIS LEITE</v>
      </c>
      <c r="H479" s="40">
        <v>44208</v>
      </c>
      <c r="I479" s="35">
        <v>160694.46</v>
      </c>
      <c r="J479" s="35" t="s">
        <v>834</v>
      </c>
      <c r="K479" s="35">
        <v>157618.30000000002</v>
      </c>
      <c r="L479" s="170">
        <f t="shared" si="33"/>
        <v>0.98085708741919309</v>
      </c>
      <c r="M479" s="154">
        <v>167370.67000000001</v>
      </c>
      <c r="N479" s="170">
        <f t="shared" si="34"/>
        <v>0.94173190559612385</v>
      </c>
      <c r="O479" s="170">
        <f t="shared" si="35"/>
        <v>1.0414978416041556</v>
      </c>
      <c r="P479" s="170">
        <f>IF(A479=$X$29,K479/(D479*Vendas!$U$25),IF(A479=$X$30,K479/(D479*Vendas!$U$26),IF(A479=$X$31,K479/(D479*Vendas!$U$27),IF(A479=$X$32,K479/(D479*Vendas!$U$28),IF(A479=$X$33,K479/(D479*Vendas!$U$29),IF(A479=$X$34,K479/(D479*Vendas!$U$30),IF(A479=$X$35,K479/(D479*Vendas!$U$31),IF(A479=$X$36,K479/(D479*Vendas!$U$32),0))))))))</f>
        <v>1.2186071801297844</v>
      </c>
      <c r="Q479" s="170">
        <f>IF(A479=$X$29,K479/(D479*Vendas!$U$25),IF(A479=$X$30,K479/(D479*Vendas!$U$26),IF(A479=$X$31,K479/(D479*Vendas!$U$27),IF(A479=$X$32,K479/(D479*Vendas!$U$28),IF(A479=$X$33,K479/(D479*Vendas!$U$29),IF(A479=$X$34,K479/(D479*Vendas!$U$30),IF(A479=$X$35,K479/(D479*Vendas!$U$31),IF(A479=$X$36,K479/(D479*Vendas!$U$32),0))))))))</f>
        <v>1.2186071801297844</v>
      </c>
    </row>
    <row r="480" spans="1:17">
      <c r="A480" s="263" t="s">
        <v>878</v>
      </c>
      <c r="B480" s="337" t="s">
        <v>617</v>
      </c>
      <c r="C480" s="166">
        <v>13</v>
      </c>
      <c r="D480" s="197">
        <v>252.75</v>
      </c>
      <c r="E480" s="166">
        <v>5008</v>
      </c>
      <c r="F480" s="338" t="s">
        <v>1481</v>
      </c>
      <c r="G480" s="34" t="str">
        <f t="shared" si="32"/>
        <v>XLVI13ELIZEU ABEL TRINDADE</v>
      </c>
      <c r="H480" s="40">
        <v>44228</v>
      </c>
      <c r="I480" s="35">
        <v>155874.56</v>
      </c>
      <c r="J480" s="35" t="s">
        <v>834</v>
      </c>
      <c r="K480" s="35">
        <v>150640.34</v>
      </c>
      <c r="L480" s="170">
        <f t="shared" si="33"/>
        <v>0.96642030617440078</v>
      </c>
      <c r="M480" s="154">
        <v>159084.16</v>
      </c>
      <c r="N480" s="170">
        <f t="shared" si="34"/>
        <v>0.94692230829266721</v>
      </c>
      <c r="O480" s="170">
        <f t="shared" si="35"/>
        <v>0.99538942475915637</v>
      </c>
      <c r="P480" s="170">
        <f>IF(A480=$X$29,K480/(D480*Vendas!$U$25),IF(A480=$X$30,K480/(D480*Vendas!$U$26),IF(A480=$X$31,K480/(D480*Vendas!$U$27),IF(A480=$X$32,K480/(D480*Vendas!$U$28),IF(A480=$X$33,K480/(D480*Vendas!$U$29),IF(A480=$X$34,K480/(D480*Vendas!$U$30),IF(A480=$X$35,K480/(D480*Vendas!$U$31),IF(A480=$X$36,K480/(D480*Vendas!$U$32),0))))))))</f>
        <v>1.1646579105420622</v>
      </c>
      <c r="Q480" s="170">
        <f>IF(A480=$X$29,K480/(D480*Vendas!$U$25),IF(A480=$X$30,K480/(D480*Vendas!$U$26),IF(A480=$X$31,K480/(D480*Vendas!$U$27),IF(A480=$X$32,K480/(D480*Vendas!$U$28),IF(A480=$X$33,K480/(D480*Vendas!$U$29),IF(A480=$X$34,K480/(D480*Vendas!$U$30),IF(A480=$X$35,K480/(D480*Vendas!$U$31),IF(A480=$X$36,K480/(D480*Vendas!$U$32),0))))))))</f>
        <v>1.1646579105420622</v>
      </c>
    </row>
    <row r="481" spans="1:17">
      <c r="A481" s="263" t="s">
        <v>878</v>
      </c>
      <c r="B481" s="337" t="s">
        <v>617</v>
      </c>
      <c r="C481" s="73">
        <v>14</v>
      </c>
      <c r="D481" s="315">
        <v>252.75</v>
      </c>
      <c r="E481" s="166">
        <v>5044</v>
      </c>
      <c r="F481" s="74" t="s">
        <v>1482</v>
      </c>
      <c r="G481" s="34" t="str">
        <f t="shared" si="32"/>
        <v>XLVI14RODRIGO CLIVATI SCERBO</v>
      </c>
      <c r="H481" s="40">
        <v>44238</v>
      </c>
      <c r="I481" s="35">
        <v>160694.75</v>
      </c>
      <c r="J481" s="35" t="s">
        <v>834</v>
      </c>
      <c r="K481" s="35">
        <v>156086.04</v>
      </c>
      <c r="L481" s="170">
        <f t="shared" si="33"/>
        <v>0.9713200960205608</v>
      </c>
      <c r="M481" s="154">
        <v>164215.37</v>
      </c>
      <c r="N481" s="170">
        <f t="shared" si="34"/>
        <v>0.95049592495513668</v>
      </c>
      <c r="O481" s="170">
        <f t="shared" si="35"/>
        <v>1.0313730941428749</v>
      </c>
      <c r="P481" s="170">
        <f>IF(A481=$X$29,K481/(D481*Vendas!$U$25),IF(A481=$X$30,K481/(D481*Vendas!$U$26),IF(A481=$X$31,K481/(D481*Vendas!$U$27),IF(A481=$X$32,K481/(D481*Vendas!$U$28),IF(A481=$X$33,K481/(D481*Vendas!$U$29),IF(A481=$X$34,K481/(D481*Vendas!$U$30),IF(A481=$X$35,K481/(D481*Vendas!$U$31),IF(A481=$X$36,K481/(D481*Vendas!$U$32),0))))))))</f>
        <v>1.2067606937901545</v>
      </c>
      <c r="Q481" s="170">
        <f>IF(A481=$X$29,K481/(D481*Vendas!$U$25),IF(A481=$X$30,K481/(D481*Vendas!$U$26),IF(A481=$X$31,K481/(D481*Vendas!$U$27),IF(A481=$X$32,K481/(D481*Vendas!$U$28),IF(A481=$X$33,K481/(D481*Vendas!$U$29),IF(A481=$X$34,K481/(D481*Vendas!$U$30),IF(A481=$X$35,K481/(D481*Vendas!$U$31),IF(A481=$X$36,K481/(D481*Vendas!$U$32),0))))))))</f>
        <v>1.2067606937901545</v>
      </c>
    </row>
    <row r="482" spans="1:17">
      <c r="A482" s="263" t="s">
        <v>878</v>
      </c>
      <c r="B482" s="337" t="s">
        <v>617</v>
      </c>
      <c r="C482" s="166">
        <v>21</v>
      </c>
      <c r="D482" s="197">
        <v>252.75</v>
      </c>
      <c r="E482" s="166">
        <v>5046</v>
      </c>
      <c r="F482" s="338" t="s">
        <v>1483</v>
      </c>
      <c r="G482" s="34" t="str">
        <f t="shared" si="32"/>
        <v>XLVI21RENAN CAMPANA MARTINS</v>
      </c>
      <c r="H482" s="40">
        <v>44245</v>
      </c>
      <c r="I482" s="35">
        <v>156039.79999999999</v>
      </c>
      <c r="J482" s="35" t="s">
        <v>834</v>
      </c>
      <c r="K482" s="35">
        <v>147135.98000000001</v>
      </c>
      <c r="L482" s="170">
        <f t="shared" si="33"/>
        <v>0.94293878869365388</v>
      </c>
      <c r="M482" s="154">
        <v>158912.48000000001</v>
      </c>
      <c r="N482" s="170">
        <f t="shared" si="34"/>
        <v>0.92589317088248824</v>
      </c>
      <c r="O482" s="170">
        <f t="shared" si="35"/>
        <v>0.97223358957882566</v>
      </c>
      <c r="P482" s="170">
        <f>IF(A482=$X$29,K482/(D482*Vendas!$U$25),IF(A482=$X$30,K482/(D482*Vendas!$U$26),IF(A482=$X$31,K482/(D482*Vendas!$U$27),IF(A482=$X$32,K482/(D482*Vendas!$U$28),IF(A482=$X$33,K482/(D482*Vendas!$U$29),IF(A482=$X$34,K482/(D482*Vendas!$U$30),IF(A482=$X$35,K482/(D482*Vendas!$U$31),IF(A482=$X$36,K482/(D482*Vendas!$U$32),0))))))))</f>
        <v>1.1375643671035174</v>
      </c>
      <c r="Q482" s="170">
        <f>IF(A482=$X$29,K482/(D482*Vendas!$U$25),IF(A482=$X$30,K482/(D482*Vendas!$U$26),IF(A482=$X$31,K482/(D482*Vendas!$U$27),IF(A482=$X$32,K482/(D482*Vendas!$U$28),IF(A482=$X$33,K482/(D482*Vendas!$U$29),IF(A482=$X$34,K482/(D482*Vendas!$U$30),IF(A482=$X$35,K482/(D482*Vendas!$U$31),IF(A482=$X$36,K482/(D482*Vendas!$U$32),0))))))))</f>
        <v>1.1375643671035174</v>
      </c>
    </row>
    <row r="483" spans="1:17">
      <c r="A483" s="263" t="s">
        <v>878</v>
      </c>
      <c r="B483" s="337" t="s">
        <v>617</v>
      </c>
      <c r="C483" s="73">
        <v>22</v>
      </c>
      <c r="D483" s="315">
        <v>252.75</v>
      </c>
      <c r="E483" s="166">
        <v>5119</v>
      </c>
      <c r="F483" s="74" t="s">
        <v>1488</v>
      </c>
      <c r="G483" s="34" t="str">
        <f t="shared" si="32"/>
        <v>XLVI22LUCAS DONIZETTI BUENO DE CAMARGO</v>
      </c>
      <c r="H483" s="40">
        <v>44273</v>
      </c>
      <c r="I483" s="35">
        <v>199751.74</v>
      </c>
      <c r="J483" s="35" t="s">
        <v>834</v>
      </c>
      <c r="K483" s="35">
        <v>194979.4</v>
      </c>
      <c r="L483" s="170">
        <f t="shared" si="33"/>
        <v>0.97610864365937444</v>
      </c>
      <c r="M483" s="154">
        <v>200291.9</v>
      </c>
      <c r="N483" s="170">
        <f t="shared" si="34"/>
        <v>0.97347621146936048</v>
      </c>
      <c r="O483" s="170">
        <f t="shared" si="35"/>
        <v>1.2883695881586927</v>
      </c>
      <c r="P483" s="170">
        <f>IF(A483=$X$29,K483/(D483*Vendas!$U$25),IF(A483=$X$30,K483/(D483*Vendas!$U$26),IF(A483=$X$31,K483/(D483*Vendas!$U$27),IF(A483=$X$32,K483/(D483*Vendas!$U$28),IF(A483=$X$33,K483/(D483*Vendas!$U$29),IF(A483=$X$34,K483/(D483*Vendas!$U$30),IF(A483=$X$35,K483/(D483*Vendas!$U$31),IF(A483=$X$36,K483/(D483*Vendas!$U$32),0))))))))</f>
        <v>1.5074600907216817</v>
      </c>
      <c r="Q483" s="170">
        <f>IF(A483=$X$29,K483/(D483*Vendas!$U$25),IF(A483=$X$30,K483/(D483*Vendas!$U$26),IF(A483=$X$31,K483/(D483*Vendas!$U$27),IF(A483=$X$32,K483/(D483*Vendas!$U$28),IF(A483=$X$33,K483/(D483*Vendas!$U$29),IF(A483=$X$34,K483/(D483*Vendas!$U$30),IF(A483=$X$35,K483/(D483*Vendas!$U$31),IF(A483=$X$36,K483/(D483*Vendas!$U$32),0))))))))</f>
        <v>1.5074600907216817</v>
      </c>
    </row>
    <row r="484" spans="1:17">
      <c r="A484" s="263" t="s">
        <v>878</v>
      </c>
      <c r="B484" s="337" t="s">
        <v>618</v>
      </c>
      <c r="C484" s="166">
        <v>1</v>
      </c>
      <c r="D484" s="197">
        <v>351.33</v>
      </c>
      <c r="E484" s="166">
        <v>5109</v>
      </c>
      <c r="F484" s="338" t="s">
        <v>1496</v>
      </c>
      <c r="G484" s="34" t="str">
        <f t="shared" si="32"/>
        <v>XLVII1LAURA PEREIRA DE OLIVEIRA</v>
      </c>
      <c r="H484" s="40">
        <v>44256</v>
      </c>
      <c r="I484" s="35">
        <v>227157.61</v>
      </c>
      <c r="J484" s="35" t="s">
        <v>834</v>
      </c>
      <c r="K484" s="35">
        <v>219101.71</v>
      </c>
      <c r="L484" s="170">
        <f t="shared" si="33"/>
        <v>0.96453607695555521</v>
      </c>
      <c r="M484" s="154">
        <v>228768.02000000002</v>
      </c>
      <c r="N484" s="170">
        <f t="shared" si="34"/>
        <v>0.95774623568451556</v>
      </c>
      <c r="O484" s="170">
        <f t="shared" si="35"/>
        <v>1.0415339498883072</v>
      </c>
      <c r="P484" s="170">
        <f>IF(A484=$X$29,K484/(D484*Vendas!$U$25),IF(A484=$X$30,K484/(D484*Vendas!$U$26),IF(A484=$X$31,K484/(D484*Vendas!$U$27),IF(A484=$X$32,K484/(D484*Vendas!$U$28),IF(A484=$X$33,K484/(D484*Vendas!$U$29),IF(A484=$X$34,K484/(D484*Vendas!$U$30),IF(A484=$X$35,K484/(D484*Vendas!$U$31),IF(A484=$X$36,K484/(D484*Vendas!$U$32),0))))))))</f>
        <v>1.2186494287188563</v>
      </c>
      <c r="Q484" s="170">
        <f>IF(A484=$X$29,K484/(D484*Vendas!$U$25),IF(A484=$X$30,K484/(D484*Vendas!$U$26),IF(A484=$X$31,K484/(D484*Vendas!$U$27),IF(A484=$X$32,K484/(D484*Vendas!$U$28),IF(A484=$X$33,K484/(D484*Vendas!$U$29),IF(A484=$X$34,K484/(D484*Vendas!$U$30),IF(A484=$X$35,K484/(D484*Vendas!$U$31),IF(A484=$X$36,K484/(D484*Vendas!$U$32),0))))))))</f>
        <v>1.2186494287188563</v>
      </c>
    </row>
    <row r="485" spans="1:17">
      <c r="A485" s="263" t="s">
        <v>878</v>
      </c>
      <c r="B485" s="337" t="s">
        <v>618</v>
      </c>
      <c r="C485" s="73">
        <v>2</v>
      </c>
      <c r="D485" s="315">
        <v>261.33999999999997</v>
      </c>
      <c r="E485" s="166">
        <v>4829</v>
      </c>
      <c r="F485" s="74" t="s">
        <v>1343</v>
      </c>
      <c r="G485" s="34" t="str">
        <f t="shared" si="32"/>
        <v>XLVII2ROMILDA PEREIRA PINHO</v>
      </c>
      <c r="H485" s="40">
        <v>44113</v>
      </c>
      <c r="I485" s="35">
        <v>143312.4</v>
      </c>
      <c r="J485" s="35" t="s">
        <v>834</v>
      </c>
      <c r="K485" s="35">
        <v>119478.75</v>
      </c>
      <c r="L485" s="170">
        <f t="shared" si="33"/>
        <v>0.83369443258224696</v>
      </c>
      <c r="M485" s="154">
        <v>148424.18</v>
      </c>
      <c r="N485" s="170">
        <f t="shared" si="34"/>
        <v>0.80498170850598605</v>
      </c>
      <c r="O485" s="170">
        <f t="shared" si="35"/>
        <v>0.76353277305927969</v>
      </c>
      <c r="P485" s="170">
        <f>IF(A485=$X$29,K485/(D485*Vendas!$U$25),IF(A485=$X$30,K485/(D485*Vendas!$U$26),IF(A485=$X$31,K485/(D485*Vendas!$U$27),IF(A485=$X$32,K485/(D485*Vendas!$U$28),IF(A485=$X$33,K485/(D485*Vendas!$U$29),IF(A485=$X$34,K485/(D485*Vendas!$U$30),IF(A485=$X$35,K485/(D485*Vendas!$U$31),IF(A485=$X$36,K485/(D485*Vendas!$U$32),0))))))))</f>
        <v>0.89337344960920262</v>
      </c>
      <c r="Q485" s="170">
        <f>IF(A485=$X$29,K485/(D485*Vendas!$U$25),IF(A485=$X$30,K485/(D485*Vendas!$U$26),IF(A485=$X$31,K485/(D485*Vendas!$U$27),IF(A485=$X$32,K485/(D485*Vendas!$U$28),IF(A485=$X$33,K485/(D485*Vendas!$U$29),IF(A485=$X$34,K485/(D485*Vendas!$U$30),IF(A485=$X$35,K485/(D485*Vendas!$U$31),IF(A485=$X$36,K485/(D485*Vendas!$U$32),0))))))))</f>
        <v>0.89337344960920262</v>
      </c>
    </row>
    <row r="486" spans="1:17">
      <c r="A486" s="263" t="s">
        <v>878</v>
      </c>
      <c r="B486" s="337" t="s">
        <v>618</v>
      </c>
      <c r="C486" s="166">
        <v>3</v>
      </c>
      <c r="D486" s="197">
        <v>261.33999999999997</v>
      </c>
      <c r="E486" s="166">
        <v>4830</v>
      </c>
      <c r="F486" s="338" t="s">
        <v>1343</v>
      </c>
      <c r="G486" s="34" t="str">
        <f t="shared" si="32"/>
        <v>XLVII3ROMILDA PEREIRA PINHO</v>
      </c>
      <c r="H486" s="40">
        <v>44113</v>
      </c>
      <c r="I486" s="35">
        <v>143312.4</v>
      </c>
      <c r="J486" s="35" t="s">
        <v>834</v>
      </c>
      <c r="K486" s="35">
        <v>119478.75</v>
      </c>
      <c r="L486" s="170">
        <f t="shared" si="33"/>
        <v>0.83369443258224696</v>
      </c>
      <c r="M486" s="154">
        <v>148422.16</v>
      </c>
      <c r="N486" s="170">
        <f t="shared" si="34"/>
        <v>0.80499266416820769</v>
      </c>
      <c r="O486" s="170">
        <f t="shared" si="35"/>
        <v>0.76353277305927969</v>
      </c>
      <c r="P486" s="170">
        <f>IF(A486=$X$29,K486/(D486*Vendas!$U$25),IF(A486=$X$30,K486/(D486*Vendas!$U$26),IF(A486=$X$31,K486/(D486*Vendas!$U$27),IF(A486=$X$32,K486/(D486*Vendas!$U$28),IF(A486=$X$33,K486/(D486*Vendas!$U$29),IF(A486=$X$34,K486/(D486*Vendas!$U$30),IF(A486=$X$35,K486/(D486*Vendas!$U$31),IF(A486=$X$36,K486/(D486*Vendas!$U$32),0))))))))</f>
        <v>0.89337344960920262</v>
      </c>
      <c r="Q486" s="170">
        <f>IF(A486=$X$29,K486/(D486*Vendas!$U$25),IF(A486=$X$30,K486/(D486*Vendas!$U$26),IF(A486=$X$31,K486/(D486*Vendas!$U$27),IF(A486=$X$32,K486/(D486*Vendas!$U$28),IF(A486=$X$33,K486/(D486*Vendas!$U$29),IF(A486=$X$34,K486/(D486*Vendas!$U$30),IF(A486=$X$35,K486/(D486*Vendas!$U$31),IF(A486=$X$36,K486/(D486*Vendas!$U$32),0))))))))</f>
        <v>0.89337344960920262</v>
      </c>
    </row>
    <row r="487" spans="1:17">
      <c r="A487" s="263" t="s">
        <v>878</v>
      </c>
      <c r="B487" s="337" t="s">
        <v>618</v>
      </c>
      <c r="C487" s="73">
        <v>4</v>
      </c>
      <c r="D487" s="315">
        <v>261.33999999999997</v>
      </c>
      <c r="E487" s="166">
        <v>3738</v>
      </c>
      <c r="F487" s="74" t="s">
        <v>1140</v>
      </c>
      <c r="G487" s="34" t="str">
        <f t="shared" si="32"/>
        <v>XLVII4NATANY CARDOZO RODRIGUES</v>
      </c>
      <c r="H487" s="40">
        <v>43864</v>
      </c>
      <c r="I487" s="35">
        <v>151818.43</v>
      </c>
      <c r="J487" s="35" t="s">
        <v>834</v>
      </c>
      <c r="K487" s="35">
        <v>149449.34</v>
      </c>
      <c r="L487" s="170">
        <f t="shared" si="33"/>
        <v>0.98439524107843823</v>
      </c>
      <c r="M487" s="154">
        <v>179748.27</v>
      </c>
      <c r="N487" s="170">
        <f t="shared" si="34"/>
        <v>0.83143687558161206</v>
      </c>
      <c r="O487" s="170">
        <f t="shared" si="35"/>
        <v>0.95506078697742591</v>
      </c>
      <c r="P487" s="170">
        <f>IF(A487=$X$29,K487/(D487*Vendas!$U$25),IF(A487=$X$30,K487/(D487*Vendas!$U$26),IF(A487=$X$31,K487/(D487*Vendas!$U$27),IF(A487=$X$32,K487/(D487*Vendas!$U$28),IF(A487=$X$33,K487/(D487*Vendas!$U$29),IF(A487=$X$34,K487/(D487*Vendas!$U$30),IF(A487=$X$35,K487/(D487*Vendas!$U$31),IF(A487=$X$36,K487/(D487*Vendas!$U$32),0))))))))</f>
        <v>1.117471286045582</v>
      </c>
      <c r="Q487" s="170">
        <f>IF(A487=$X$29,K487/(D487*Vendas!$U$25),IF(A487=$X$30,K487/(D487*Vendas!$U$26),IF(A487=$X$31,K487/(D487*Vendas!$U$27),IF(A487=$X$32,K487/(D487*Vendas!$U$28),IF(A487=$X$33,K487/(D487*Vendas!$U$29),IF(A487=$X$34,K487/(D487*Vendas!$U$30),IF(A487=$X$35,K487/(D487*Vendas!$U$31),IF(A487=$X$36,K487/(D487*Vendas!$U$32),0))))))))</f>
        <v>1.117471286045582</v>
      </c>
    </row>
    <row r="488" spans="1:17">
      <c r="A488" s="263" t="s">
        <v>878</v>
      </c>
      <c r="B488" s="337" t="s">
        <v>618</v>
      </c>
      <c r="C488" s="166">
        <v>6</v>
      </c>
      <c r="D488" s="197">
        <v>257.64</v>
      </c>
      <c r="E488" s="166">
        <v>4783</v>
      </c>
      <c r="F488" s="338" t="s">
        <v>1325</v>
      </c>
      <c r="G488" s="34" t="str">
        <f t="shared" si="32"/>
        <v>XLVII6LUIZ NOGUEIRA MONTEIRO NETTO</v>
      </c>
      <c r="H488" s="40">
        <v>44099</v>
      </c>
      <c r="I488" s="35">
        <v>143934.10999999999</v>
      </c>
      <c r="J488" s="35" t="s">
        <v>834</v>
      </c>
      <c r="K488" s="35">
        <v>63708.75</v>
      </c>
      <c r="L488" s="170">
        <f t="shared" si="33"/>
        <v>0.44262440640373574</v>
      </c>
      <c r="M488" s="154">
        <v>146825.23000000001</v>
      </c>
      <c r="N488" s="170">
        <f t="shared" si="34"/>
        <v>0.43390873625738569</v>
      </c>
      <c r="O488" s="170">
        <f t="shared" si="35"/>
        <v>0.41297968912484878</v>
      </c>
      <c r="P488" s="170">
        <f>IF(A488=$X$29,K488/(D488*Vendas!$U$25),IF(A488=$X$30,K488/(D488*Vendas!$U$26),IF(A488=$X$31,K488/(D488*Vendas!$U$27),IF(A488=$X$32,K488/(D488*Vendas!$U$28),IF(A488=$X$33,K488/(D488*Vendas!$U$29),IF(A488=$X$34,K488/(D488*Vendas!$U$30),IF(A488=$X$35,K488/(D488*Vendas!$U$31),IF(A488=$X$36,K488/(D488*Vendas!$U$32),0))))))))</f>
        <v>0.4832079283430547</v>
      </c>
      <c r="Q488" s="170">
        <f>IF(A488=$X$29,K488/(D488*Vendas!$U$25),IF(A488=$X$30,K488/(D488*Vendas!$U$26),IF(A488=$X$31,K488/(D488*Vendas!$U$27),IF(A488=$X$32,K488/(D488*Vendas!$U$28),IF(A488=$X$33,K488/(D488*Vendas!$U$29),IF(A488=$X$34,K488/(D488*Vendas!$U$30),IF(A488=$X$35,K488/(D488*Vendas!$U$31),IF(A488=$X$36,K488/(D488*Vendas!$U$32),0))))))))</f>
        <v>0.4832079283430547</v>
      </c>
    </row>
    <row r="489" spans="1:17">
      <c r="A489" s="263" t="s">
        <v>878</v>
      </c>
      <c r="B489" s="337" t="s">
        <v>618</v>
      </c>
      <c r="C489" s="73">
        <v>7</v>
      </c>
      <c r="D489" s="315">
        <v>257.64</v>
      </c>
      <c r="E489" s="166">
        <v>4886</v>
      </c>
      <c r="F489" s="74" t="s">
        <v>1370</v>
      </c>
      <c r="G489" s="34" t="str">
        <f t="shared" si="32"/>
        <v>XLVII7DAVID CANDIDO DO NASCIMENTO</v>
      </c>
      <c r="H489" s="40">
        <v>44153</v>
      </c>
      <c r="I489" s="35">
        <v>158648.32999999999</v>
      </c>
      <c r="J489" s="35" t="s">
        <v>834</v>
      </c>
      <c r="K489" s="35">
        <v>119347.91</v>
      </c>
      <c r="L489" s="170">
        <f t="shared" si="33"/>
        <v>0.75227964895691002</v>
      </c>
      <c r="M489" s="154">
        <v>158749.89000000001</v>
      </c>
      <c r="N489" s="170">
        <f t="shared" si="34"/>
        <v>0.75179837919887693</v>
      </c>
      <c r="O489" s="170">
        <f t="shared" si="35"/>
        <v>0.77364981685404965</v>
      </c>
      <c r="P489" s="170">
        <f>IF(A489=$X$29,K489/(D489*Vendas!$U$25),IF(A489=$X$30,K489/(D489*Vendas!$U$26),IF(A489=$X$31,K489/(D489*Vendas!$U$27),IF(A489=$X$32,K489/(D489*Vendas!$U$28),IF(A489=$X$33,K489/(D489*Vendas!$U$29),IF(A489=$X$34,K489/(D489*Vendas!$U$30),IF(A489=$X$35,K489/(D489*Vendas!$U$31),IF(A489=$X$36,K489/(D489*Vendas!$U$32),0))))))))</f>
        <v>0.90521092225437394</v>
      </c>
      <c r="Q489" s="170">
        <f>IF(A489=$X$29,K489/(D489*Vendas!$U$25),IF(A489=$X$30,K489/(D489*Vendas!$U$26),IF(A489=$X$31,K489/(D489*Vendas!$U$27),IF(A489=$X$32,K489/(D489*Vendas!$U$28),IF(A489=$X$33,K489/(D489*Vendas!$U$29),IF(A489=$X$34,K489/(D489*Vendas!$U$30),IF(A489=$X$35,K489/(D489*Vendas!$U$31),IF(A489=$X$36,K489/(D489*Vendas!$U$32),0))))))))</f>
        <v>0.90521092225437394</v>
      </c>
    </row>
    <row r="490" spans="1:17">
      <c r="A490" s="263" t="s">
        <v>878</v>
      </c>
      <c r="B490" s="337" t="s">
        <v>618</v>
      </c>
      <c r="C490" s="166">
        <v>8</v>
      </c>
      <c r="D490" s="197">
        <v>257.64</v>
      </c>
      <c r="E490" s="166">
        <v>4912</v>
      </c>
      <c r="F490" s="338" t="s">
        <v>1381</v>
      </c>
      <c r="G490" s="34" t="str">
        <f t="shared" si="32"/>
        <v>XLVII8FLAVIO GONCALVES DA COSTA</v>
      </c>
      <c r="H490" s="40">
        <v>44166</v>
      </c>
      <c r="I490" s="35">
        <v>155100.79999999999</v>
      </c>
      <c r="J490" s="35" t="s">
        <v>834</v>
      </c>
      <c r="K490" s="35">
        <v>107812.83</v>
      </c>
      <c r="L490" s="170">
        <f t="shared" si="33"/>
        <v>0.69511459644308737</v>
      </c>
      <c r="M490" s="154">
        <v>164082.78</v>
      </c>
      <c r="N490" s="170">
        <f t="shared" si="34"/>
        <v>0.65706364799523753</v>
      </c>
      <c r="O490" s="170">
        <f t="shared" si="35"/>
        <v>0.6988758846637263</v>
      </c>
      <c r="P490" s="170">
        <f>IF(A490=$X$29,K490/(D490*Vendas!$U$25),IF(A490=$X$30,K490/(D490*Vendas!$U$26),IF(A490=$X$31,K490/(D490*Vendas!$U$27),IF(A490=$X$32,K490/(D490*Vendas!$U$28),IF(A490=$X$33,K490/(D490*Vendas!$U$29),IF(A490=$X$34,K490/(D490*Vendas!$U$30),IF(A490=$X$35,K490/(D490*Vendas!$U$31),IF(A490=$X$36,K490/(D490*Vendas!$U$32),0))))))))</f>
        <v>0.81772149403499428</v>
      </c>
      <c r="Q490" s="170">
        <f>IF(A490=$X$29,K490/(D490*Vendas!$U$25),IF(A490=$X$30,K490/(D490*Vendas!$U$26),IF(A490=$X$31,K490/(D490*Vendas!$U$27),IF(A490=$X$32,K490/(D490*Vendas!$U$28),IF(A490=$X$33,K490/(D490*Vendas!$U$29),IF(A490=$X$34,K490/(D490*Vendas!$U$30),IF(A490=$X$35,K490/(D490*Vendas!$U$31),IF(A490=$X$36,K490/(D490*Vendas!$U$32),0))))))))</f>
        <v>0.81772149403499428</v>
      </c>
    </row>
    <row r="491" spans="1:17">
      <c r="A491" s="263" t="s">
        <v>878</v>
      </c>
      <c r="B491" s="337" t="s">
        <v>618</v>
      </c>
      <c r="C491" s="73">
        <v>9</v>
      </c>
      <c r="D491" s="315">
        <v>257.64</v>
      </c>
      <c r="E491" s="166">
        <v>2958</v>
      </c>
      <c r="F491" s="74" t="s">
        <v>1065</v>
      </c>
      <c r="G491" s="34" t="str">
        <f t="shared" si="32"/>
        <v>XLVII9BRUNO CESAR BOZELLI</v>
      </c>
      <c r="H491" s="40">
        <v>43717</v>
      </c>
      <c r="I491" s="35">
        <v>141000.6</v>
      </c>
      <c r="J491" s="35" t="s">
        <v>834</v>
      </c>
      <c r="K491" s="35">
        <v>133901.54</v>
      </c>
      <c r="L491" s="170">
        <f t="shared" si="33"/>
        <v>0.94965227098324401</v>
      </c>
      <c r="M491" s="154">
        <v>174272.71</v>
      </c>
      <c r="N491" s="170">
        <f t="shared" si="34"/>
        <v>0.76834485445254175</v>
      </c>
      <c r="O491" s="170">
        <f t="shared" si="35"/>
        <v>0.86799091745699786</v>
      </c>
      <c r="P491" s="170">
        <f>IF(A491=$X$29,K491/(D491*Vendas!$U$25),IF(A491=$X$30,K491/(D491*Vendas!$U$26),IF(A491=$X$31,K491/(D491*Vendas!$U$27),IF(A491=$X$32,K491/(D491*Vendas!$U$28),IF(A491=$X$33,K491/(D491*Vendas!$U$29),IF(A491=$X$34,K491/(D491*Vendas!$U$30),IF(A491=$X$35,K491/(D491*Vendas!$U$31),IF(A491=$X$36,K491/(D491*Vendas!$U$32),0))))))))</f>
        <v>1.0155949652966771</v>
      </c>
      <c r="Q491" s="170">
        <f>IF(A491=$X$29,K491/(D491*Vendas!$U$25),IF(A491=$X$30,K491/(D491*Vendas!$U$26),IF(A491=$X$31,K491/(D491*Vendas!$U$27),IF(A491=$X$32,K491/(D491*Vendas!$U$28),IF(A491=$X$33,K491/(D491*Vendas!$U$29),IF(A491=$X$34,K491/(D491*Vendas!$U$30),IF(A491=$X$35,K491/(D491*Vendas!$U$31),IF(A491=$X$36,K491/(D491*Vendas!$U$32),0))))))))</f>
        <v>1.0155949652966771</v>
      </c>
    </row>
    <row r="492" spans="1:17">
      <c r="A492" s="263" t="s">
        <v>878</v>
      </c>
      <c r="B492" s="337" t="s">
        <v>618</v>
      </c>
      <c r="C492" s="166">
        <v>10</v>
      </c>
      <c r="D492" s="197">
        <v>311.27999999999997</v>
      </c>
      <c r="E492" s="166">
        <v>4924</v>
      </c>
      <c r="F492" s="338" t="s">
        <v>1382</v>
      </c>
      <c r="G492" s="34" t="str">
        <f t="shared" si="32"/>
        <v>XLVII10VANESSA VALERO MOREIRA</v>
      </c>
      <c r="H492" s="40">
        <v>44176</v>
      </c>
      <c r="I492" s="35">
        <v>191677.63</v>
      </c>
      <c r="J492" s="35" t="s">
        <v>834</v>
      </c>
      <c r="K492" s="35">
        <v>89100.22</v>
      </c>
      <c r="L492" s="170">
        <f t="shared" si="33"/>
        <v>0.46484412395958774</v>
      </c>
      <c r="M492" s="154">
        <v>202260.59</v>
      </c>
      <c r="N492" s="170">
        <f t="shared" si="34"/>
        <v>0.44052190295697252</v>
      </c>
      <c r="O492" s="170">
        <f t="shared" si="35"/>
        <v>0.47804684687654991</v>
      </c>
      <c r="P492" s="170">
        <f>IF(A492=$X$29,K492/(D492*Vendas!$U$25),IF(A492=$X$30,K492/(D492*Vendas!$U$26),IF(A492=$X$31,K492/(D492*Vendas!$U$27),IF(A492=$X$32,K492/(D492*Vendas!$U$28),IF(A492=$X$33,K492/(D492*Vendas!$U$29),IF(A492=$X$34,K492/(D492*Vendas!$U$30),IF(A492=$X$35,K492/(D492*Vendas!$U$31),IF(A492=$X$36,K492/(D492*Vendas!$U$32),0))))))))</f>
        <v>0.55933992061366056</v>
      </c>
      <c r="Q492" s="170">
        <f>IF(A492=$X$29,K492/(D492*Vendas!$U$25),IF(A492=$X$30,K492/(D492*Vendas!$U$26),IF(A492=$X$31,K492/(D492*Vendas!$U$27),IF(A492=$X$32,K492/(D492*Vendas!$U$28),IF(A492=$X$33,K492/(D492*Vendas!$U$29),IF(A492=$X$34,K492/(D492*Vendas!$U$30),IF(A492=$X$35,K492/(D492*Vendas!$U$31),IF(A492=$X$36,K492/(D492*Vendas!$U$32),0))))))))</f>
        <v>0.55933992061366056</v>
      </c>
    </row>
    <row r="493" spans="1:17">
      <c r="A493" s="263" t="s">
        <v>878</v>
      </c>
      <c r="B493" s="337" t="s">
        <v>618</v>
      </c>
      <c r="C493" s="73">
        <v>19</v>
      </c>
      <c r="D493" s="315">
        <v>253.57</v>
      </c>
      <c r="E493" s="166">
        <v>4948</v>
      </c>
      <c r="F493" s="74" t="s">
        <v>1390</v>
      </c>
      <c r="G493" s="34" t="str">
        <f t="shared" si="32"/>
        <v>XLVII19MARIANY SOUZA CARVALHO</v>
      </c>
      <c r="H493" s="40">
        <v>44174</v>
      </c>
      <c r="I493" s="35">
        <v>156141.54</v>
      </c>
      <c r="J493" s="35" t="s">
        <v>834</v>
      </c>
      <c r="K493" s="35">
        <v>153872.6</v>
      </c>
      <c r="L493" s="170">
        <f t="shared" si="33"/>
        <v>0.98546869718333763</v>
      </c>
      <c r="M493" s="154">
        <v>165946.1</v>
      </c>
      <c r="N493" s="170">
        <f t="shared" si="34"/>
        <v>0.92724444864929034</v>
      </c>
      <c r="O493" s="170">
        <f t="shared" si="35"/>
        <v>1.0134593200957127</v>
      </c>
      <c r="P493" s="170">
        <f>IF(A493=$X$29,K493/(D493*Vendas!$U$25),IF(A493=$X$30,K493/(D493*Vendas!$U$26),IF(A493=$X$31,K493/(D493*Vendas!$U$27),IF(A493=$X$32,K493/(D493*Vendas!$U$28),IF(A493=$X$33,K493/(D493*Vendas!$U$29),IF(A493=$X$34,K493/(D493*Vendas!$U$30),IF(A493=$X$35,K493/(D493*Vendas!$U$31),IF(A493=$X$36,K493/(D493*Vendas!$U$32),0))))))))</f>
        <v>1.1858006372205978</v>
      </c>
      <c r="Q493" s="170">
        <f>IF(A493=$X$29,K493/(D493*Vendas!$U$25),IF(A493=$X$30,K493/(D493*Vendas!$U$26),IF(A493=$X$31,K493/(D493*Vendas!$U$27),IF(A493=$X$32,K493/(D493*Vendas!$U$28),IF(A493=$X$33,K493/(D493*Vendas!$U$29),IF(A493=$X$34,K493/(D493*Vendas!$U$30),IF(A493=$X$35,K493/(D493*Vendas!$U$31),IF(A493=$X$36,K493/(D493*Vendas!$U$32),0))))))))</f>
        <v>1.1858006372205978</v>
      </c>
    </row>
    <row r="494" spans="1:17">
      <c r="A494" s="263" t="s">
        <v>878</v>
      </c>
      <c r="B494" s="337" t="s">
        <v>618</v>
      </c>
      <c r="C494" s="166">
        <v>20</v>
      </c>
      <c r="D494" s="197">
        <v>253.57</v>
      </c>
      <c r="E494" s="166">
        <v>4913</v>
      </c>
      <c r="F494" s="338" t="s">
        <v>1383</v>
      </c>
      <c r="G494" s="34" t="str">
        <f t="shared" si="32"/>
        <v>XLVII20DANIEL REBOLO</v>
      </c>
      <c r="H494" s="40">
        <v>44166</v>
      </c>
      <c r="I494" s="35">
        <v>152280</v>
      </c>
      <c r="J494" s="35" t="s">
        <v>834</v>
      </c>
      <c r="K494" s="35">
        <v>141507.5</v>
      </c>
      <c r="L494" s="170">
        <f t="shared" si="33"/>
        <v>0.92925860257420545</v>
      </c>
      <c r="M494" s="154">
        <v>161087.92000000001</v>
      </c>
      <c r="N494" s="170">
        <f t="shared" si="34"/>
        <v>0.87844886196308192</v>
      </c>
      <c r="O494" s="170">
        <f t="shared" si="35"/>
        <v>0.93201840183661067</v>
      </c>
      <c r="P494" s="170">
        <f>IF(A494=$X$29,K494/(D494*Vendas!$U$25),IF(A494=$X$30,K494/(D494*Vendas!$U$26),IF(A494=$X$31,K494/(D494*Vendas!$U$27),IF(A494=$X$32,K494/(D494*Vendas!$U$28),IF(A494=$X$33,K494/(D494*Vendas!$U$29),IF(A494=$X$34,K494/(D494*Vendas!$U$30),IF(A494=$X$35,K494/(D494*Vendas!$U$31),IF(A494=$X$36,K494/(D494*Vendas!$U$32),0))))))))</f>
        <v>1.0905104851123184</v>
      </c>
      <c r="Q494" s="170">
        <f>IF(A494=$X$29,K494/(D494*Vendas!$U$25),IF(A494=$X$30,K494/(D494*Vendas!$U$26),IF(A494=$X$31,K494/(D494*Vendas!$U$27),IF(A494=$X$32,K494/(D494*Vendas!$U$28),IF(A494=$X$33,K494/(D494*Vendas!$U$29),IF(A494=$X$34,K494/(D494*Vendas!$U$30),IF(A494=$X$35,K494/(D494*Vendas!$U$31),IF(A494=$X$36,K494/(D494*Vendas!$U$32),0))))))))</f>
        <v>1.0905104851123184</v>
      </c>
    </row>
    <row r="495" spans="1:17">
      <c r="A495" s="263" t="s">
        <v>878</v>
      </c>
      <c r="B495" s="337" t="s">
        <v>618</v>
      </c>
      <c r="C495" s="73">
        <v>22</v>
      </c>
      <c r="D495" s="315">
        <v>253.57</v>
      </c>
      <c r="E495" s="166">
        <v>4739</v>
      </c>
      <c r="F495" s="74" t="s">
        <v>1263</v>
      </c>
      <c r="G495" s="34" t="str">
        <f t="shared" si="32"/>
        <v>XLVII22KAUANA TORRES DE SOUSA</v>
      </c>
      <c r="H495" s="40">
        <v>44062</v>
      </c>
      <c r="I495" s="35">
        <v>147303.56</v>
      </c>
      <c r="J495" s="35" t="s">
        <v>834</v>
      </c>
      <c r="K495" s="35">
        <v>121034.34</v>
      </c>
      <c r="L495" s="170">
        <f t="shared" si="33"/>
        <v>0.82166608872182045</v>
      </c>
      <c r="M495" s="154">
        <v>162076.48000000001</v>
      </c>
      <c r="N495" s="170">
        <f t="shared" si="34"/>
        <v>0.74677300494186438</v>
      </c>
      <c r="O495" s="170">
        <f t="shared" si="35"/>
        <v>0.79717493513876614</v>
      </c>
      <c r="P495" s="170">
        <f>IF(A495=$X$29,K495/(D495*Vendas!$U$25),IF(A495=$X$30,K495/(D495*Vendas!$U$26),IF(A495=$X$31,K495/(D495*Vendas!$U$27),IF(A495=$X$32,K495/(D495*Vendas!$U$28),IF(A495=$X$33,K495/(D495*Vendas!$U$29),IF(A495=$X$34,K495/(D495*Vendas!$U$30),IF(A495=$X$35,K495/(D495*Vendas!$U$31),IF(A495=$X$36,K495/(D495*Vendas!$U$32),0))))))))</f>
        <v>0.93273654632192138</v>
      </c>
      <c r="Q495" s="170">
        <f>IF(A495=$X$29,K495/(D495*Vendas!$U$25),IF(A495=$X$30,K495/(D495*Vendas!$U$26),IF(A495=$X$31,K495/(D495*Vendas!$U$27),IF(A495=$X$32,K495/(D495*Vendas!$U$28),IF(A495=$X$33,K495/(D495*Vendas!$U$29),IF(A495=$X$34,K495/(D495*Vendas!$U$30),IF(A495=$X$35,K495/(D495*Vendas!$U$31),IF(A495=$X$36,K495/(D495*Vendas!$U$32),0))))))))</f>
        <v>0.93273654632192138</v>
      </c>
    </row>
    <row r="496" spans="1:17">
      <c r="A496" s="263" t="s">
        <v>878</v>
      </c>
      <c r="B496" s="337" t="s">
        <v>618</v>
      </c>
      <c r="C496" s="166">
        <v>23</v>
      </c>
      <c r="D496" s="197">
        <v>251.38</v>
      </c>
      <c r="E496" s="166">
        <v>4736</v>
      </c>
      <c r="F496" s="338" t="s">
        <v>1264</v>
      </c>
      <c r="G496" s="34" t="str">
        <f t="shared" si="32"/>
        <v>XLVII23MARCO ANTONIO DE OLIVEIRA</v>
      </c>
      <c r="H496" s="40">
        <v>44064</v>
      </c>
      <c r="I496" s="35">
        <v>145700</v>
      </c>
      <c r="J496" s="35" t="s">
        <v>834</v>
      </c>
      <c r="K496" s="35">
        <v>144630.12</v>
      </c>
      <c r="L496" s="170">
        <f t="shared" si="33"/>
        <v>0.99265696636925183</v>
      </c>
      <c r="M496" s="154">
        <v>162722.23999999999</v>
      </c>
      <c r="N496" s="170">
        <f t="shared" si="34"/>
        <v>0.8888159356705021</v>
      </c>
      <c r="O496" s="170">
        <f t="shared" si="35"/>
        <v>0.96088391638151671</v>
      </c>
      <c r="P496" s="170">
        <f>IF(A496=$X$29,K496/(D496*Vendas!$U$25),IF(A496=$X$30,K496/(D496*Vendas!$U$26),IF(A496=$X$31,K496/(D496*Vendas!$U$27),IF(A496=$X$32,K496/(D496*Vendas!$U$28),IF(A496=$X$33,K496/(D496*Vendas!$U$29),IF(A496=$X$34,K496/(D496*Vendas!$U$30),IF(A496=$X$35,K496/(D496*Vendas!$U$31),IF(A496=$X$36,K496/(D496*Vendas!$U$32),0))))))))</f>
        <v>1.1242846533125945</v>
      </c>
      <c r="Q496" s="170">
        <f>IF(A496=$X$29,K496/(D496*Vendas!$U$25),IF(A496=$X$30,K496/(D496*Vendas!$U$26),IF(A496=$X$31,K496/(D496*Vendas!$U$27),IF(A496=$X$32,K496/(D496*Vendas!$U$28),IF(A496=$X$33,K496/(D496*Vendas!$U$29),IF(A496=$X$34,K496/(D496*Vendas!$U$30),IF(A496=$X$35,K496/(D496*Vendas!$U$31),IF(A496=$X$36,K496/(D496*Vendas!$U$32),0))))))))</f>
        <v>1.1242846533125945</v>
      </c>
    </row>
    <row r="497" spans="1:17">
      <c r="A497" s="263" t="s">
        <v>878</v>
      </c>
      <c r="B497" s="337" t="s">
        <v>618</v>
      </c>
      <c r="C497" s="73">
        <v>24</v>
      </c>
      <c r="D497" s="315">
        <v>254.49</v>
      </c>
      <c r="E497" s="166">
        <v>4671</v>
      </c>
      <c r="F497" s="74" t="s">
        <v>1276</v>
      </c>
      <c r="G497" s="34" t="str">
        <f t="shared" si="32"/>
        <v>XLVII24SIMEIRE ANTONIELI DOS SANTOS FALEIROS</v>
      </c>
      <c r="H497" s="40">
        <v>44057</v>
      </c>
      <c r="I497" s="35">
        <v>140530.9</v>
      </c>
      <c r="J497" s="35" t="s">
        <v>834</v>
      </c>
      <c r="K497" s="35">
        <v>143133.9</v>
      </c>
      <c r="L497" s="170">
        <f t="shared" si="33"/>
        <v>1.0185226167341133</v>
      </c>
      <c r="M497" s="154">
        <v>157779.51999999999</v>
      </c>
      <c r="N497" s="170">
        <f t="shared" si="34"/>
        <v>0.90717667286603487</v>
      </c>
      <c r="O497" s="170">
        <f t="shared" si="35"/>
        <v>0.9393224073316343</v>
      </c>
      <c r="P497" s="170">
        <f>IF(A497=$X$29,K497/(D497*Vendas!$U$25),IF(A497=$X$30,K497/(D497*Vendas!$U$26),IF(A497=$X$31,K497/(D497*Vendas!$U$27),IF(A497=$X$32,K497/(D497*Vendas!$U$28),IF(A497=$X$33,K497/(D497*Vendas!$U$29),IF(A497=$X$34,K497/(D497*Vendas!$U$30),IF(A497=$X$35,K497/(D497*Vendas!$U$31),IF(A497=$X$36,K497/(D497*Vendas!$U$32),0))))))))</f>
        <v>1.0990565551898464</v>
      </c>
      <c r="Q497" s="170">
        <f>IF(A497=$X$29,K497/(D497*Vendas!$U$25),IF(A497=$X$30,K497/(D497*Vendas!$U$26),IF(A497=$X$31,K497/(D497*Vendas!$U$27),IF(A497=$X$32,K497/(D497*Vendas!$U$28),IF(A497=$X$33,K497/(D497*Vendas!$U$29),IF(A497=$X$34,K497/(D497*Vendas!$U$30),IF(A497=$X$35,K497/(D497*Vendas!$U$31),IF(A497=$X$36,K497/(D497*Vendas!$U$32),0))))))))</f>
        <v>1.0990565551898464</v>
      </c>
    </row>
    <row r="498" spans="1:17">
      <c r="A498" s="263" t="s">
        <v>878</v>
      </c>
      <c r="B498" s="337" t="s">
        <v>618</v>
      </c>
      <c r="C498" s="166">
        <v>25</v>
      </c>
      <c r="D498" s="197">
        <v>254.49</v>
      </c>
      <c r="E498" s="166">
        <v>4811</v>
      </c>
      <c r="F498" s="338" t="s">
        <v>1344</v>
      </c>
      <c r="G498" s="34" t="str">
        <f t="shared" si="32"/>
        <v>XLVII25ARIEL LUCCHESI DELIBERADOR</v>
      </c>
      <c r="H498" s="40">
        <v>44105</v>
      </c>
      <c r="I498" s="35">
        <v>140999.6</v>
      </c>
      <c r="J498" s="35" t="s">
        <v>834</v>
      </c>
      <c r="K498" s="35">
        <v>133775.64000000001</v>
      </c>
      <c r="L498" s="170">
        <f t="shared" si="33"/>
        <v>0.94876609579034277</v>
      </c>
      <c r="M498" s="154">
        <v>153896.37</v>
      </c>
      <c r="N498" s="170">
        <f t="shared" si="34"/>
        <v>0.8692579298654024</v>
      </c>
      <c r="O498" s="170">
        <f t="shared" si="35"/>
        <v>0.87790842146500647</v>
      </c>
      <c r="P498" s="170">
        <f>IF(A498=$X$29,K498/(D498*Vendas!$U$25),IF(A498=$X$30,K498/(D498*Vendas!$U$26),IF(A498=$X$31,K498/(D498*Vendas!$U$27),IF(A498=$X$32,K498/(D498*Vendas!$U$28),IF(A498=$X$33,K498/(D498*Vendas!$U$29),IF(A498=$X$34,K498/(D498*Vendas!$U$30),IF(A498=$X$35,K498/(D498*Vendas!$U$31),IF(A498=$X$36,K498/(D498*Vendas!$U$32),0))))))))</f>
        <v>1.0271989659103611</v>
      </c>
      <c r="Q498" s="170">
        <f>IF(A498=$X$29,K498/(D498*Vendas!$U$25),IF(A498=$X$30,K498/(D498*Vendas!$U$26),IF(A498=$X$31,K498/(D498*Vendas!$U$27),IF(A498=$X$32,K498/(D498*Vendas!$U$28),IF(A498=$X$33,K498/(D498*Vendas!$U$29),IF(A498=$X$34,K498/(D498*Vendas!$U$30),IF(A498=$X$35,K498/(D498*Vendas!$U$31),IF(A498=$X$36,K498/(D498*Vendas!$U$32),0))))))))</f>
        <v>1.0271989659103611</v>
      </c>
    </row>
    <row r="499" spans="1:17">
      <c r="A499" s="263" t="s">
        <v>878</v>
      </c>
      <c r="B499" s="337" t="s">
        <v>619</v>
      </c>
      <c r="C499" s="73">
        <v>3</v>
      </c>
      <c r="D499" s="315">
        <v>254.31</v>
      </c>
      <c r="E499" s="166">
        <v>3228</v>
      </c>
      <c r="F499" s="74" t="s">
        <v>1109</v>
      </c>
      <c r="G499" s="34" t="str">
        <f t="shared" si="32"/>
        <v>XLVIII3LUCCAS PACHECO SILVEIRA</v>
      </c>
      <c r="H499" s="40">
        <v>43777</v>
      </c>
      <c r="I499" s="35">
        <v>122200</v>
      </c>
      <c r="J499" s="35" t="s">
        <v>834</v>
      </c>
      <c r="K499" s="35">
        <v>117151.62</v>
      </c>
      <c r="L499" s="170">
        <f t="shared" si="33"/>
        <v>0.95868756137479538</v>
      </c>
      <c r="M499" s="154">
        <v>150336.26</v>
      </c>
      <c r="N499" s="170">
        <f t="shared" si="34"/>
        <v>0.77926389814406705</v>
      </c>
      <c r="O499" s="170">
        <f t="shared" si="35"/>
        <v>0.76935673512350811</v>
      </c>
      <c r="P499" s="170">
        <f>IF(A499=$X$29,K499/(D499*Vendas!$U$25),IF(A499=$X$30,K499/(D499*Vendas!$U$26),IF(A499=$X$31,K499/(D499*Vendas!$U$27),IF(A499=$X$32,K499/(D499*Vendas!$U$28),IF(A499=$X$33,K499/(D499*Vendas!$U$29),IF(A499=$X$34,K499/(D499*Vendas!$U$30),IF(A499=$X$35,K499/(D499*Vendas!$U$31),IF(A499=$X$36,K499/(D499*Vendas!$U$32),0))))))))</f>
        <v>0.9001877911323124</v>
      </c>
      <c r="Q499" s="170">
        <f>IF(A499=$X$29,K499/(D499*Vendas!$U$25),IF(A499=$X$30,K499/(D499*Vendas!$U$26),IF(A499=$X$31,K499/(D499*Vendas!$U$27),IF(A499=$X$32,K499/(D499*Vendas!$U$28),IF(A499=$X$33,K499/(D499*Vendas!$U$29),IF(A499=$X$34,K499/(D499*Vendas!$U$30),IF(A499=$X$35,K499/(D499*Vendas!$U$31),IF(A499=$X$36,K499/(D499*Vendas!$U$32),0))))))))</f>
        <v>0.9001877911323124</v>
      </c>
    </row>
    <row r="500" spans="1:17">
      <c r="A500" s="263" t="s">
        <v>878</v>
      </c>
      <c r="B500" s="337" t="s">
        <v>619</v>
      </c>
      <c r="C500" s="166">
        <v>4</v>
      </c>
      <c r="D500" s="197">
        <v>254.31</v>
      </c>
      <c r="E500" s="166">
        <v>7045</v>
      </c>
      <c r="F500" s="338" t="s">
        <v>938</v>
      </c>
      <c r="G500" s="34" t="str">
        <f t="shared" si="32"/>
        <v>XLVIII4BRUNO ADRIANO DA SILVA</v>
      </c>
      <c r="H500" s="40">
        <v>43532</v>
      </c>
      <c r="I500" s="35">
        <v>121102.67</v>
      </c>
      <c r="J500" s="35" t="s">
        <v>834</v>
      </c>
      <c r="K500" s="35">
        <v>16299.54</v>
      </c>
      <c r="L500" s="170">
        <f t="shared" si="33"/>
        <v>0.13459273854160278</v>
      </c>
      <c r="M500" s="154">
        <v>124983.57</v>
      </c>
      <c r="N500" s="170">
        <f t="shared" si="34"/>
        <v>0.13041346154538552</v>
      </c>
      <c r="O500" s="170">
        <f t="shared" si="35"/>
        <v>0.10704214656540836</v>
      </c>
      <c r="P500" s="170">
        <f>IF(A500=$X$29,K500/(D500*Vendas!$U$25),IF(A500=$X$30,K500/(D500*Vendas!$U$26),IF(A500=$X$31,K500/(D500*Vendas!$U$27),IF(A500=$X$32,K500/(D500*Vendas!$U$28),IF(A500=$X$33,K500/(D500*Vendas!$U$29),IF(A500=$X$34,K500/(D500*Vendas!$U$30),IF(A500=$X$35,K500/(D500*Vendas!$U$31),IF(A500=$X$36,K500/(D500*Vendas!$U$32),0))))))))</f>
        <v>0.12524493395031816</v>
      </c>
      <c r="Q500" s="170">
        <f>IF(A500=$X$29,K500/(D500*Vendas!$U$25),IF(A500=$X$30,K500/(D500*Vendas!$U$26),IF(A500=$X$31,K500/(D500*Vendas!$U$27),IF(A500=$X$32,K500/(D500*Vendas!$U$28),IF(A500=$X$33,K500/(D500*Vendas!$U$29),IF(A500=$X$34,K500/(D500*Vendas!$U$30),IF(A500=$X$35,K500/(D500*Vendas!$U$31),IF(A500=$X$36,K500/(D500*Vendas!$U$32),0))))))))</f>
        <v>0.12524493395031816</v>
      </c>
    </row>
    <row r="501" spans="1:17">
      <c r="A501" s="263" t="s">
        <v>878</v>
      </c>
      <c r="B501" s="337" t="s">
        <v>619</v>
      </c>
      <c r="C501" s="73">
        <v>6</v>
      </c>
      <c r="D501" s="315">
        <v>256.60000000000002</v>
      </c>
      <c r="E501" s="166">
        <v>3226</v>
      </c>
      <c r="F501" s="74" t="s">
        <v>88</v>
      </c>
      <c r="G501" s="34" t="str">
        <f t="shared" si="32"/>
        <v>XLVIII6BRUNO FERREIRA DA SILVA</v>
      </c>
      <c r="H501" s="40">
        <v>43774</v>
      </c>
      <c r="I501" s="35">
        <v>122200</v>
      </c>
      <c r="J501" s="35" t="s">
        <v>834</v>
      </c>
      <c r="K501" s="35">
        <v>73407</v>
      </c>
      <c r="L501" s="170">
        <f t="shared" si="33"/>
        <v>0.60071194762684121</v>
      </c>
      <c r="M501" s="154">
        <v>128451.5</v>
      </c>
      <c r="N501" s="170">
        <f t="shared" si="34"/>
        <v>0.57147639381400761</v>
      </c>
      <c r="O501" s="170">
        <f t="shared" si="35"/>
        <v>0.47777533211963674</v>
      </c>
      <c r="P501" s="170">
        <f>IF(A501=$X$29,K501/(D501*Vendas!$U$25),IF(A501=$X$30,K501/(D501*Vendas!$U$26),IF(A501=$X$31,K501/(D501*Vendas!$U$27),IF(A501=$X$32,K501/(D501*Vendas!$U$28),IF(A501=$X$33,K501/(D501*Vendas!$U$29),IF(A501=$X$34,K501/(D501*Vendas!$U$30),IF(A501=$X$35,K501/(D501*Vendas!$U$31),IF(A501=$X$36,K501/(D501*Vendas!$U$32),0))))))))</f>
        <v>0.5590222340865566</v>
      </c>
      <c r="Q501" s="170">
        <f>IF(A501=$X$29,K501/(D501*Vendas!$U$25),IF(A501=$X$30,K501/(D501*Vendas!$U$26),IF(A501=$X$31,K501/(D501*Vendas!$U$27),IF(A501=$X$32,K501/(D501*Vendas!$U$28),IF(A501=$X$33,K501/(D501*Vendas!$U$29),IF(A501=$X$34,K501/(D501*Vendas!$U$30),IF(A501=$X$35,K501/(D501*Vendas!$U$31),IF(A501=$X$36,K501/(D501*Vendas!$U$32),0))))))))</f>
        <v>0.5590222340865566</v>
      </c>
    </row>
    <row r="502" spans="1:17">
      <c r="A502" s="263" t="s">
        <v>878</v>
      </c>
      <c r="B502" s="337" t="s">
        <v>619</v>
      </c>
      <c r="C502" s="166">
        <v>7</v>
      </c>
      <c r="D502" s="197">
        <v>256.60000000000002</v>
      </c>
      <c r="E502" s="166">
        <v>3697</v>
      </c>
      <c r="F502" s="338" t="s">
        <v>1120</v>
      </c>
      <c r="G502" s="34" t="str">
        <f t="shared" si="32"/>
        <v>XLVIII7VAGNER RODRIGO CREPALDI</v>
      </c>
      <c r="H502" s="40">
        <v>43844</v>
      </c>
      <c r="I502" s="35">
        <v>135700</v>
      </c>
      <c r="J502" s="35" t="s">
        <v>834</v>
      </c>
      <c r="K502" s="35">
        <v>122837.92</v>
      </c>
      <c r="L502" s="170">
        <f t="shared" si="33"/>
        <v>0.90521680176860719</v>
      </c>
      <c r="M502" s="154">
        <v>147965.16</v>
      </c>
      <c r="N502" s="170">
        <f t="shared" si="34"/>
        <v>0.83018137512911816</v>
      </c>
      <c r="O502" s="170">
        <f t="shared" si="35"/>
        <v>0.79950042945339495</v>
      </c>
      <c r="P502" s="170">
        <f>IF(A502=$X$29,K502/(D502*Vendas!$U$25),IF(A502=$X$30,K502/(D502*Vendas!$U$26),IF(A502=$X$31,K502/(D502*Vendas!$U$27),IF(A502=$X$32,K502/(D502*Vendas!$U$28),IF(A502=$X$33,K502/(D502*Vendas!$U$29),IF(A502=$X$34,K502/(D502*Vendas!$U$30),IF(A502=$X$35,K502/(D502*Vendas!$U$31),IF(A502=$X$36,K502/(D502*Vendas!$U$32),0))))))))</f>
        <v>0.93545749681836488</v>
      </c>
      <c r="Q502" s="170">
        <f>IF(A502=$X$29,K502/(D502*Vendas!$U$25),IF(A502=$X$30,K502/(D502*Vendas!$U$26),IF(A502=$X$31,K502/(D502*Vendas!$U$27),IF(A502=$X$32,K502/(D502*Vendas!$U$28),IF(A502=$X$33,K502/(D502*Vendas!$U$29),IF(A502=$X$34,K502/(D502*Vendas!$U$30),IF(A502=$X$35,K502/(D502*Vendas!$U$31),IF(A502=$X$36,K502/(D502*Vendas!$U$32),0))))))))</f>
        <v>0.93545749681836488</v>
      </c>
    </row>
    <row r="503" spans="1:17">
      <c r="A503" s="263" t="s">
        <v>878</v>
      </c>
      <c r="B503" s="337" t="s">
        <v>619</v>
      </c>
      <c r="C503" s="73">
        <v>8</v>
      </c>
      <c r="D503" s="315">
        <v>256.60000000000002</v>
      </c>
      <c r="E503" s="166">
        <v>6873</v>
      </c>
      <c r="F503" s="74" t="s">
        <v>902</v>
      </c>
      <c r="G503" s="34" t="str">
        <f t="shared" si="32"/>
        <v>XLVIII8RAPHAEL AUGUSTO FERREIRA</v>
      </c>
      <c r="H503" s="40">
        <v>43487</v>
      </c>
      <c r="I503" s="35">
        <v>127838.12</v>
      </c>
      <c r="J503" s="35" t="s">
        <v>834</v>
      </c>
      <c r="K503" s="35">
        <v>55196.04</v>
      </c>
      <c r="L503" s="170">
        <f t="shared" si="33"/>
        <v>0.43176511043810722</v>
      </c>
      <c r="M503" s="154">
        <v>140240.11000000002</v>
      </c>
      <c r="N503" s="170">
        <f t="shared" si="34"/>
        <v>0.39358240663102728</v>
      </c>
      <c r="O503" s="170">
        <f t="shared" si="35"/>
        <v>0.35924784206804194</v>
      </c>
      <c r="P503" s="170">
        <f>IF(A503=$X$29,K503/(D503*Vendas!$U$25),IF(A503=$X$30,K503/(D503*Vendas!$U$26),IF(A503=$X$31,K503/(D503*Vendas!$U$27),IF(A503=$X$32,K503/(D503*Vendas!$U$28),IF(A503=$X$33,K503/(D503*Vendas!$U$29),IF(A503=$X$34,K503/(D503*Vendas!$U$30),IF(A503=$X$35,K503/(D503*Vendas!$U$31),IF(A503=$X$36,K503/(D503*Vendas!$U$32),0))))))))</f>
        <v>0.42033884498114543</v>
      </c>
      <c r="Q503" s="170">
        <f>IF(A503=$X$29,K503/(D503*Vendas!$U$25),IF(A503=$X$30,K503/(D503*Vendas!$U$26),IF(A503=$X$31,K503/(D503*Vendas!$U$27),IF(A503=$X$32,K503/(D503*Vendas!$U$28),IF(A503=$X$33,K503/(D503*Vendas!$U$29),IF(A503=$X$34,K503/(D503*Vendas!$U$30),IF(A503=$X$35,K503/(D503*Vendas!$U$31),IF(A503=$X$36,K503/(D503*Vendas!$U$32),0))))))))</f>
        <v>0.42033884498114543</v>
      </c>
    </row>
    <row r="504" spans="1:17">
      <c r="A504" s="263" t="s">
        <v>878</v>
      </c>
      <c r="B504" s="337" t="s">
        <v>619</v>
      </c>
      <c r="C504" s="166">
        <v>9</v>
      </c>
      <c r="D504" s="197">
        <v>256.60000000000002</v>
      </c>
      <c r="E504" s="166"/>
      <c r="F504" s="338" t="s">
        <v>1051</v>
      </c>
      <c r="G504" s="34" t="str">
        <f t="shared" si="32"/>
        <v>XLVIII9DERIQUE APARECIDO BORTHOLAZZI</v>
      </c>
      <c r="H504" s="40">
        <v>43678</v>
      </c>
      <c r="I504" s="35">
        <v>122199.6</v>
      </c>
      <c r="J504" s="35" t="s">
        <v>834</v>
      </c>
      <c r="K504" s="35">
        <v>117091.15000000001</v>
      </c>
      <c r="L504" s="170">
        <f t="shared" si="33"/>
        <v>0.95819585334158219</v>
      </c>
      <c r="M504" s="154">
        <v>152429.88</v>
      </c>
      <c r="N504" s="170">
        <f t="shared" si="34"/>
        <v>0.76816402400894102</v>
      </c>
      <c r="O504" s="170">
        <f t="shared" si="35"/>
        <v>0.76209711716212625</v>
      </c>
      <c r="P504" s="170">
        <f>IF(A504=$X$29,K504/(D504*Vendas!$U$25),IF(A504=$X$30,K504/(D504*Vendas!$U$26),IF(A504=$X$31,K504/(D504*Vendas!$U$27),IF(A504=$X$32,K504/(D504*Vendas!$U$28),IF(A504=$X$33,K504/(D504*Vendas!$U$29),IF(A504=$X$34,K504/(D504*Vendas!$U$30),IF(A504=$X$35,K504/(D504*Vendas!$U$31),IF(A504=$X$36,K504/(D504*Vendas!$U$32),0))))))))</f>
        <v>0.89169365680063373</v>
      </c>
      <c r="Q504" s="170">
        <f>IF(A504=$X$29,K504/(D504*Vendas!$U$25),IF(A504=$X$30,K504/(D504*Vendas!$U$26),IF(A504=$X$31,K504/(D504*Vendas!$U$27),IF(A504=$X$32,K504/(D504*Vendas!$U$28),IF(A504=$X$33,K504/(D504*Vendas!$U$29),IF(A504=$X$34,K504/(D504*Vendas!$U$30),IF(A504=$X$35,K504/(D504*Vendas!$U$31),IF(A504=$X$36,K504/(D504*Vendas!$U$32),0))))))))</f>
        <v>0.89169365680063373</v>
      </c>
    </row>
    <row r="505" spans="1:17">
      <c r="A505" s="263" t="s">
        <v>878</v>
      </c>
      <c r="B505" s="337" t="s">
        <v>619</v>
      </c>
      <c r="C505" s="73">
        <v>10</v>
      </c>
      <c r="D505" s="315">
        <v>256.60000000000002</v>
      </c>
      <c r="E505" s="166">
        <v>4947</v>
      </c>
      <c r="F505" s="74" t="s">
        <v>1391</v>
      </c>
      <c r="G505" s="34" t="str">
        <f t="shared" si="32"/>
        <v>XLVIII10DIEGO FRANCISCO PAES</v>
      </c>
      <c r="H505" s="40">
        <v>44172</v>
      </c>
      <c r="I505" s="35">
        <v>129532</v>
      </c>
      <c r="J505" s="35" t="s">
        <v>834</v>
      </c>
      <c r="K505" s="35">
        <v>92083.34</v>
      </c>
      <c r="L505" s="170">
        <f t="shared" si="33"/>
        <v>0.71089259796806958</v>
      </c>
      <c r="M505" s="154">
        <v>132070.58000000002</v>
      </c>
      <c r="N505" s="170">
        <f t="shared" si="34"/>
        <v>0.69722825477104733</v>
      </c>
      <c r="O505" s="170">
        <f t="shared" si="35"/>
        <v>0.59933178513200958</v>
      </c>
      <c r="P505" s="170">
        <f>IF(A505=$X$29,K505/(D505*Vendas!$U$25),IF(A505=$X$30,K505/(D505*Vendas!$U$26),IF(A505=$X$31,K505/(D505*Vendas!$U$27),IF(A505=$X$32,K505/(D505*Vendas!$U$28),IF(A505=$X$33,K505/(D505*Vendas!$U$29),IF(A505=$X$34,K505/(D505*Vendas!$U$30),IF(A505=$X$35,K505/(D505*Vendas!$U$31),IF(A505=$X$36,K505/(D505*Vendas!$U$32),0))))))))</f>
        <v>0.7012496689546226</v>
      </c>
      <c r="Q505" s="170">
        <f>IF(A505=$X$29,K505/(D505*Vendas!$U$25),IF(A505=$X$30,K505/(D505*Vendas!$U$26),IF(A505=$X$31,K505/(D505*Vendas!$U$27),IF(A505=$X$32,K505/(D505*Vendas!$U$28),IF(A505=$X$33,K505/(D505*Vendas!$U$29),IF(A505=$X$34,K505/(D505*Vendas!$U$30),IF(A505=$X$35,K505/(D505*Vendas!$U$31),IF(A505=$X$36,K505/(D505*Vendas!$U$32),0))))))))</f>
        <v>0.7012496689546226</v>
      </c>
    </row>
    <row r="506" spans="1:17">
      <c r="A506" s="263" t="s">
        <v>878</v>
      </c>
      <c r="B506" s="337" t="s">
        <v>619</v>
      </c>
      <c r="C506" s="166">
        <v>11</v>
      </c>
      <c r="D506" s="197">
        <v>256.60000000000002</v>
      </c>
      <c r="E506" s="166">
        <v>3700</v>
      </c>
      <c r="F506" s="338" t="s">
        <v>1121</v>
      </c>
      <c r="G506" s="34" t="str">
        <f t="shared" si="32"/>
        <v>XLVIII11EMERSON FERREIRA DA CUNHA</v>
      </c>
      <c r="H506" s="40">
        <v>43839</v>
      </c>
      <c r="I506" s="35">
        <v>122200.2</v>
      </c>
      <c r="J506" s="35" t="s">
        <v>834</v>
      </c>
      <c r="K506" s="35">
        <v>83224.69</v>
      </c>
      <c r="L506" s="170">
        <f t="shared" si="33"/>
        <v>0.6810519950049182</v>
      </c>
      <c r="M506" s="154">
        <v>141927.23000000001</v>
      </c>
      <c r="N506" s="170">
        <f t="shared" si="34"/>
        <v>0.586389870358211</v>
      </c>
      <c r="O506" s="170">
        <f t="shared" si="35"/>
        <v>0.54167455290781275</v>
      </c>
      <c r="P506" s="170">
        <f>IF(A506=$X$29,K506/(D506*Vendas!$U$25),IF(A506=$X$30,K506/(D506*Vendas!$U$26),IF(A506=$X$31,K506/(D506*Vendas!$U$27),IF(A506=$X$32,K506/(D506*Vendas!$U$28),IF(A506=$X$33,K506/(D506*Vendas!$U$29),IF(A506=$X$34,K506/(D506*Vendas!$U$30),IF(A506=$X$35,K506/(D506*Vendas!$U$31),IF(A506=$X$36,K506/(D506*Vendas!$U$32),0))))))))</f>
        <v>0.63378767876307585</v>
      </c>
      <c r="Q506" s="170">
        <f>IF(A506=$X$29,K506/(D506*Vendas!$U$25),IF(A506=$X$30,K506/(D506*Vendas!$U$26),IF(A506=$X$31,K506/(D506*Vendas!$U$27),IF(A506=$X$32,K506/(D506*Vendas!$U$28),IF(A506=$X$33,K506/(D506*Vendas!$U$29),IF(A506=$X$34,K506/(D506*Vendas!$U$30),IF(A506=$X$35,K506/(D506*Vendas!$U$31),IF(A506=$X$36,K506/(D506*Vendas!$U$32),0))))))))</f>
        <v>0.63378767876307585</v>
      </c>
    </row>
    <row r="507" spans="1:17">
      <c r="A507" s="263" t="s">
        <v>878</v>
      </c>
      <c r="B507" s="337" t="s">
        <v>619</v>
      </c>
      <c r="C507" s="73">
        <v>12</v>
      </c>
      <c r="D507" s="315">
        <v>256.60000000000002</v>
      </c>
      <c r="E507" s="166">
        <v>4951</v>
      </c>
      <c r="F507" s="74" t="s">
        <v>1392</v>
      </c>
      <c r="G507" s="34" t="str">
        <f t="shared" si="32"/>
        <v>XLVIII12JOAO HENRIQUE ALVES</v>
      </c>
      <c r="H507" s="40">
        <v>44179</v>
      </c>
      <c r="I507" s="35">
        <v>130567.98</v>
      </c>
      <c r="J507" s="35" t="s">
        <v>834</v>
      </c>
      <c r="K507" s="35">
        <v>79786.5</v>
      </c>
      <c r="L507" s="170">
        <f t="shared" si="33"/>
        <v>0.61107248499976796</v>
      </c>
      <c r="M507" s="154">
        <v>132791.69</v>
      </c>
      <c r="N507" s="170">
        <f t="shared" si="34"/>
        <v>0.60083955554748947</v>
      </c>
      <c r="O507" s="170">
        <f t="shared" si="35"/>
        <v>0.51929681823481955</v>
      </c>
      <c r="P507" s="170">
        <f>IF(A507=$X$29,K507/(D507*Vendas!$U$25),IF(A507=$X$30,K507/(D507*Vendas!$U$26),IF(A507=$X$31,K507/(D507*Vendas!$U$27),IF(A507=$X$32,K507/(D507*Vendas!$U$28),IF(A507=$X$33,K507/(D507*Vendas!$U$29),IF(A507=$X$34,K507/(D507*Vendas!$U$30),IF(A507=$X$35,K507/(D507*Vendas!$U$31),IF(A507=$X$36,K507/(D507*Vendas!$U$32),0))))))))</f>
        <v>0.60760455378842682</v>
      </c>
      <c r="Q507" s="170">
        <f>IF(A507=$X$29,K507/(D507*Vendas!$U$25),IF(A507=$X$30,K507/(D507*Vendas!$U$26),IF(A507=$X$31,K507/(D507*Vendas!$U$27),IF(A507=$X$32,K507/(D507*Vendas!$U$28),IF(A507=$X$33,K507/(D507*Vendas!$U$29),IF(A507=$X$34,K507/(D507*Vendas!$U$30),IF(A507=$X$35,K507/(D507*Vendas!$U$31),IF(A507=$X$36,K507/(D507*Vendas!$U$32),0))))))))</f>
        <v>0.60760455378842682</v>
      </c>
    </row>
    <row r="508" spans="1:17">
      <c r="A508" s="263" t="s">
        <v>878</v>
      </c>
      <c r="B508" s="337" t="s">
        <v>619</v>
      </c>
      <c r="C508" s="166">
        <v>13</v>
      </c>
      <c r="D508" s="197">
        <v>256.60000000000002</v>
      </c>
      <c r="E508" s="166">
        <v>6788</v>
      </c>
      <c r="F508" s="338" t="s">
        <v>873</v>
      </c>
      <c r="G508" s="34" t="str">
        <f t="shared" si="32"/>
        <v>XLVIII13ANTONIO DONIZETI GARCIA</v>
      </c>
      <c r="H508" s="40">
        <v>43439</v>
      </c>
      <c r="I508" s="35">
        <v>122668.19</v>
      </c>
      <c r="J508" s="35" t="s">
        <v>834</v>
      </c>
      <c r="K508" s="35">
        <v>108701.42</v>
      </c>
      <c r="L508" s="170">
        <f t="shared" si="33"/>
        <v>0.88614187590116067</v>
      </c>
      <c r="M508" s="154">
        <v>162584.49</v>
      </c>
      <c r="N508" s="170">
        <f t="shared" si="34"/>
        <v>0.66858419274802905</v>
      </c>
      <c r="O508" s="170">
        <f t="shared" si="35"/>
        <v>0.70749188827191034</v>
      </c>
      <c r="P508" s="170">
        <f>IF(A508=$X$29,K508/(D508*Vendas!$U$25),IF(A508=$X$30,K508/(D508*Vendas!$U$26),IF(A508=$X$31,K508/(D508*Vendas!$U$27),IF(A508=$X$32,K508/(D508*Vendas!$U$28),IF(A508=$X$33,K508/(D508*Vendas!$U$29),IF(A508=$X$34,K508/(D508*Vendas!$U$30),IF(A508=$X$35,K508/(D508*Vendas!$U$31),IF(A508=$X$36,K508/(D508*Vendas!$U$32),0))))))))</f>
        <v>0.82780267081860182</v>
      </c>
      <c r="Q508" s="170">
        <f>IF(A508=$X$29,K508/(D508*Vendas!$U$25),IF(A508=$X$30,K508/(D508*Vendas!$U$26),IF(A508=$X$31,K508/(D508*Vendas!$U$27),IF(A508=$X$32,K508/(D508*Vendas!$U$28),IF(A508=$X$33,K508/(D508*Vendas!$U$29),IF(A508=$X$34,K508/(D508*Vendas!$U$30),IF(A508=$X$35,K508/(D508*Vendas!$U$31),IF(A508=$X$36,K508/(D508*Vendas!$U$32),0))))))))</f>
        <v>0.82780267081860182</v>
      </c>
    </row>
    <row r="509" spans="1:17">
      <c r="A509" s="263" t="s">
        <v>878</v>
      </c>
      <c r="B509" s="337" t="s">
        <v>619</v>
      </c>
      <c r="C509" s="73">
        <v>14</v>
      </c>
      <c r="D509" s="315">
        <v>256.60000000000002</v>
      </c>
      <c r="E509" s="166">
        <v>6789</v>
      </c>
      <c r="F509" s="74" t="s">
        <v>872</v>
      </c>
      <c r="G509" s="34" t="str">
        <f t="shared" si="32"/>
        <v>XLVIII14AILTON HORACIO GARCIA</v>
      </c>
      <c r="H509" s="40">
        <v>43439</v>
      </c>
      <c r="I509" s="35">
        <v>122668.19</v>
      </c>
      <c r="J509" s="35" t="s">
        <v>834</v>
      </c>
      <c r="K509" s="35">
        <v>108701.42</v>
      </c>
      <c r="L509" s="170">
        <f t="shared" si="33"/>
        <v>0.88614187590116067</v>
      </c>
      <c r="M509" s="154">
        <v>162537.75</v>
      </c>
      <c r="N509" s="170">
        <f t="shared" si="34"/>
        <v>0.66877645347004</v>
      </c>
      <c r="O509" s="170">
        <f t="shared" si="35"/>
        <v>0.70749188827191034</v>
      </c>
      <c r="P509" s="170">
        <f>IF(A509=$X$29,K509/(D509*Vendas!$U$25),IF(A509=$X$30,K509/(D509*Vendas!$U$26),IF(A509=$X$31,K509/(D509*Vendas!$U$27),IF(A509=$X$32,K509/(D509*Vendas!$U$28),IF(A509=$X$33,K509/(D509*Vendas!$U$29),IF(A509=$X$34,K509/(D509*Vendas!$U$30),IF(A509=$X$35,K509/(D509*Vendas!$U$31),IF(A509=$X$36,K509/(D509*Vendas!$U$32),0))))))))</f>
        <v>0.82780267081860182</v>
      </c>
      <c r="Q509" s="170">
        <f>IF(A509=$X$29,K509/(D509*Vendas!$U$25),IF(A509=$X$30,K509/(D509*Vendas!$U$26),IF(A509=$X$31,K509/(D509*Vendas!$U$27),IF(A509=$X$32,K509/(D509*Vendas!$U$28),IF(A509=$X$33,K509/(D509*Vendas!$U$29),IF(A509=$X$34,K509/(D509*Vendas!$U$30),IF(A509=$X$35,K509/(D509*Vendas!$U$31),IF(A509=$X$36,K509/(D509*Vendas!$U$32),0))))))))</f>
        <v>0.82780267081860182</v>
      </c>
    </row>
    <row r="510" spans="1:17">
      <c r="A510" s="263" t="s">
        <v>878</v>
      </c>
      <c r="B510" s="337" t="s">
        <v>619</v>
      </c>
      <c r="C510" s="166">
        <v>15</v>
      </c>
      <c r="D510" s="197">
        <v>256.60000000000002</v>
      </c>
      <c r="E510" s="166">
        <v>4938</v>
      </c>
      <c r="F510" s="338" t="s">
        <v>1384</v>
      </c>
      <c r="G510" s="34" t="str">
        <f t="shared" si="32"/>
        <v>XLVIII15ANDERSON NOVAES CORDEIRO</v>
      </c>
      <c r="H510" s="40">
        <v>44176</v>
      </c>
      <c r="I510" s="35">
        <v>129532</v>
      </c>
      <c r="J510" s="35" t="s">
        <v>834</v>
      </c>
      <c r="K510" s="35">
        <v>83252.680000000008</v>
      </c>
      <c r="L510" s="170">
        <f t="shared" si="33"/>
        <v>0.6427190192384894</v>
      </c>
      <c r="M510" s="154">
        <v>131827.46</v>
      </c>
      <c r="N510" s="170">
        <f t="shared" si="34"/>
        <v>0.63152760433979394</v>
      </c>
      <c r="O510" s="170">
        <f t="shared" si="35"/>
        <v>0.54185672806203555</v>
      </c>
      <c r="P510" s="170">
        <f>IF(A510=$X$29,K510/(D510*Vendas!$U$25),IF(A510=$X$30,K510/(D510*Vendas!$U$26),IF(A510=$X$31,K510/(D510*Vendas!$U$27),IF(A510=$X$32,K510/(D510*Vendas!$U$28),IF(A510=$X$33,K510/(D510*Vendas!$U$29),IF(A510=$X$34,K510/(D510*Vendas!$U$30),IF(A510=$X$35,K510/(D510*Vendas!$U$31),IF(A510=$X$36,K510/(D510*Vendas!$U$32),0))))))))</f>
        <v>0.63400083326240264</v>
      </c>
      <c r="Q510" s="170">
        <f>IF(A510=$X$29,K510/(D510*Vendas!$U$25),IF(A510=$X$30,K510/(D510*Vendas!$U$26),IF(A510=$X$31,K510/(D510*Vendas!$U$27),IF(A510=$X$32,K510/(D510*Vendas!$U$28),IF(A510=$X$33,K510/(D510*Vendas!$U$29),IF(A510=$X$34,K510/(D510*Vendas!$U$30),IF(A510=$X$35,K510/(D510*Vendas!$U$31),IF(A510=$X$36,K510/(D510*Vendas!$U$32),0))))))))</f>
        <v>0.63400083326240264</v>
      </c>
    </row>
    <row r="511" spans="1:17">
      <c r="A511" s="263" t="s">
        <v>878</v>
      </c>
      <c r="B511" s="337" t="s">
        <v>619</v>
      </c>
      <c r="C511" s="73">
        <v>16</v>
      </c>
      <c r="D511" s="315">
        <v>256.60000000000002</v>
      </c>
      <c r="E511" s="166">
        <v>4868</v>
      </c>
      <c r="F511" s="74" t="s">
        <v>1371</v>
      </c>
      <c r="G511" s="34" t="str">
        <f t="shared" si="32"/>
        <v>XLVIII16CARLOS HENRIQUE ANDRADE BARBOSA</v>
      </c>
      <c r="H511" s="40">
        <v>44147</v>
      </c>
      <c r="I511" s="35">
        <v>129532.6</v>
      </c>
      <c r="J511" s="35" t="s">
        <v>834</v>
      </c>
      <c r="K511" s="35">
        <v>125500.32</v>
      </c>
      <c r="L511" s="170">
        <f t="shared" si="33"/>
        <v>0.96887053915385013</v>
      </c>
      <c r="M511" s="154">
        <v>139328.41</v>
      </c>
      <c r="N511" s="170">
        <f t="shared" si="34"/>
        <v>0.90075182800119524</v>
      </c>
      <c r="O511" s="170">
        <f t="shared" si="35"/>
        <v>0.81682887284755801</v>
      </c>
      <c r="P511" s="170">
        <f>IF(A511=$X$29,K511/(D511*Vendas!$U$25),IF(A511=$X$30,K511/(D511*Vendas!$U$26),IF(A511=$X$31,K511/(D511*Vendas!$U$27),IF(A511=$X$32,K511/(D511*Vendas!$U$28),IF(A511=$X$33,K511/(D511*Vendas!$U$29),IF(A511=$X$34,K511/(D511*Vendas!$U$30),IF(A511=$X$35,K511/(D511*Vendas!$U$31),IF(A511=$X$36,K511/(D511*Vendas!$U$32),0))))))))</f>
        <v>0.9557326857789824</v>
      </c>
      <c r="Q511" s="170">
        <f>IF(A511=$X$29,K511/(D511*Vendas!$U$25),IF(A511=$X$30,K511/(D511*Vendas!$U$26),IF(A511=$X$31,K511/(D511*Vendas!$U$27),IF(A511=$X$32,K511/(D511*Vendas!$U$28),IF(A511=$X$33,K511/(D511*Vendas!$U$29),IF(A511=$X$34,K511/(D511*Vendas!$U$30),IF(A511=$X$35,K511/(D511*Vendas!$U$31),IF(A511=$X$36,K511/(D511*Vendas!$U$32),0))))))))</f>
        <v>0.9557326857789824</v>
      </c>
    </row>
    <row r="512" spans="1:17">
      <c r="A512" s="263" t="s">
        <v>878</v>
      </c>
      <c r="B512" s="337" t="s">
        <v>619</v>
      </c>
      <c r="C512" s="166">
        <v>17</v>
      </c>
      <c r="D512" s="197">
        <v>256.60000000000002</v>
      </c>
      <c r="E512" s="166">
        <v>4950</v>
      </c>
      <c r="F512" s="338" t="s">
        <v>1393</v>
      </c>
      <c r="G512" s="34" t="str">
        <f t="shared" si="32"/>
        <v>XLVIII17RONALDO ALEXANDRE FERIATO</v>
      </c>
      <c r="H512" s="40">
        <v>44174</v>
      </c>
      <c r="I512" s="35">
        <v>129532</v>
      </c>
      <c r="J512" s="35" t="s">
        <v>834</v>
      </c>
      <c r="K512" s="35">
        <v>128426.22</v>
      </c>
      <c r="L512" s="170">
        <f t="shared" si="33"/>
        <v>0.99146326776395022</v>
      </c>
      <c r="M512" s="154">
        <v>137343.76999999999</v>
      </c>
      <c r="N512" s="170">
        <f t="shared" si="34"/>
        <v>0.93507131775980823</v>
      </c>
      <c r="O512" s="170">
        <f t="shared" si="35"/>
        <v>0.83587232707193504</v>
      </c>
      <c r="P512" s="170">
        <f>IF(A512=$X$29,K512/(D512*Vendas!$U$25),IF(A512=$X$30,K512/(D512*Vendas!$U$26),IF(A512=$X$31,K512/(D512*Vendas!$U$27),IF(A512=$X$32,K512/(D512*Vendas!$U$28),IF(A512=$X$33,K512/(D512*Vendas!$U$29),IF(A512=$X$34,K512/(D512*Vendas!$U$30),IF(A512=$X$35,K512/(D512*Vendas!$U$31),IF(A512=$X$36,K512/(D512*Vendas!$U$32),0))))))))</f>
        <v>0.97801452749317663</v>
      </c>
      <c r="Q512" s="170">
        <f>IF(A512=$X$29,K512/(D512*Vendas!$U$25),IF(A512=$X$30,K512/(D512*Vendas!$U$26),IF(A512=$X$31,K512/(D512*Vendas!$U$27),IF(A512=$X$32,K512/(D512*Vendas!$U$28),IF(A512=$X$33,K512/(D512*Vendas!$U$29),IF(A512=$X$34,K512/(D512*Vendas!$U$30),IF(A512=$X$35,K512/(D512*Vendas!$U$31),IF(A512=$X$36,K512/(D512*Vendas!$U$32),0))))))))</f>
        <v>0.97801452749317663</v>
      </c>
    </row>
    <row r="513" spans="1:17">
      <c r="A513" s="263" t="s">
        <v>878</v>
      </c>
      <c r="B513" s="337" t="s">
        <v>619</v>
      </c>
      <c r="C513" s="73">
        <v>18</v>
      </c>
      <c r="D513" s="315">
        <v>256.60000000000002</v>
      </c>
      <c r="E513" s="166">
        <v>4848</v>
      </c>
      <c r="F513" s="74" t="s">
        <v>1356</v>
      </c>
      <c r="G513" s="34" t="str">
        <f t="shared" si="32"/>
        <v>XLVIII18ADRIANO RODRIGO MOLEIRO</v>
      </c>
      <c r="H513" s="40" t="s">
        <v>1353</v>
      </c>
      <c r="I513" s="35">
        <v>129531.9</v>
      </c>
      <c r="J513" s="35" t="s">
        <v>834</v>
      </c>
      <c r="K513" s="35">
        <v>88872.35</v>
      </c>
      <c r="L513" s="170">
        <f t="shared" si="33"/>
        <v>0.686103963579628</v>
      </c>
      <c r="M513" s="154">
        <v>133311.11000000002</v>
      </c>
      <c r="N513" s="170">
        <f t="shared" si="34"/>
        <v>0.66665373951203311</v>
      </c>
      <c r="O513" s="170">
        <f t="shared" si="35"/>
        <v>0.57843279983520102</v>
      </c>
      <c r="P513" s="170">
        <f>IF(A513=$X$29,K513/(D513*Vendas!$U$25),IF(A513=$X$30,K513/(D513*Vendas!$U$26),IF(A513=$X$31,K513/(D513*Vendas!$U$27),IF(A513=$X$32,K513/(D513*Vendas!$U$28),IF(A513=$X$33,K513/(D513*Vendas!$U$29),IF(A513=$X$34,K513/(D513*Vendas!$U$30),IF(A513=$X$35,K513/(D513*Vendas!$U$31),IF(A513=$X$36,K513/(D513*Vendas!$U$32),0))))))))</f>
        <v>0.6767967584225264</v>
      </c>
      <c r="Q513" s="170">
        <f>IF(A513=$X$29,K513/(D513*Vendas!$U$25),IF(A513=$X$30,K513/(D513*Vendas!$U$26),IF(A513=$X$31,K513/(D513*Vendas!$U$27),IF(A513=$X$32,K513/(D513*Vendas!$U$28),IF(A513=$X$33,K513/(D513*Vendas!$U$29),IF(A513=$X$34,K513/(D513*Vendas!$U$30),IF(A513=$X$35,K513/(D513*Vendas!$U$31),IF(A513=$X$36,K513/(D513*Vendas!$U$32),0))))))))</f>
        <v>0.6767967584225264</v>
      </c>
    </row>
    <row r="514" spans="1:17">
      <c r="A514" s="263" t="s">
        <v>878</v>
      </c>
      <c r="B514" s="337" t="s">
        <v>619</v>
      </c>
      <c r="C514" s="73">
        <v>19</v>
      </c>
      <c r="D514" s="315">
        <v>330.17</v>
      </c>
      <c r="E514" s="166">
        <v>4974</v>
      </c>
      <c r="F514" s="74" t="s">
        <v>1418</v>
      </c>
      <c r="G514" s="34" t="str">
        <f t="shared" si="32"/>
        <v>XLVIII19MARCELO MIRANDA FERREIRA</v>
      </c>
      <c r="H514" s="40">
        <v>44210</v>
      </c>
      <c r="I514" s="35">
        <v>188570.43</v>
      </c>
      <c r="J514" s="35" t="s">
        <v>834</v>
      </c>
      <c r="K514" s="35">
        <v>173789.28</v>
      </c>
      <c r="L514" s="170">
        <f t="shared" si="33"/>
        <v>0.92161469855056277</v>
      </c>
      <c r="M514" s="154">
        <v>195961</v>
      </c>
      <c r="N514" s="170">
        <f t="shared" si="34"/>
        <v>0.88685646633768966</v>
      </c>
      <c r="O514" s="170">
        <f t="shared" si="35"/>
        <v>0.87907974526206745</v>
      </c>
      <c r="P514" s="170">
        <f>IF(A514=$X$29,K514/(D514*Vendas!$U$25),IF(A514=$X$30,K514/(D514*Vendas!$U$26),IF(A514=$X$31,K514/(D514*Vendas!$U$27),IF(A514=$X$32,K514/(D514*Vendas!$U$28),IF(A514=$X$33,K514/(D514*Vendas!$U$29),IF(A514=$X$34,K514/(D514*Vendas!$U$30),IF(A514=$X$35,K514/(D514*Vendas!$U$31),IF(A514=$X$36,K514/(D514*Vendas!$U$32),0))))))))</f>
        <v>1.0285694762775808</v>
      </c>
      <c r="Q514" s="170">
        <f>IF(A514=$X$29,K514/(D514*Vendas!$U$25),IF(A514=$X$30,K514/(D514*Vendas!$U$26),IF(A514=$X$31,K514/(D514*Vendas!$U$27),IF(A514=$X$32,K514/(D514*Vendas!$U$28),IF(A514=$X$33,K514/(D514*Vendas!$U$29),IF(A514=$X$34,K514/(D514*Vendas!$U$30),IF(A514=$X$35,K514/(D514*Vendas!$U$31),IF(A514=$X$36,K514/(D514*Vendas!$U$32),0))))))))</f>
        <v>1.0285694762775808</v>
      </c>
    </row>
    <row r="515" spans="1:17">
      <c r="A515" s="263" t="s">
        <v>878</v>
      </c>
      <c r="B515" s="337" t="s">
        <v>619</v>
      </c>
      <c r="C515" s="166">
        <v>21</v>
      </c>
      <c r="D515" s="197">
        <v>250.07</v>
      </c>
      <c r="E515" s="166">
        <v>4680</v>
      </c>
      <c r="F515" s="338" t="s">
        <v>1254</v>
      </c>
      <c r="G515" s="34" t="str">
        <f t="shared" si="32"/>
        <v>XLVIII21RODOLFO ALEXANDRE HILDEBRANDT</v>
      </c>
      <c r="H515" s="40">
        <v>44050</v>
      </c>
      <c r="I515" s="35">
        <v>126507.02</v>
      </c>
      <c r="J515" s="35" t="s">
        <v>834</v>
      </c>
      <c r="K515" s="35">
        <v>128755.48</v>
      </c>
      <c r="L515" s="170">
        <f t="shared" si="33"/>
        <v>1.0177734010333972</v>
      </c>
      <c r="M515" s="154">
        <v>141580.47</v>
      </c>
      <c r="N515" s="170">
        <f t="shared" si="34"/>
        <v>0.90941554297707861</v>
      </c>
      <c r="O515" s="170">
        <f t="shared" si="35"/>
        <v>0.85989817566586335</v>
      </c>
      <c r="P515" s="170">
        <f>IF(A515=$X$29,K515/(D515*Vendas!$U$25),IF(A515=$X$30,K515/(D515*Vendas!$U$26),IF(A515=$X$31,K515/(D515*Vendas!$U$27),IF(A515=$X$32,K515/(D515*Vendas!$U$28),IF(A515=$X$33,K515/(D515*Vendas!$U$29),IF(A515=$X$34,K515/(D515*Vendas!$U$30),IF(A515=$X$35,K515/(D515*Vendas!$U$31),IF(A515=$X$36,K515/(D515*Vendas!$U$32),0))))))))</f>
        <v>1.0061260323237358</v>
      </c>
      <c r="Q515" s="170">
        <f>IF(A515=$X$29,K515/(D515*Vendas!$U$25),IF(A515=$X$30,K515/(D515*Vendas!$U$26),IF(A515=$X$31,K515/(D515*Vendas!$U$27),IF(A515=$X$32,K515/(D515*Vendas!$U$28),IF(A515=$X$33,K515/(D515*Vendas!$U$29),IF(A515=$X$34,K515/(D515*Vendas!$U$30),IF(A515=$X$35,K515/(D515*Vendas!$U$31),IF(A515=$X$36,K515/(D515*Vendas!$U$32),0))))))))</f>
        <v>1.0061260323237358</v>
      </c>
    </row>
    <row r="516" spans="1:17">
      <c r="A516" s="263" t="s">
        <v>878</v>
      </c>
      <c r="B516" s="337" t="s">
        <v>619</v>
      </c>
      <c r="C516" s="73">
        <v>31</v>
      </c>
      <c r="D516" s="315">
        <v>250.07</v>
      </c>
      <c r="E516" s="166">
        <v>5014</v>
      </c>
      <c r="F516" s="74" t="s">
        <v>1484</v>
      </c>
      <c r="G516" s="34" t="str">
        <f t="shared" si="32"/>
        <v>XLVIII31RAFAEL STELLATO LIU</v>
      </c>
      <c r="H516" s="40">
        <v>44230</v>
      </c>
      <c r="I516" s="35">
        <v>148211.69</v>
      </c>
      <c r="J516" s="35" t="s">
        <v>834</v>
      </c>
      <c r="K516" s="35">
        <v>143460.26</v>
      </c>
      <c r="L516" s="170">
        <f t="shared" si="33"/>
        <v>0.96794159758923204</v>
      </c>
      <c r="M516" s="154">
        <v>151454.07</v>
      </c>
      <c r="N516" s="170">
        <f t="shared" si="34"/>
        <v>0.94721957620551234</v>
      </c>
      <c r="O516" s="170">
        <f t="shared" si="35"/>
        <v>0.95810458595277215</v>
      </c>
      <c r="P516" s="170">
        <f>IF(A516=$X$29,K516/(D516*Vendas!$U$25),IF(A516=$X$30,K516/(D516*Vendas!$U$26),IF(A516=$X$31,K516/(D516*Vendas!$U$27),IF(A516=$X$32,K516/(D516*Vendas!$U$28),IF(A516=$X$33,K516/(D516*Vendas!$U$29),IF(A516=$X$34,K516/(D516*Vendas!$U$30),IF(A516=$X$35,K516/(D516*Vendas!$U$31),IF(A516=$X$36,K516/(D516*Vendas!$U$32),0))))))))</f>
        <v>1.1210326907245545</v>
      </c>
      <c r="Q516" s="170">
        <f>IF(A516=$X$29,K516/(D516*Vendas!$U$25),IF(A516=$X$30,K516/(D516*Vendas!$U$26),IF(A516=$X$31,K516/(D516*Vendas!$U$27),IF(A516=$X$32,K516/(D516*Vendas!$U$28),IF(A516=$X$33,K516/(D516*Vendas!$U$29),IF(A516=$X$34,K516/(D516*Vendas!$U$30),IF(A516=$X$35,K516/(D516*Vendas!$U$31),IF(A516=$X$36,K516/(D516*Vendas!$U$32),0))))))))</f>
        <v>1.1210326907245545</v>
      </c>
    </row>
    <row r="517" spans="1:17">
      <c r="A517" s="263" t="s">
        <v>878</v>
      </c>
      <c r="B517" s="337" t="s">
        <v>619</v>
      </c>
      <c r="C517" s="73">
        <v>32</v>
      </c>
      <c r="D517" s="315">
        <v>250.07</v>
      </c>
      <c r="E517" s="166">
        <v>5125</v>
      </c>
      <c r="F517" s="74" t="s">
        <v>1489</v>
      </c>
      <c r="G517" s="34" t="str">
        <f>CONCATENATE(B517,C517,F517)</f>
        <v>XLVIII32GISELE MIYUKI KAWABATA</v>
      </c>
      <c r="H517" s="40">
        <v>44280</v>
      </c>
      <c r="I517" s="35">
        <v>150000</v>
      </c>
      <c r="J517" s="35" t="s">
        <v>834</v>
      </c>
      <c r="K517" s="35">
        <v>153300</v>
      </c>
      <c r="L517" s="170">
        <f t="shared" ref="L517:L519" si="36">K517/I517</f>
        <v>1.022</v>
      </c>
      <c r="M517" s="154">
        <v>153300</v>
      </c>
      <c r="N517" s="170">
        <f t="shared" ref="N517:N519" si="37">K517/M517</f>
        <v>1</v>
      </c>
      <c r="O517" s="170">
        <f t="shared" ref="O517:O519" si="38">K517/(D517*$U$10)</f>
        <v>1.0238196489157343</v>
      </c>
      <c r="P517" s="170">
        <f>IF(A517=$X$29,K517/(D517*Vendas!$U$25),IF(A517=$X$30,K517/(D517*Vendas!$U$26),IF(A517=$X$31,K517/(D517*Vendas!$U$27),IF(A517=$X$32,K517/(D517*Vendas!$U$28),IF(A517=$X$33,K517/(D517*Vendas!$U$29),IF(A517=$X$34,K517/(D517*Vendas!$U$30),IF(A517=$X$35,K517/(D517*Vendas!$U$31),IF(A517=$X$36,K517/(D517*Vendas!$U$32),0))))))))</f>
        <v>1.1979227661240415</v>
      </c>
      <c r="Q517" s="170">
        <f>IF(A517=$X$29,K517/(D517*Vendas!$U$25),IF(A517=$X$30,K517/(D517*Vendas!$U$26),IF(A517=$X$31,K517/(D517*Vendas!$U$27),IF(A517=$X$32,K517/(D517*Vendas!$U$28),IF(A517=$X$33,K517/(D517*Vendas!$U$29),IF(A517=$X$34,K517/(D517*Vendas!$U$30),IF(A517=$X$35,K517/(D517*Vendas!$U$31),IF(A517=$X$36,K517/(D517*Vendas!$U$32),0))))))))</f>
        <v>1.1979227661240415</v>
      </c>
    </row>
    <row r="518" spans="1:17">
      <c r="A518" s="263" t="s">
        <v>878</v>
      </c>
      <c r="B518" s="337" t="s">
        <v>619</v>
      </c>
      <c r="C518" s="166">
        <v>33</v>
      </c>
      <c r="D518" s="197">
        <v>250.07</v>
      </c>
      <c r="E518" s="166">
        <v>4862</v>
      </c>
      <c r="F518" s="338" t="s">
        <v>1372</v>
      </c>
      <c r="G518" s="34" t="str">
        <f t="shared" ref="G518:G519" si="39">CONCATENATE(B518,C518,F518)</f>
        <v>XLVIII33RAUL RANGEL DE OLIVEIRA</v>
      </c>
      <c r="H518" s="40">
        <v>44141</v>
      </c>
      <c r="I518" s="35">
        <v>131599.9</v>
      </c>
      <c r="J518" s="35" t="s">
        <v>834</v>
      </c>
      <c r="K518" s="35">
        <v>37309.950000000004</v>
      </c>
      <c r="L518" s="170">
        <f t="shared" si="36"/>
        <v>0.28351047379215338</v>
      </c>
      <c r="M518" s="154">
        <v>132938.58000000002</v>
      </c>
      <c r="N518" s="170">
        <f t="shared" si="37"/>
        <v>0.28065554784773539</v>
      </c>
      <c r="O518" s="170">
        <f t="shared" si="38"/>
        <v>0.24917586373166084</v>
      </c>
      <c r="P518" s="170">
        <f>IF(A518=$X$29,K518/(D518*Vendas!$U$25),IF(A518=$X$30,K518/(D518*Vendas!$U$26),IF(A518=$X$31,K518/(D518*Vendas!$U$27),IF(A518=$X$32,K518/(D518*Vendas!$U$28),IF(A518=$X$33,K518/(D518*Vendas!$U$29),IF(A518=$X$34,K518/(D518*Vendas!$U$30),IF(A518=$X$35,K518/(D518*Vendas!$U$31),IF(A518=$X$36,K518/(D518*Vendas!$U$32),0))))))))</f>
        <v>0.29154884871460984</v>
      </c>
      <c r="Q518" s="170">
        <f>IF(A518=$X$29,K518/(D518*Vendas!$U$25),IF(A518=$X$30,K518/(D518*Vendas!$U$26),IF(A518=$X$31,K518/(D518*Vendas!$U$27),IF(A518=$X$32,K518/(D518*Vendas!$U$28),IF(A518=$X$33,K518/(D518*Vendas!$U$29),IF(A518=$X$34,K518/(D518*Vendas!$U$30),IF(A518=$X$35,K518/(D518*Vendas!$U$31),IF(A518=$X$36,K518/(D518*Vendas!$U$32),0))))))))</f>
        <v>0.29154884871460984</v>
      </c>
    </row>
    <row r="519" spans="1:17">
      <c r="A519" s="263" t="s">
        <v>878</v>
      </c>
      <c r="B519" s="337" t="s">
        <v>619</v>
      </c>
      <c r="C519" s="73">
        <v>36</v>
      </c>
      <c r="D519" s="315">
        <v>254.95</v>
      </c>
      <c r="E519" s="166">
        <v>5124</v>
      </c>
      <c r="F519" s="74" t="s">
        <v>1497</v>
      </c>
      <c r="G519" s="34" t="str">
        <f t="shared" si="39"/>
        <v>XLVIII36RENATA PACHECO ABREU</v>
      </c>
      <c r="H519" s="40">
        <v>44256</v>
      </c>
      <c r="I519" s="35">
        <v>151104.97</v>
      </c>
      <c r="J519" s="35" t="s">
        <v>834</v>
      </c>
      <c r="K519" s="35">
        <v>146206.03</v>
      </c>
      <c r="L519" s="170">
        <f t="shared" si="36"/>
        <v>0.96757922654694939</v>
      </c>
      <c r="M519" s="154">
        <v>152636.01999999999</v>
      </c>
      <c r="N519" s="170">
        <f t="shared" si="37"/>
        <v>0.95787370504026514</v>
      </c>
      <c r="O519" s="170">
        <f t="shared" si="38"/>
        <v>0.9577522210507774</v>
      </c>
      <c r="P519" s="170">
        <f>IF(A519=$X$29,K519/(D519*Vendas!$U$25),IF(A519=$X$30,K519/(D519*Vendas!$U$26),IF(A519=$X$31,K519/(D519*Vendas!$U$27),IF(A519=$X$32,K519/(D519*Vendas!$U$28),IF(A519=$X$33,K519/(D519*Vendas!$U$29),IF(A519=$X$34,K519/(D519*Vendas!$U$30),IF(A519=$X$35,K519/(D519*Vendas!$U$31),IF(A519=$X$36,K519/(D519*Vendas!$U$32),0))))))))</f>
        <v>1.1206204052809905</v>
      </c>
      <c r="Q519" s="170">
        <f>IF(A519=$X$29,K519/(D519*Vendas!$U$25),IF(A519=$X$30,K519/(D519*Vendas!$U$26),IF(A519=$X$31,K519/(D519*Vendas!$U$27),IF(A519=$X$32,K519/(D519*Vendas!$U$28),IF(A519=$X$33,K519/(D519*Vendas!$U$29),IF(A519=$X$34,K519/(D519*Vendas!$U$30),IF(A519=$X$35,K519/(D519*Vendas!$U$31),IF(A519=$X$36,K519/(D519*Vendas!$U$32),0))))))))</f>
        <v>1.1206204052809905</v>
      </c>
    </row>
    <row r="520" spans="1:17">
      <c r="L520" s="480"/>
      <c r="N520" s="480"/>
      <c r="O520" s="480"/>
      <c r="P520" s="480"/>
      <c r="Q520" s="480"/>
    </row>
    <row r="521" spans="1:17">
      <c r="L521" s="480"/>
      <c r="N521" s="480"/>
      <c r="O521" s="480"/>
      <c r="P521" s="480"/>
      <c r="Q521" s="480"/>
    </row>
    <row r="522" spans="1:17">
      <c r="L522" s="480"/>
      <c r="N522" s="480"/>
      <c r="O522" s="480"/>
      <c r="P522" s="480"/>
      <c r="Q522" s="480"/>
    </row>
    <row r="523" spans="1:17">
      <c r="L523" s="480"/>
      <c r="N523" s="480"/>
      <c r="O523" s="480"/>
      <c r="P523" s="480"/>
      <c r="Q523" s="480"/>
    </row>
    <row r="524" spans="1:17">
      <c r="L524" s="480"/>
      <c r="N524" s="480"/>
      <c r="O524" s="480"/>
      <c r="P524" s="480"/>
      <c r="Q524" s="480"/>
    </row>
    <row r="525" spans="1:17">
      <c r="L525" s="480"/>
      <c r="N525" s="480"/>
      <c r="O525" s="480"/>
      <c r="P525" s="480"/>
      <c r="Q525" s="480"/>
    </row>
    <row r="527" spans="1:17">
      <c r="A527" s="285" t="s">
        <v>1099</v>
      </c>
      <c r="B527" t="s">
        <v>1103</v>
      </c>
      <c r="C527" t="s">
        <v>1102</v>
      </c>
      <c r="D527" t="s">
        <v>1105</v>
      </c>
    </row>
    <row r="528" spans="1:17">
      <c r="A528" s="162" t="s">
        <v>37</v>
      </c>
      <c r="B528" s="286">
        <v>2182447.36</v>
      </c>
      <c r="C528" s="286">
        <v>4540832.669999999</v>
      </c>
      <c r="D528" s="286">
        <v>0.87559182248859813</v>
      </c>
      <c r="E528" s="284">
        <f t="shared" ref="E528:E536" si="40">B528/C528</f>
        <v>0.48062712691855264</v>
      </c>
      <c r="F528">
        <v>57</v>
      </c>
    </row>
    <row r="529" spans="1:6">
      <c r="A529" s="162" t="s">
        <v>34</v>
      </c>
      <c r="B529" s="286">
        <v>6742881.5599999977</v>
      </c>
      <c r="C529" s="286">
        <v>12870958.579999998</v>
      </c>
      <c r="D529" s="286">
        <v>0.84950414293731302</v>
      </c>
      <c r="E529" s="284">
        <f t="shared" si="40"/>
        <v>0.52388340138687628</v>
      </c>
      <c r="F529">
        <v>64</v>
      </c>
    </row>
    <row r="530" spans="1:6">
      <c r="A530" s="162" t="s">
        <v>38</v>
      </c>
      <c r="B530" s="286">
        <v>5290215.0600000015</v>
      </c>
      <c r="C530" s="286">
        <v>8922378.3999999966</v>
      </c>
      <c r="D530" s="286">
        <v>0.9918153545684415</v>
      </c>
      <c r="E530" s="284">
        <f t="shared" si="40"/>
        <v>0.59291534418670289</v>
      </c>
      <c r="F530">
        <v>66</v>
      </c>
    </row>
    <row r="531" spans="1:6">
      <c r="A531" s="162" t="s">
        <v>35</v>
      </c>
      <c r="B531" s="286">
        <v>5555226.580000001</v>
      </c>
      <c r="C531" s="286">
        <v>9213092.8499999996</v>
      </c>
      <c r="D531" s="286">
        <v>1.0318694618900506</v>
      </c>
      <c r="E531" s="284">
        <f t="shared" si="40"/>
        <v>0.60297086661836918</v>
      </c>
      <c r="F531">
        <v>83</v>
      </c>
    </row>
    <row r="532" spans="1:6">
      <c r="A532" s="162" t="s">
        <v>36</v>
      </c>
      <c r="B532" s="286">
        <v>4647841.5599999996</v>
      </c>
      <c r="C532" s="286">
        <v>7447489.0200000023</v>
      </c>
      <c r="D532" s="286">
        <v>0.92152626815501937</v>
      </c>
      <c r="E532" s="284">
        <f t="shared" si="40"/>
        <v>0.62408169351017029</v>
      </c>
    </row>
    <row r="533" spans="1:6">
      <c r="A533" s="162" t="s">
        <v>33</v>
      </c>
      <c r="B533" s="286">
        <v>17069747.990000002</v>
      </c>
      <c r="C533" s="286">
        <v>26448878.570000004</v>
      </c>
      <c r="D533" s="286">
        <v>0.90821452770678779</v>
      </c>
      <c r="E533" s="284">
        <f t="shared" si="40"/>
        <v>0.64538645541522477</v>
      </c>
    </row>
    <row r="534" spans="1:6">
      <c r="A534" s="162" t="s">
        <v>612</v>
      </c>
      <c r="B534" s="286">
        <v>3974221.71</v>
      </c>
      <c r="C534" s="286">
        <v>5178662.2300000004</v>
      </c>
      <c r="D534" s="286">
        <v>0.87843130438384731</v>
      </c>
      <c r="E534" s="284">
        <f t="shared" si="40"/>
        <v>0.76742246037544715</v>
      </c>
    </row>
    <row r="535" spans="1:6">
      <c r="A535" s="162" t="s">
        <v>878</v>
      </c>
      <c r="B535" s="286">
        <v>10751278.699999996</v>
      </c>
      <c r="C535" s="286">
        <v>14611676.380000001</v>
      </c>
      <c r="D535" s="286">
        <v>0.78409799620012932</v>
      </c>
      <c r="E535" s="284">
        <f t="shared" si="40"/>
        <v>0.73580049409772075</v>
      </c>
    </row>
    <row r="536" spans="1:6">
      <c r="A536" s="162" t="s">
        <v>1100</v>
      </c>
      <c r="B536" s="286">
        <v>0</v>
      </c>
      <c r="C536" s="286">
        <v>89233968.699999973</v>
      </c>
      <c r="D536" s="286">
        <v>0.89987418621175508</v>
      </c>
      <c r="E536" s="284">
        <f t="shared" si="40"/>
        <v>0</v>
      </c>
    </row>
    <row r="537" spans="1:6">
      <c r="A537" s="162" t="s">
        <v>1101</v>
      </c>
      <c r="B537" s="286">
        <v>56213860.519999996</v>
      </c>
      <c r="C537" s="286">
        <v>178467937.39999995</v>
      </c>
      <c r="D537" s="286">
        <v>0.89445591349902476</v>
      </c>
    </row>
    <row r="542" spans="1:6">
      <c r="D542" s="287">
        <v>0.9</v>
      </c>
    </row>
    <row r="543" spans="1:6">
      <c r="D543" s="287">
        <v>0.99</v>
      </c>
    </row>
    <row r="544" spans="1:6">
      <c r="D544" s="287">
        <v>0.88</v>
      </c>
    </row>
    <row r="545" spans="4:4">
      <c r="D545" s="287">
        <v>0.87</v>
      </c>
    </row>
  </sheetData>
  <autoFilter ref="A3:AV485" xr:uid="{00000000-0009-0000-0000-000006000000}"/>
  <sortState xmlns:xlrd2="http://schemas.microsoft.com/office/spreadsheetml/2017/richdata2" ref="AQ15:AT19">
    <sortCondition ref="AQ15"/>
  </sortState>
  <pageMargins left="0.511811024" right="0.511811024" top="0.78740157499999996" bottom="0.78740157499999996" header="0.31496062000000002" footer="0.31496062000000002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"/>
  <dimension ref="A1:G27"/>
  <sheetViews>
    <sheetView showGridLines="0" zoomScale="90" zoomScaleNormal="90" workbookViewId="0">
      <selection activeCell="D14" sqref="D14"/>
    </sheetView>
  </sheetViews>
  <sheetFormatPr defaultColWidth="8.85546875" defaultRowHeight="15"/>
  <cols>
    <col min="2" max="2" width="29.7109375" customWidth="1"/>
    <col min="3" max="3" width="13" customWidth="1"/>
    <col min="6" max="7" width="14.85546875" customWidth="1"/>
    <col min="9" max="9" width="18.42578125" customWidth="1"/>
  </cols>
  <sheetData>
    <row r="1" spans="1:7" ht="30">
      <c r="A1" s="272" t="s">
        <v>597</v>
      </c>
      <c r="B1" s="272" t="s">
        <v>598</v>
      </c>
      <c r="C1" s="272" t="s">
        <v>599</v>
      </c>
      <c r="D1" s="272" t="s">
        <v>600</v>
      </c>
      <c r="E1" s="272" t="s">
        <v>18</v>
      </c>
      <c r="F1" s="272" t="s">
        <v>1069</v>
      </c>
      <c r="G1" s="272" t="s">
        <v>611</v>
      </c>
    </row>
    <row r="2" spans="1:7">
      <c r="A2" s="557">
        <v>1</v>
      </c>
      <c r="B2" s="78" t="s">
        <v>601</v>
      </c>
      <c r="C2" s="78">
        <v>206</v>
      </c>
      <c r="D2" s="78">
        <f>Vendas!S40</f>
        <v>15</v>
      </c>
      <c r="E2" s="78">
        <f>C2-D2</f>
        <v>191</v>
      </c>
      <c r="F2" s="79">
        <f t="shared" ref="F2:F12" si="0">E2/C2</f>
        <v>0.92718446601941751</v>
      </c>
      <c r="G2" s="80">
        <f>Vendas!T40</f>
        <v>2541693.2081500003</v>
      </c>
    </row>
    <row r="3" spans="1:7">
      <c r="A3" s="557"/>
      <c r="B3" s="78" t="s">
        <v>602</v>
      </c>
      <c r="C3" s="78">
        <v>57</v>
      </c>
      <c r="D3" s="174">
        <f>Vendas!S41</f>
        <v>3</v>
      </c>
      <c r="E3" s="78">
        <f>C3-D3</f>
        <v>54</v>
      </c>
      <c r="F3" s="79">
        <f t="shared" si="0"/>
        <v>0.94736842105263153</v>
      </c>
      <c r="G3" s="80">
        <f>Vendas!T41</f>
        <v>550724.36475000007</v>
      </c>
    </row>
    <row r="4" spans="1:7">
      <c r="A4" s="557"/>
      <c r="B4" s="275" t="s">
        <v>603</v>
      </c>
      <c r="C4" s="275">
        <f>SUM(C2:C3)</f>
        <v>263</v>
      </c>
      <c r="D4" s="275">
        <f>SUM(D2:D3)</f>
        <v>18</v>
      </c>
      <c r="E4" s="275">
        <f>SUM(E2:E3)</f>
        <v>245</v>
      </c>
      <c r="F4" s="276">
        <f>E4/C4</f>
        <v>0.9315589353612167</v>
      </c>
      <c r="G4" s="277">
        <f>SUM(G2:G3)</f>
        <v>3092417.5729000005</v>
      </c>
    </row>
    <row r="5" spans="1:7">
      <c r="A5" s="557">
        <v>2</v>
      </c>
      <c r="B5" s="78" t="s">
        <v>604</v>
      </c>
      <c r="C5" s="78">
        <v>205</v>
      </c>
      <c r="D5" s="78">
        <f>Vendas!S42</f>
        <v>14</v>
      </c>
      <c r="E5" s="78">
        <f>C5-D5</f>
        <v>191</v>
      </c>
      <c r="F5" s="79">
        <f t="shared" si="0"/>
        <v>0.93170731707317078</v>
      </c>
      <c r="G5" s="80">
        <f>Vendas!T42</f>
        <v>2221812.6260000002</v>
      </c>
    </row>
    <row r="6" spans="1:7">
      <c r="A6" s="557"/>
      <c r="B6" s="78" t="s">
        <v>602</v>
      </c>
      <c r="C6" s="78">
        <v>125</v>
      </c>
      <c r="D6" s="174">
        <f>Vendas!S43</f>
        <v>5</v>
      </c>
      <c r="E6" s="78">
        <f>C6-D6</f>
        <v>120</v>
      </c>
      <c r="F6" s="79">
        <f t="shared" si="0"/>
        <v>0.96</v>
      </c>
      <c r="G6" s="80">
        <f>Vendas!T43</f>
        <v>800000</v>
      </c>
    </row>
    <row r="7" spans="1:7">
      <c r="A7" s="557"/>
      <c r="B7" s="275" t="s">
        <v>605</v>
      </c>
      <c r="C7" s="275">
        <f>SUM(C5:C6)</f>
        <v>330</v>
      </c>
      <c r="D7" s="275">
        <f>SUM(D5:D6)</f>
        <v>19</v>
      </c>
      <c r="E7" s="275">
        <f>SUM(E5:E6)</f>
        <v>311</v>
      </c>
      <c r="F7" s="276">
        <f t="shared" si="0"/>
        <v>0.94242424242424239</v>
      </c>
      <c r="G7" s="277">
        <f>SUM(G5:G6)</f>
        <v>3021812.6260000002</v>
      </c>
    </row>
    <row r="8" spans="1:7">
      <c r="A8" s="557">
        <v>3</v>
      </c>
      <c r="B8" s="78" t="s">
        <v>606</v>
      </c>
      <c r="C8" s="78">
        <v>258</v>
      </c>
      <c r="D8" s="78">
        <f>Vendas!S44</f>
        <v>8</v>
      </c>
      <c r="E8" s="78">
        <f>C8-D8</f>
        <v>250</v>
      </c>
      <c r="F8" s="79">
        <f t="shared" si="0"/>
        <v>0.96899224806201545</v>
      </c>
      <c r="G8" s="80">
        <f>Vendas!T44</f>
        <v>1386822.2201228475</v>
      </c>
    </row>
    <row r="9" spans="1:7">
      <c r="A9" s="557"/>
      <c r="B9" s="78" t="s">
        <v>602</v>
      </c>
      <c r="C9" s="78">
        <v>92</v>
      </c>
      <c r="D9" s="174">
        <f>Vendas!S45</f>
        <v>5</v>
      </c>
      <c r="E9" s="78">
        <f>C9-D9</f>
        <v>87</v>
      </c>
      <c r="F9" s="79">
        <f t="shared" si="0"/>
        <v>0.94565217391304346</v>
      </c>
      <c r="G9" s="80">
        <f>Vendas!T45</f>
        <v>887766.48425196856</v>
      </c>
    </row>
    <row r="10" spans="1:7">
      <c r="A10" s="557"/>
      <c r="B10" s="275" t="s">
        <v>607</v>
      </c>
      <c r="C10" s="275">
        <f>SUM(C8:C9)</f>
        <v>350</v>
      </c>
      <c r="D10" s="275">
        <f>SUM(D8:D9)</f>
        <v>13</v>
      </c>
      <c r="E10" s="275">
        <f>SUM(E8:E9)</f>
        <v>337</v>
      </c>
      <c r="F10" s="276">
        <f t="shared" si="0"/>
        <v>0.96285714285714286</v>
      </c>
      <c r="G10" s="277">
        <f>SUM(G8:G9)</f>
        <v>2274588.7043748163</v>
      </c>
    </row>
    <row r="11" spans="1:7">
      <c r="A11" s="557">
        <v>4</v>
      </c>
      <c r="B11" s="78" t="s">
        <v>608</v>
      </c>
      <c r="C11" s="78">
        <v>168</v>
      </c>
      <c r="D11" s="78">
        <f>Vendas!S46</f>
        <v>50</v>
      </c>
      <c r="E11" s="173">
        <f>C11-D11</f>
        <v>118</v>
      </c>
      <c r="F11" s="79">
        <f t="shared" si="0"/>
        <v>0.70238095238095233</v>
      </c>
      <c r="G11" s="80">
        <f>Vendas!T46</f>
        <v>8526354.5915724989</v>
      </c>
    </row>
    <row r="12" spans="1:7">
      <c r="A12" s="557"/>
      <c r="B12" s="78" t="s">
        <v>602</v>
      </c>
      <c r="C12" s="78">
        <v>71</v>
      </c>
      <c r="D12" s="174">
        <f>Vendas!S47</f>
        <v>29</v>
      </c>
      <c r="E12" s="173">
        <f>C12-D12</f>
        <v>42</v>
      </c>
      <c r="F12" s="79">
        <f t="shared" si="0"/>
        <v>0.59154929577464788</v>
      </c>
      <c r="G12" s="80">
        <f>Vendas!T47</f>
        <v>4200334.2223213995</v>
      </c>
    </row>
    <row r="13" spans="1:7">
      <c r="A13" s="557"/>
      <c r="B13" s="275" t="s">
        <v>609</v>
      </c>
      <c r="C13" s="275">
        <f>SUM(C11:C12)</f>
        <v>239</v>
      </c>
      <c r="D13" s="275">
        <f>SUM(D11:D12)</f>
        <v>79</v>
      </c>
      <c r="E13" s="275">
        <f>SUM(E11:E12)</f>
        <v>160</v>
      </c>
      <c r="F13" s="276">
        <f>E13/C13</f>
        <v>0.66945606694560666</v>
      </c>
      <c r="G13" s="277">
        <f>SUM(G11:G12)</f>
        <v>12726688.813893899</v>
      </c>
    </row>
    <row r="14" spans="1:7" ht="30.2" customHeight="1">
      <c r="A14" s="555" t="s">
        <v>610</v>
      </c>
      <c r="B14" s="556"/>
      <c r="C14" s="278">
        <f>SUM(C4,C7,C10,C13)</f>
        <v>1182</v>
      </c>
      <c r="D14" s="272">
        <f>SUM(D4,D7,D10,D13)</f>
        <v>129</v>
      </c>
      <c r="E14" s="272">
        <f>SUM(E4,E7,E10,E13)</f>
        <v>1053</v>
      </c>
      <c r="F14" s="273">
        <f>E14/C14</f>
        <v>0.8908629441624365</v>
      </c>
      <c r="G14" s="274">
        <f>SUM(G4,G7,G10,G13)</f>
        <v>21115507.717168719</v>
      </c>
    </row>
    <row r="18" spans="1:7" ht="30">
      <c r="A18" s="272" t="s">
        <v>597</v>
      </c>
      <c r="B18" s="272" t="s">
        <v>598</v>
      </c>
      <c r="C18" s="272" t="s">
        <v>1042</v>
      </c>
      <c r="D18" s="272" t="s">
        <v>1098</v>
      </c>
      <c r="E18" s="272" t="s">
        <v>1069</v>
      </c>
      <c r="F18" s="272" t="s">
        <v>611</v>
      </c>
    </row>
    <row r="19" spans="1:7">
      <c r="A19" s="283"/>
      <c r="B19" s="275" t="s">
        <v>882</v>
      </c>
      <c r="C19" s="275">
        <v>18</v>
      </c>
      <c r="D19" s="275">
        <v>245</v>
      </c>
      <c r="E19" s="276">
        <f>D19/C4</f>
        <v>0.9315589353612167</v>
      </c>
      <c r="F19" s="277">
        <v>2807709.25</v>
      </c>
      <c r="G19">
        <f>C4</f>
        <v>263</v>
      </c>
    </row>
    <row r="20" spans="1:7">
      <c r="A20" s="282"/>
      <c r="B20" s="275" t="s">
        <v>883</v>
      </c>
      <c r="C20" s="275">
        <v>22</v>
      </c>
      <c r="D20" s="275">
        <v>308</v>
      </c>
      <c r="E20" s="276">
        <f>D20/C7</f>
        <v>0.93333333333333335</v>
      </c>
      <c r="F20" s="277">
        <v>3581539.4983999999</v>
      </c>
      <c r="G20">
        <f>C7</f>
        <v>330</v>
      </c>
    </row>
    <row r="21" spans="1:7">
      <c r="A21" s="282"/>
      <c r="B21" s="275" t="s">
        <v>884</v>
      </c>
      <c r="C21" s="275">
        <v>52</v>
      </c>
      <c r="D21" s="275">
        <v>298</v>
      </c>
      <c r="E21" s="276">
        <f>D21/C10</f>
        <v>0.85142857142857142</v>
      </c>
      <c r="F21" s="277">
        <v>8295300.0149999987</v>
      </c>
      <c r="G21">
        <f>C10</f>
        <v>350</v>
      </c>
    </row>
    <row r="22" spans="1:7">
      <c r="A22" s="282"/>
      <c r="B22" s="275" t="s">
        <v>885</v>
      </c>
      <c r="C22" s="275">
        <v>188</v>
      </c>
      <c r="D22" s="275">
        <v>51</v>
      </c>
      <c r="E22" s="276">
        <f>D22/C13</f>
        <v>0.21338912133891214</v>
      </c>
      <c r="F22" s="277">
        <v>27706416.680000022</v>
      </c>
      <c r="G22">
        <f>C13</f>
        <v>239</v>
      </c>
    </row>
    <row r="23" spans="1:7">
      <c r="A23" s="555" t="s">
        <v>610</v>
      </c>
      <c r="B23" s="556"/>
      <c r="C23" s="272">
        <f>SUM(C19,C20,C21,C22)</f>
        <v>280</v>
      </c>
      <c r="D23" s="272">
        <f>SUM(D19,D20,D21,D22)</f>
        <v>902</v>
      </c>
      <c r="E23" s="273">
        <f>AVERAGE(E19:E22)</f>
        <v>0.73242749036550836</v>
      </c>
      <c r="F23" s="274">
        <f>SUM(F19,F20,F21,F22)</f>
        <v>42390965.443400025</v>
      </c>
    </row>
    <row r="26" spans="1:7">
      <c r="B26" t="s">
        <v>1042</v>
      </c>
      <c r="C26" s="257">
        <f>D26/C14</f>
        <v>0.23688663282571912</v>
      </c>
      <c r="D26">
        <f>C23</f>
        <v>280</v>
      </c>
    </row>
    <row r="27" spans="1:7">
      <c r="B27" t="s">
        <v>1098</v>
      </c>
      <c r="C27" s="257">
        <f>D27/C14</f>
        <v>0.76311336717428091</v>
      </c>
      <c r="D27">
        <f>D23</f>
        <v>902</v>
      </c>
    </row>
  </sheetData>
  <mergeCells count="6">
    <mergeCell ref="A23:B23"/>
    <mergeCell ref="A2:A4"/>
    <mergeCell ref="A5:A7"/>
    <mergeCell ref="A8:A10"/>
    <mergeCell ref="A11:A13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7:F7 E4:F4 E10:F10 F13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10"/>
  <dimension ref="A1:W83"/>
  <sheetViews>
    <sheetView showGridLines="0" workbookViewId="0">
      <selection activeCell="A6" sqref="A6"/>
    </sheetView>
  </sheetViews>
  <sheetFormatPr defaultRowHeight="11.25"/>
  <cols>
    <col min="1" max="1" width="31.42578125" style="344" customWidth="1"/>
    <col min="2" max="2" width="10" style="344" customWidth="1"/>
    <col min="3" max="3" width="11.42578125" style="344" customWidth="1"/>
    <col min="4" max="4" width="11.7109375" style="344" customWidth="1"/>
    <col min="5" max="5" width="11" style="344" customWidth="1"/>
    <col min="6" max="6" width="13.140625" style="344" customWidth="1"/>
    <col min="7" max="7" width="13.42578125" style="344" customWidth="1"/>
    <col min="8" max="8" width="9.42578125" style="344" customWidth="1"/>
    <col min="9" max="9" width="10.42578125" style="344" customWidth="1"/>
    <col min="10" max="10" width="7.140625" style="344" customWidth="1"/>
    <col min="11" max="11" width="13.28515625" style="344" customWidth="1"/>
    <col min="12" max="12" width="11.42578125" style="344" customWidth="1"/>
    <col min="13" max="13" width="11.140625" style="344" customWidth="1"/>
    <col min="14" max="14" width="10.28515625" style="344" customWidth="1"/>
    <col min="15" max="15" width="11.28515625" style="344" customWidth="1"/>
    <col min="16" max="16" width="8.42578125" style="344" customWidth="1"/>
    <col min="17" max="17" width="10.7109375" style="344" customWidth="1"/>
    <col min="18" max="18" width="18.140625" style="344" customWidth="1"/>
    <col min="19" max="19" width="11.42578125" style="344" customWidth="1"/>
    <col min="20" max="20" width="13.140625" style="344" customWidth="1"/>
    <col min="21" max="21" width="10.85546875" style="344" customWidth="1"/>
    <col min="22" max="22" width="11.7109375" style="344" customWidth="1"/>
    <col min="23" max="23" width="11.85546875" style="344" bestFit="1" customWidth="1"/>
    <col min="24" max="16384" width="9.140625" style="344"/>
  </cols>
  <sheetData>
    <row r="1" spans="1:23">
      <c r="A1" s="341" t="s">
        <v>988</v>
      </c>
      <c r="B1" s="341" t="s">
        <v>945</v>
      </c>
      <c r="C1" s="341" t="s">
        <v>989</v>
      </c>
      <c r="D1" s="341" t="s">
        <v>990</v>
      </c>
      <c r="E1" s="341" t="s">
        <v>946</v>
      </c>
      <c r="F1" s="341" t="s">
        <v>991</v>
      </c>
      <c r="G1" s="341" t="s">
        <v>992</v>
      </c>
      <c r="H1" s="341" t="s">
        <v>993</v>
      </c>
      <c r="I1" s="341" t="s">
        <v>994</v>
      </c>
      <c r="J1" s="341" t="s">
        <v>995</v>
      </c>
      <c r="K1" s="341" t="s">
        <v>996</v>
      </c>
      <c r="L1" s="341" t="s">
        <v>997</v>
      </c>
      <c r="M1" s="341" t="s">
        <v>998</v>
      </c>
      <c r="N1" s="341" t="s">
        <v>999</v>
      </c>
      <c r="O1" s="341" t="s">
        <v>1000</v>
      </c>
      <c r="P1" s="341" t="s">
        <v>1001</v>
      </c>
      <c r="Q1" s="341" t="s">
        <v>1002</v>
      </c>
      <c r="R1" s="341" t="s">
        <v>1003</v>
      </c>
      <c r="S1" s="341" t="s">
        <v>1004</v>
      </c>
      <c r="T1" s="341" t="s">
        <v>1005</v>
      </c>
      <c r="U1" s="341" t="s">
        <v>1006</v>
      </c>
      <c r="V1" s="342" t="s">
        <v>1068</v>
      </c>
      <c r="W1" s="343" t="s">
        <v>1039</v>
      </c>
    </row>
    <row r="2" spans="1:23" s="347" customFormat="1">
      <c r="A2" s="415" t="s">
        <v>309</v>
      </c>
      <c r="B2" s="416" t="s">
        <v>1424</v>
      </c>
      <c r="C2" s="417">
        <v>44185</v>
      </c>
      <c r="D2" s="417">
        <v>44200</v>
      </c>
      <c r="E2" s="443">
        <v>44201</v>
      </c>
      <c r="F2" s="418">
        <v>847.49</v>
      </c>
      <c r="G2" s="418">
        <v>423.12</v>
      </c>
      <c r="H2" s="418">
        <v>0</v>
      </c>
      <c r="I2" s="418">
        <v>1270.6100000000001</v>
      </c>
      <c r="J2" s="444">
        <v>0</v>
      </c>
      <c r="K2" s="418">
        <v>51.84</v>
      </c>
      <c r="L2" s="418">
        <v>26.45</v>
      </c>
      <c r="M2" s="444">
        <v>6.6000000000000005</v>
      </c>
      <c r="N2" s="444">
        <v>0.01</v>
      </c>
      <c r="O2" s="444">
        <v>0</v>
      </c>
      <c r="P2" s="444">
        <v>0</v>
      </c>
      <c r="Q2" s="444">
        <v>1355.49</v>
      </c>
      <c r="R2" s="444">
        <v>0</v>
      </c>
      <c r="S2" s="444">
        <v>358.84000000000003</v>
      </c>
      <c r="T2" s="418">
        <v>488.65000000000003</v>
      </c>
      <c r="U2" s="444">
        <v>0</v>
      </c>
      <c r="V2" s="345" t="str">
        <f>IF(Tabela2[[#This Row],[Colunas1]]="ATIVO","SIM","NÃO")</f>
        <v>SIM</v>
      </c>
      <c r="W2" s="346" t="str">
        <f>VLOOKUP(Tabela2[[#This Row],[Identificação]],Recebíveis!$G$5:$J$488,4,0)</f>
        <v>ATIVO</v>
      </c>
    </row>
    <row r="3" spans="1:23" s="347" customFormat="1">
      <c r="A3" s="419" t="s">
        <v>112</v>
      </c>
      <c r="B3" s="416" t="s">
        <v>1424</v>
      </c>
      <c r="C3" s="417">
        <v>44170</v>
      </c>
      <c r="D3" s="417">
        <v>44200</v>
      </c>
      <c r="E3" s="443">
        <v>44201</v>
      </c>
      <c r="F3" s="418">
        <v>890.54</v>
      </c>
      <c r="G3" s="418">
        <v>439.09000000000003</v>
      </c>
      <c r="H3" s="418">
        <v>0</v>
      </c>
      <c r="I3" s="418">
        <v>1329.63</v>
      </c>
      <c r="J3" s="444">
        <v>0</v>
      </c>
      <c r="K3" s="418">
        <v>52.81</v>
      </c>
      <c r="L3" s="418">
        <v>27.650000000000002</v>
      </c>
      <c r="M3" s="444">
        <v>13.8</v>
      </c>
      <c r="N3" s="444">
        <v>0.01</v>
      </c>
      <c r="O3" s="444">
        <v>0</v>
      </c>
      <c r="P3" s="444">
        <v>0</v>
      </c>
      <c r="Q3" s="444">
        <v>1423.88</v>
      </c>
      <c r="R3" s="444">
        <v>0</v>
      </c>
      <c r="S3" s="444">
        <v>384.26</v>
      </c>
      <c r="T3" s="418">
        <v>506.28000000000003</v>
      </c>
      <c r="U3" s="444">
        <v>0</v>
      </c>
      <c r="V3" s="345" t="str">
        <f>IF(Tabela2[[#This Row],[Colunas1]]="ATIVO","SIM","NÃO")</f>
        <v>NÃO</v>
      </c>
      <c r="W3" s="346" t="str">
        <f>VLOOKUP(Tabela2[[#This Row],[Identificação]],Recebíveis!$G$5:$J$488,4,0)</f>
        <v>ATRASO</v>
      </c>
    </row>
    <row r="4" spans="1:23" s="347" customFormat="1">
      <c r="A4" s="419" t="s">
        <v>47</v>
      </c>
      <c r="B4" s="416" t="s">
        <v>1425</v>
      </c>
      <c r="C4" s="417">
        <v>44170</v>
      </c>
      <c r="D4" s="417">
        <v>44200</v>
      </c>
      <c r="E4" s="443">
        <v>44201</v>
      </c>
      <c r="F4" s="418">
        <v>1229.21</v>
      </c>
      <c r="G4" s="418">
        <v>166.65</v>
      </c>
      <c r="H4" s="418">
        <v>0</v>
      </c>
      <c r="I4" s="418">
        <v>1395.8600000000001</v>
      </c>
      <c r="J4" s="444">
        <v>0</v>
      </c>
      <c r="K4" s="418">
        <v>54.71</v>
      </c>
      <c r="L4" s="418">
        <v>29.01</v>
      </c>
      <c r="M4" s="444">
        <v>14.4</v>
      </c>
      <c r="N4" s="444">
        <v>0</v>
      </c>
      <c r="O4" s="444">
        <v>0</v>
      </c>
      <c r="P4" s="444">
        <v>0</v>
      </c>
      <c r="Q4" s="444">
        <v>1493.98</v>
      </c>
      <c r="R4" s="444">
        <v>0</v>
      </c>
      <c r="S4" s="444">
        <v>321.53000000000003</v>
      </c>
      <c r="T4" s="418">
        <v>907.68000000000006</v>
      </c>
      <c r="U4" s="444">
        <v>0</v>
      </c>
      <c r="V4" s="345" t="str">
        <f>IF(Tabela2[[#This Row],[Colunas1]]="ATIVO","SIM","NÃO")</f>
        <v>SIM</v>
      </c>
      <c r="W4" s="346" t="str">
        <f>VLOOKUP(Tabela2[[#This Row],[Identificação]],Recebíveis!$G$5:$J$488,4,0)</f>
        <v>ATIVO</v>
      </c>
    </row>
    <row r="5" spans="1:23" s="347" customFormat="1">
      <c r="A5" s="415" t="s">
        <v>587</v>
      </c>
      <c r="B5" s="416" t="s">
        <v>1226</v>
      </c>
      <c r="C5" s="417">
        <v>44180</v>
      </c>
      <c r="D5" s="417">
        <v>44200</v>
      </c>
      <c r="E5" s="443">
        <v>44201</v>
      </c>
      <c r="F5" s="418">
        <v>1271.98</v>
      </c>
      <c r="G5" s="418">
        <v>146.4</v>
      </c>
      <c r="H5" s="418">
        <v>0</v>
      </c>
      <c r="I5" s="418">
        <v>1418.38</v>
      </c>
      <c r="J5" s="444">
        <v>0</v>
      </c>
      <c r="K5" s="418">
        <v>65.27</v>
      </c>
      <c r="L5" s="418">
        <v>29.67</v>
      </c>
      <c r="M5" s="444">
        <v>9.8000000000000007</v>
      </c>
      <c r="N5" s="444">
        <v>0</v>
      </c>
      <c r="O5" s="444">
        <v>0</v>
      </c>
      <c r="P5" s="444">
        <v>0</v>
      </c>
      <c r="Q5" s="444">
        <v>1523.1200000000001</v>
      </c>
      <c r="R5" s="444">
        <v>0</v>
      </c>
      <c r="S5" s="444">
        <v>329.58</v>
      </c>
      <c r="T5" s="418">
        <v>942.4</v>
      </c>
      <c r="U5" s="444">
        <v>0</v>
      </c>
      <c r="V5" s="345" t="str">
        <f>IF(Tabela2[[#This Row],[Colunas1]]="ATIVO","SIM","NÃO")</f>
        <v>NÃO</v>
      </c>
      <c r="W5" s="346" t="str">
        <f>VLOOKUP(Tabela2[[#This Row],[Identificação]],Recebíveis!$G$5:$J$488,4,0)</f>
        <v>INADIMPLENTE</v>
      </c>
    </row>
    <row r="6" spans="1:23" s="347" customFormat="1">
      <c r="A6" s="415" t="s">
        <v>117</v>
      </c>
      <c r="B6" s="416" t="s">
        <v>1227</v>
      </c>
      <c r="C6" s="417">
        <v>44185</v>
      </c>
      <c r="D6" s="417">
        <v>44200</v>
      </c>
      <c r="E6" s="443">
        <v>44201</v>
      </c>
      <c r="F6" s="418">
        <v>1062.5899999999999</v>
      </c>
      <c r="G6" s="418">
        <v>460.31</v>
      </c>
      <c r="H6" s="418">
        <v>0</v>
      </c>
      <c r="I6" s="418">
        <v>1522.9</v>
      </c>
      <c r="J6" s="444">
        <v>0</v>
      </c>
      <c r="K6" s="418">
        <v>62.32</v>
      </c>
      <c r="L6" s="418">
        <v>31.7</v>
      </c>
      <c r="M6" s="444">
        <v>7.95</v>
      </c>
      <c r="N6" s="444">
        <v>0</v>
      </c>
      <c r="O6" s="444">
        <v>0</v>
      </c>
      <c r="P6" s="444">
        <v>0</v>
      </c>
      <c r="Q6" s="444">
        <v>1624.8700000000001</v>
      </c>
      <c r="R6" s="444">
        <v>0</v>
      </c>
      <c r="S6" s="444">
        <v>441.5</v>
      </c>
      <c r="T6" s="418">
        <v>621.09</v>
      </c>
      <c r="U6" s="444">
        <v>0</v>
      </c>
      <c r="V6" s="345" t="str">
        <f>IF(Tabela2[[#This Row],[Colunas1]]="ATIVO","SIM","NÃO")</f>
        <v>SIM</v>
      </c>
      <c r="W6" s="346" t="str">
        <f>VLOOKUP(Tabela2[[#This Row],[Identificação]],Recebíveis!$G$5:$J$488,4,0)</f>
        <v>ATIVO</v>
      </c>
    </row>
    <row r="7" spans="1:23" s="347" customFormat="1">
      <c r="A7" s="415" t="s">
        <v>117</v>
      </c>
      <c r="B7" s="416" t="s">
        <v>1227</v>
      </c>
      <c r="C7" s="417">
        <v>44185</v>
      </c>
      <c r="D7" s="417">
        <v>44200</v>
      </c>
      <c r="E7" s="443">
        <v>44201</v>
      </c>
      <c r="F7" s="418">
        <v>1342.43</v>
      </c>
      <c r="G7" s="418">
        <v>581.53</v>
      </c>
      <c r="H7" s="418">
        <v>0</v>
      </c>
      <c r="I7" s="418">
        <v>1923.96</v>
      </c>
      <c r="J7" s="444">
        <v>0</v>
      </c>
      <c r="K7" s="418">
        <v>69.900000000000006</v>
      </c>
      <c r="L7" s="418">
        <v>39.880000000000003</v>
      </c>
      <c r="M7" s="444">
        <v>9.9</v>
      </c>
      <c r="N7" s="444">
        <v>0.01</v>
      </c>
      <c r="O7" s="444">
        <v>0</v>
      </c>
      <c r="P7" s="444">
        <v>0</v>
      </c>
      <c r="Q7" s="444">
        <v>2043.63</v>
      </c>
      <c r="R7" s="444">
        <v>0</v>
      </c>
      <c r="S7" s="444">
        <v>557.76</v>
      </c>
      <c r="T7" s="418">
        <v>784.67000000000007</v>
      </c>
      <c r="U7" s="444">
        <v>0</v>
      </c>
      <c r="V7" s="345" t="str">
        <f>IF(Tabela2[[#This Row],[Colunas1]]="ATIVO","SIM","NÃO")</f>
        <v>SIM</v>
      </c>
      <c r="W7" s="346" t="str">
        <f>VLOOKUP(Tabela2[[#This Row],[Identificação]],Recebíveis!$G$5:$J$488,4,0)</f>
        <v>ATIVO</v>
      </c>
    </row>
    <row r="8" spans="1:23" s="347" customFormat="1">
      <c r="A8" s="415" t="s">
        <v>1373</v>
      </c>
      <c r="B8" s="416" t="s">
        <v>1398</v>
      </c>
      <c r="C8" s="417">
        <v>44187</v>
      </c>
      <c r="D8" s="417">
        <v>44200</v>
      </c>
      <c r="E8" s="443">
        <v>44216</v>
      </c>
      <c r="F8" s="418">
        <v>2840</v>
      </c>
      <c r="G8" s="418">
        <v>0</v>
      </c>
      <c r="H8" s="418">
        <v>0</v>
      </c>
      <c r="I8" s="418">
        <v>2840</v>
      </c>
      <c r="J8" s="444">
        <v>0</v>
      </c>
      <c r="K8" s="418">
        <v>0</v>
      </c>
      <c r="L8" s="418">
        <v>0</v>
      </c>
      <c r="M8" s="444">
        <v>0</v>
      </c>
      <c r="N8" s="444">
        <v>0</v>
      </c>
      <c r="O8" s="444">
        <v>0</v>
      </c>
      <c r="P8" s="444">
        <v>0</v>
      </c>
      <c r="Q8" s="444">
        <v>2840</v>
      </c>
      <c r="R8" s="444">
        <v>0</v>
      </c>
      <c r="S8" s="444">
        <v>2840</v>
      </c>
      <c r="T8" s="418">
        <v>0</v>
      </c>
      <c r="U8" s="444">
        <v>0</v>
      </c>
      <c r="V8" s="345" t="str">
        <f>IF(Tabela2[[#This Row],[Colunas1]]="ATIVO","SIM","NÃO")</f>
        <v>SIM</v>
      </c>
      <c r="W8" s="346" t="str">
        <f>VLOOKUP(Tabela2[[#This Row],[Identificação]],Recebíveis!$G$5:$J$488,4,0)</f>
        <v>ATIVO</v>
      </c>
    </row>
    <row r="9" spans="1:23" s="347" customFormat="1">
      <c r="A9" s="415" t="s">
        <v>1326</v>
      </c>
      <c r="B9" s="416" t="s">
        <v>1398</v>
      </c>
      <c r="C9" s="417">
        <v>44195</v>
      </c>
      <c r="D9" s="417">
        <v>44200</v>
      </c>
      <c r="E9" s="443">
        <v>44216</v>
      </c>
      <c r="F9" s="418">
        <v>5000</v>
      </c>
      <c r="G9" s="418">
        <v>0</v>
      </c>
      <c r="H9" s="418">
        <v>0</v>
      </c>
      <c r="I9" s="418">
        <v>5000</v>
      </c>
      <c r="J9" s="444">
        <v>0</v>
      </c>
      <c r="K9" s="418">
        <v>0</v>
      </c>
      <c r="L9" s="418">
        <v>0</v>
      </c>
      <c r="M9" s="444">
        <v>0</v>
      </c>
      <c r="N9" s="444">
        <v>0</v>
      </c>
      <c r="O9" s="444">
        <v>0</v>
      </c>
      <c r="P9" s="444">
        <v>0</v>
      </c>
      <c r="Q9" s="444">
        <v>5000</v>
      </c>
      <c r="R9" s="444">
        <v>0</v>
      </c>
      <c r="S9" s="444">
        <v>5000</v>
      </c>
      <c r="T9" s="418">
        <v>0</v>
      </c>
      <c r="U9" s="444">
        <v>0</v>
      </c>
      <c r="V9" s="345" t="str">
        <f>IF(Tabela2[[#This Row],[Colunas1]]="ATIVO","SIM","NÃO")</f>
        <v>SIM</v>
      </c>
      <c r="W9" s="346" t="str">
        <f>VLOOKUP(Tabela2[[#This Row],[Identificação]],Recebíveis!$G$5:$J$488,4,0)</f>
        <v>ATIVO</v>
      </c>
    </row>
    <row r="10" spans="1:23" s="347" customFormat="1">
      <c r="A10" s="415" t="s">
        <v>563</v>
      </c>
      <c r="B10" s="416" t="s">
        <v>1406</v>
      </c>
      <c r="C10" s="417">
        <v>44180</v>
      </c>
      <c r="D10" s="417">
        <v>44201</v>
      </c>
      <c r="E10" s="443">
        <v>44202</v>
      </c>
      <c r="F10" s="418">
        <v>1368.8</v>
      </c>
      <c r="G10" s="418">
        <v>157.55000000000001</v>
      </c>
      <c r="H10" s="418">
        <v>0</v>
      </c>
      <c r="I10" s="418">
        <v>1526.3500000000001</v>
      </c>
      <c r="J10" s="444">
        <v>0</v>
      </c>
      <c r="K10" s="418">
        <v>57.19</v>
      </c>
      <c r="L10" s="418">
        <v>31.67</v>
      </c>
      <c r="M10" s="444">
        <v>11.13</v>
      </c>
      <c r="N10" s="444">
        <v>0</v>
      </c>
      <c r="O10" s="444">
        <v>0</v>
      </c>
      <c r="P10" s="444">
        <v>0</v>
      </c>
      <c r="Q10" s="444">
        <v>1626.3400000000001</v>
      </c>
      <c r="R10" s="444">
        <v>0</v>
      </c>
      <c r="S10" s="444">
        <v>331.98</v>
      </c>
      <c r="T10" s="418">
        <v>1036.82</v>
      </c>
      <c r="U10" s="444">
        <v>0</v>
      </c>
      <c r="V10" s="345" t="str">
        <f>IF(Tabela2[[#This Row],[Colunas1]]="ATIVO","SIM","NÃO")</f>
        <v>SIM</v>
      </c>
      <c r="W10" s="346" t="str">
        <f>VLOOKUP(Tabela2[[#This Row],[Identificação]],Recebíveis!$G$5:$J$488,4,0)</f>
        <v>ATIVO</v>
      </c>
    </row>
    <row r="11" spans="1:23" s="347" customFormat="1">
      <c r="A11" s="415" t="s">
        <v>861</v>
      </c>
      <c r="B11" s="416" t="s">
        <v>1426</v>
      </c>
      <c r="C11" s="417">
        <v>44180</v>
      </c>
      <c r="D11" s="417">
        <v>44201</v>
      </c>
      <c r="E11" s="443">
        <v>44202</v>
      </c>
      <c r="F11" s="418">
        <v>666.12</v>
      </c>
      <c r="G11" s="418">
        <v>56.38</v>
      </c>
      <c r="H11" s="418">
        <v>0</v>
      </c>
      <c r="I11" s="418">
        <v>722.5</v>
      </c>
      <c r="J11" s="444">
        <v>0</v>
      </c>
      <c r="K11" s="418">
        <v>46.44</v>
      </c>
      <c r="L11" s="418">
        <v>15.38</v>
      </c>
      <c r="M11" s="444">
        <v>5.46</v>
      </c>
      <c r="N11" s="444">
        <v>0.01</v>
      </c>
      <c r="O11" s="444">
        <v>0</v>
      </c>
      <c r="P11" s="444">
        <v>0</v>
      </c>
      <c r="Q11" s="444">
        <v>789.77</v>
      </c>
      <c r="R11" s="444">
        <v>0</v>
      </c>
      <c r="S11" s="444">
        <v>149.80000000000001</v>
      </c>
      <c r="T11" s="418">
        <v>516.32000000000005</v>
      </c>
      <c r="U11" s="444">
        <v>0</v>
      </c>
      <c r="V11" s="345" t="str">
        <f>IF(Tabela2[[#This Row],[Colunas1]]="ATIVO","SIM","NÃO")</f>
        <v>SIM</v>
      </c>
      <c r="W11" s="346" t="str">
        <f>VLOOKUP(Tabela2[[#This Row],[Identificação]],Recebíveis!$G$5:$J$488,4,0)</f>
        <v>ATIVO</v>
      </c>
    </row>
    <row r="12" spans="1:23" s="347" customFormat="1">
      <c r="A12" s="415" t="s">
        <v>1275</v>
      </c>
      <c r="B12" s="416" t="s">
        <v>1427</v>
      </c>
      <c r="C12" s="417">
        <v>44180</v>
      </c>
      <c r="D12" s="417">
        <v>44201</v>
      </c>
      <c r="E12" s="443">
        <v>44202</v>
      </c>
      <c r="F12" s="418">
        <v>1310.29</v>
      </c>
      <c r="G12" s="418">
        <v>32.910000000000004</v>
      </c>
      <c r="H12" s="418">
        <v>0</v>
      </c>
      <c r="I12" s="418">
        <v>1343.2</v>
      </c>
      <c r="J12" s="444">
        <v>0</v>
      </c>
      <c r="K12" s="418">
        <v>27.55</v>
      </c>
      <c r="L12" s="418">
        <v>27.42</v>
      </c>
      <c r="M12" s="444">
        <v>9.66</v>
      </c>
      <c r="N12" s="444">
        <v>0.01</v>
      </c>
      <c r="O12" s="444">
        <v>0</v>
      </c>
      <c r="P12" s="444">
        <v>0</v>
      </c>
      <c r="Q12" s="444">
        <v>1407.82</v>
      </c>
      <c r="R12" s="444">
        <v>0</v>
      </c>
      <c r="S12" s="444">
        <v>1310.29</v>
      </c>
      <c r="T12" s="418">
        <v>0</v>
      </c>
      <c r="U12" s="444">
        <v>0</v>
      </c>
      <c r="V12" s="345" t="str">
        <f>IF(Tabela2[[#This Row],[Colunas1]]="ATIVO","SIM","NÃO")</f>
        <v>NÃO</v>
      </c>
      <c r="W12" s="346" t="str">
        <f>VLOOKUP(Tabela2[[#This Row],[Identificação]],Recebíveis!$G$5:$J$488,4,0)</f>
        <v>ATRASO</v>
      </c>
    </row>
    <row r="13" spans="1:23" s="347" customFormat="1">
      <c r="A13" s="415" t="s">
        <v>1118</v>
      </c>
      <c r="B13" s="416" t="s">
        <v>1399</v>
      </c>
      <c r="C13" s="417">
        <v>44180</v>
      </c>
      <c r="D13" s="417">
        <v>44201</v>
      </c>
      <c r="E13" s="443">
        <v>44202</v>
      </c>
      <c r="F13" s="418">
        <v>1018.77</v>
      </c>
      <c r="G13" s="418">
        <v>51.4</v>
      </c>
      <c r="H13" s="418">
        <v>0</v>
      </c>
      <c r="I13" s="418">
        <v>1070.17</v>
      </c>
      <c r="J13" s="444">
        <v>0</v>
      </c>
      <c r="K13" s="418">
        <v>29.98</v>
      </c>
      <c r="L13" s="418">
        <v>22</v>
      </c>
      <c r="M13" s="444">
        <v>7.7700000000000005</v>
      </c>
      <c r="N13" s="444">
        <v>0</v>
      </c>
      <c r="O13" s="444">
        <v>0</v>
      </c>
      <c r="P13" s="444">
        <v>0</v>
      </c>
      <c r="Q13" s="444">
        <v>1129.92</v>
      </c>
      <c r="R13" s="444">
        <v>0</v>
      </c>
      <c r="S13" s="444">
        <v>206.5</v>
      </c>
      <c r="T13" s="418">
        <v>812.27</v>
      </c>
      <c r="U13" s="444">
        <v>0</v>
      </c>
      <c r="V13" s="345" t="str">
        <f>IF(Tabela2[[#This Row],[Colunas1]]="ATIVO","SIM","NÃO")</f>
        <v>NÃO</v>
      </c>
      <c r="W13" s="346" t="str">
        <f>VLOOKUP(Tabela2[[#This Row],[Identificação]],Recebíveis!$G$5:$J$488,4,0)</f>
        <v>ATRASO</v>
      </c>
    </row>
    <row r="14" spans="1:23" s="347" customFormat="1">
      <c r="A14" s="415" t="s">
        <v>1368</v>
      </c>
      <c r="B14" s="416" t="s">
        <v>1428</v>
      </c>
      <c r="C14" s="417">
        <v>44180</v>
      </c>
      <c r="D14" s="417">
        <v>44201</v>
      </c>
      <c r="E14" s="443">
        <v>44202</v>
      </c>
      <c r="F14" s="418">
        <v>1842.94</v>
      </c>
      <c r="G14" s="418">
        <v>23.07</v>
      </c>
      <c r="H14" s="418">
        <v>0</v>
      </c>
      <c r="I14" s="418">
        <v>1866.01</v>
      </c>
      <c r="J14" s="444">
        <v>0</v>
      </c>
      <c r="K14" s="418">
        <v>32.06</v>
      </c>
      <c r="L14" s="418">
        <v>37.96</v>
      </c>
      <c r="M14" s="444">
        <v>13.23</v>
      </c>
      <c r="N14" s="444">
        <v>0</v>
      </c>
      <c r="O14" s="444">
        <v>0</v>
      </c>
      <c r="P14" s="444">
        <v>0</v>
      </c>
      <c r="Q14" s="444">
        <v>1949.26</v>
      </c>
      <c r="R14" s="444">
        <v>0</v>
      </c>
      <c r="S14" s="444">
        <v>1842.94</v>
      </c>
      <c r="T14" s="418">
        <v>0</v>
      </c>
      <c r="U14" s="444">
        <v>0</v>
      </c>
      <c r="V14" s="345" t="str">
        <f>IF(Tabela2[[#This Row],[Colunas1]]="ATIVO","SIM","NÃO")</f>
        <v>SIM</v>
      </c>
      <c r="W14" s="346" t="str">
        <f>VLOOKUP(Tabela2[[#This Row],[Identificação]],Recebíveis!$G$5:$J$488,4,0)</f>
        <v>ATIVO</v>
      </c>
    </row>
    <row r="15" spans="1:23" s="347" customFormat="1">
      <c r="A15" s="415" t="s">
        <v>983</v>
      </c>
      <c r="B15" s="416" t="s">
        <v>1429</v>
      </c>
      <c r="C15" s="417">
        <v>44185</v>
      </c>
      <c r="D15" s="417">
        <v>44201</v>
      </c>
      <c r="E15" s="443">
        <v>44202</v>
      </c>
      <c r="F15" s="418">
        <v>3496.9500000000003</v>
      </c>
      <c r="G15" s="418">
        <v>0</v>
      </c>
      <c r="H15" s="418">
        <v>3.0500000000000003</v>
      </c>
      <c r="I15" s="418">
        <v>3500</v>
      </c>
      <c r="J15" s="444">
        <v>0</v>
      </c>
      <c r="K15" s="418">
        <v>6.74</v>
      </c>
      <c r="L15" s="418">
        <v>88.850000000000009</v>
      </c>
      <c r="M15" s="444">
        <v>0</v>
      </c>
      <c r="N15" s="444">
        <v>0</v>
      </c>
      <c r="O15" s="444">
        <v>0</v>
      </c>
      <c r="P15" s="444">
        <v>0</v>
      </c>
      <c r="Q15" s="444">
        <v>3595.59</v>
      </c>
      <c r="R15" s="444">
        <v>0</v>
      </c>
      <c r="S15" s="444">
        <v>3496.9500000000003</v>
      </c>
      <c r="T15" s="418">
        <v>0</v>
      </c>
      <c r="U15" s="444">
        <v>0</v>
      </c>
      <c r="V15" s="345" t="str">
        <f>IF(Tabela2[[#This Row],[Colunas1]]="ATIVO","SIM","NÃO")</f>
        <v>NÃO</v>
      </c>
      <c r="W15" s="346" t="str">
        <f>VLOOKUP(Tabela2[[#This Row],[Identificação]],Recebíveis!$G$5:$J$488,4,0)</f>
        <v>ATRASO</v>
      </c>
    </row>
    <row r="16" spans="1:23" s="347" customFormat="1">
      <c r="A16" s="415" t="s">
        <v>49</v>
      </c>
      <c r="B16" s="416" t="s">
        <v>1400</v>
      </c>
      <c r="C16" s="417">
        <v>43997</v>
      </c>
      <c r="D16" s="417">
        <v>44201</v>
      </c>
      <c r="E16" s="443">
        <v>44202</v>
      </c>
      <c r="F16" s="418">
        <v>747.23</v>
      </c>
      <c r="G16" s="418">
        <v>378.40000000000003</v>
      </c>
      <c r="H16" s="418">
        <v>0</v>
      </c>
      <c r="I16" s="418">
        <v>1125.6300000000001</v>
      </c>
      <c r="J16" s="444">
        <v>0</v>
      </c>
      <c r="K16" s="418">
        <v>0</v>
      </c>
      <c r="L16" s="418">
        <v>0</v>
      </c>
      <c r="M16" s="444">
        <v>0</v>
      </c>
      <c r="N16" s="444">
        <v>0</v>
      </c>
      <c r="O16" s="444">
        <v>0</v>
      </c>
      <c r="P16" s="444">
        <v>0</v>
      </c>
      <c r="Q16" s="444">
        <v>1125.6300000000001</v>
      </c>
      <c r="R16" s="444">
        <v>0</v>
      </c>
      <c r="S16" s="444">
        <v>595.69000000000005</v>
      </c>
      <c r="T16" s="418">
        <v>151.54</v>
      </c>
      <c r="U16" s="444">
        <v>0</v>
      </c>
      <c r="V16" s="345" t="str">
        <f>IF(Tabela2[[#This Row],[Colunas1]]="ATIVO","SIM","NÃO")</f>
        <v>NÃO</v>
      </c>
      <c r="W16" s="346" t="str">
        <f>VLOOKUP(Tabela2[[#This Row],[Identificação]],Recebíveis!$G$5:$J$488,4,0)</f>
        <v>INADIMPLENTE</v>
      </c>
    </row>
    <row r="17" spans="1:23" s="347" customFormat="1">
      <c r="A17" s="415" t="s">
        <v>128</v>
      </c>
      <c r="B17" s="416" t="s">
        <v>1402</v>
      </c>
      <c r="C17" s="417">
        <v>43992</v>
      </c>
      <c r="D17" s="417">
        <v>44201</v>
      </c>
      <c r="E17" s="443">
        <v>44202</v>
      </c>
      <c r="F17" s="418">
        <v>246.4</v>
      </c>
      <c r="G17" s="418">
        <v>31.740000000000002</v>
      </c>
      <c r="H17" s="418">
        <v>0</v>
      </c>
      <c r="I17" s="418">
        <v>278.14</v>
      </c>
      <c r="J17" s="444">
        <v>0</v>
      </c>
      <c r="K17" s="418">
        <v>7.65</v>
      </c>
      <c r="L17" s="418">
        <v>0</v>
      </c>
      <c r="M17" s="444">
        <v>0</v>
      </c>
      <c r="N17" s="444">
        <v>0</v>
      </c>
      <c r="O17" s="444">
        <v>0</v>
      </c>
      <c r="P17" s="444">
        <v>0</v>
      </c>
      <c r="Q17" s="444">
        <v>285.79000000000002</v>
      </c>
      <c r="R17" s="444">
        <v>0</v>
      </c>
      <c r="S17" s="444">
        <v>246.4</v>
      </c>
      <c r="T17" s="418">
        <v>0</v>
      </c>
      <c r="U17" s="444">
        <v>0</v>
      </c>
      <c r="V17" s="345" t="str">
        <f>IF(Tabela2[[#This Row],[Colunas1]]="ATIVO","SIM","NÃO")</f>
        <v>SIM</v>
      </c>
      <c r="W17" s="346" t="str">
        <f>VLOOKUP(Tabela2[[#This Row],[Identificação]],Recebíveis!$G$5:$J$488,4,0)</f>
        <v>ATIVO</v>
      </c>
    </row>
    <row r="18" spans="1:23" s="347" customFormat="1">
      <c r="A18" s="415" t="s">
        <v>453</v>
      </c>
      <c r="B18" s="416" t="s">
        <v>1403</v>
      </c>
      <c r="C18" s="417">
        <v>43997</v>
      </c>
      <c r="D18" s="417">
        <v>44201</v>
      </c>
      <c r="E18" s="443">
        <v>44202</v>
      </c>
      <c r="F18" s="418">
        <v>222.06</v>
      </c>
      <c r="G18" s="418">
        <v>90</v>
      </c>
      <c r="H18" s="418">
        <v>0</v>
      </c>
      <c r="I18" s="418">
        <v>312.06</v>
      </c>
      <c r="J18" s="444">
        <v>0</v>
      </c>
      <c r="K18" s="418">
        <v>10.78</v>
      </c>
      <c r="L18" s="418">
        <v>0</v>
      </c>
      <c r="M18" s="444">
        <v>0</v>
      </c>
      <c r="N18" s="444">
        <v>0</v>
      </c>
      <c r="O18" s="444">
        <v>0</v>
      </c>
      <c r="P18" s="444">
        <v>0</v>
      </c>
      <c r="Q18" s="444">
        <v>322.84000000000003</v>
      </c>
      <c r="R18" s="444">
        <v>0</v>
      </c>
      <c r="S18" s="444">
        <v>222.06</v>
      </c>
      <c r="T18" s="418">
        <v>0</v>
      </c>
      <c r="U18" s="444">
        <v>0</v>
      </c>
      <c r="V18" s="345" t="str">
        <f>IF(Tabela2[[#This Row],[Colunas1]]="ATIVO","SIM","NÃO")</f>
        <v>SIM</v>
      </c>
      <c r="W18" s="346" t="str">
        <f>VLOOKUP(Tabela2[[#This Row],[Identificação]],Recebíveis!$G$5:$J$488,4,0)</f>
        <v>ATIVO</v>
      </c>
    </row>
    <row r="19" spans="1:23" s="347" customFormat="1">
      <c r="A19" s="415" t="s">
        <v>252</v>
      </c>
      <c r="B19" s="416" t="s">
        <v>1430</v>
      </c>
      <c r="C19" s="417">
        <v>44170</v>
      </c>
      <c r="D19" s="417">
        <v>44202</v>
      </c>
      <c r="E19" s="443">
        <v>44209</v>
      </c>
      <c r="F19" s="418">
        <v>995.95</v>
      </c>
      <c r="G19" s="418">
        <v>469.86</v>
      </c>
      <c r="H19" s="418">
        <v>0</v>
      </c>
      <c r="I19" s="418">
        <v>1465.81</v>
      </c>
      <c r="J19" s="444">
        <v>0</v>
      </c>
      <c r="K19" s="418">
        <v>56.32</v>
      </c>
      <c r="L19" s="418">
        <v>0</v>
      </c>
      <c r="M19" s="444">
        <v>0</v>
      </c>
      <c r="N19" s="444">
        <v>0.42</v>
      </c>
      <c r="O19" s="444">
        <v>0</v>
      </c>
      <c r="P19" s="444">
        <v>0</v>
      </c>
      <c r="Q19" s="444">
        <v>1521.71</v>
      </c>
      <c r="R19" s="444">
        <v>0</v>
      </c>
      <c r="S19" s="444">
        <v>390.25</v>
      </c>
      <c r="T19" s="418">
        <v>605.70000000000005</v>
      </c>
      <c r="U19" s="444">
        <v>0</v>
      </c>
      <c r="V19" s="345" t="str">
        <f>IF(Tabela2[[#This Row],[Colunas1]]="ATIVO","SIM","NÃO")</f>
        <v>SIM</v>
      </c>
      <c r="W19" s="346" t="str">
        <f>VLOOKUP(Tabela2[[#This Row],[Identificação]],Recebíveis!$G$5:$J$488,4,0)</f>
        <v>ATIVO</v>
      </c>
    </row>
    <row r="20" spans="1:23" s="347" customFormat="1">
      <c r="A20" s="415" t="s">
        <v>975</v>
      </c>
      <c r="B20" s="416" t="s">
        <v>1404</v>
      </c>
      <c r="C20" s="417">
        <v>44180</v>
      </c>
      <c r="D20" s="417">
        <v>44202</v>
      </c>
      <c r="E20" s="443">
        <v>44203</v>
      </c>
      <c r="F20" s="418">
        <v>1253.8700000000001</v>
      </c>
      <c r="G20" s="418">
        <v>86.51</v>
      </c>
      <c r="H20" s="418">
        <v>0</v>
      </c>
      <c r="I20" s="418">
        <v>1340.38</v>
      </c>
      <c r="J20" s="444">
        <v>0</v>
      </c>
      <c r="K20" s="418">
        <v>27.07</v>
      </c>
      <c r="L20" s="418">
        <v>28.5</v>
      </c>
      <c r="M20" s="444">
        <v>0</v>
      </c>
      <c r="N20" s="444">
        <v>0</v>
      </c>
      <c r="O20" s="444">
        <v>0</v>
      </c>
      <c r="P20" s="444">
        <v>0</v>
      </c>
      <c r="Q20" s="444">
        <v>1395.95</v>
      </c>
      <c r="R20" s="444">
        <v>0</v>
      </c>
      <c r="S20" s="444">
        <v>268.98</v>
      </c>
      <c r="T20" s="418">
        <v>984.89</v>
      </c>
      <c r="U20" s="444">
        <v>0</v>
      </c>
      <c r="V20" s="345" t="str">
        <f>IF(Tabela2[[#This Row],[Colunas1]]="ATIVO","SIM","NÃO")</f>
        <v>SIM</v>
      </c>
      <c r="W20" s="346" t="str">
        <f>VLOOKUP(Tabela2[[#This Row],[Identificação]],Recebíveis!$G$5:$J$488,4,0)</f>
        <v>ATIVO</v>
      </c>
    </row>
    <row r="21" spans="1:23" s="347" customFormat="1">
      <c r="A21" s="419" t="s">
        <v>1234</v>
      </c>
      <c r="B21" s="416" t="s">
        <v>1152</v>
      </c>
      <c r="C21" s="417">
        <v>44185</v>
      </c>
      <c r="D21" s="417">
        <v>44203</v>
      </c>
      <c r="E21" s="443">
        <v>44204</v>
      </c>
      <c r="F21" s="418">
        <v>905.92000000000007</v>
      </c>
      <c r="G21" s="418">
        <v>401.40000000000003</v>
      </c>
      <c r="H21" s="418">
        <v>0</v>
      </c>
      <c r="I21" s="418">
        <v>1307.32</v>
      </c>
      <c r="J21" s="444">
        <v>0</v>
      </c>
      <c r="K21" s="418">
        <v>59.65</v>
      </c>
      <c r="L21" s="418">
        <v>27.34</v>
      </c>
      <c r="M21" s="444">
        <v>8.2799999999999994</v>
      </c>
      <c r="N21" s="444">
        <v>0.01</v>
      </c>
      <c r="O21" s="444">
        <v>0</v>
      </c>
      <c r="P21" s="444">
        <v>0</v>
      </c>
      <c r="Q21" s="444">
        <v>1402.58</v>
      </c>
      <c r="R21" s="444">
        <v>0</v>
      </c>
      <c r="S21" s="444">
        <v>352.32</v>
      </c>
      <c r="T21" s="418">
        <v>553.6</v>
      </c>
      <c r="U21" s="444">
        <v>0</v>
      </c>
      <c r="V21" s="345" t="str">
        <f>IF(Tabela2[[#This Row],[Colunas1]]="ATIVO","SIM","NÃO")</f>
        <v>NÃO</v>
      </c>
      <c r="W21" s="346" t="str">
        <f>VLOOKUP(Tabela2[[#This Row],[Identificação]],Recebíveis!$G$5:$J$488,4,0)</f>
        <v>ATRASO</v>
      </c>
    </row>
    <row r="22" spans="1:23" s="347" customFormat="1">
      <c r="A22" s="415" t="s">
        <v>413</v>
      </c>
      <c r="B22" s="416" t="s">
        <v>1431</v>
      </c>
      <c r="C22" s="417">
        <v>44150</v>
      </c>
      <c r="D22" s="417">
        <v>44203</v>
      </c>
      <c r="E22" s="443">
        <v>44204</v>
      </c>
      <c r="F22" s="418">
        <v>1430.6000000000001</v>
      </c>
      <c r="G22" s="418">
        <v>224.89000000000001</v>
      </c>
      <c r="H22" s="418">
        <v>0</v>
      </c>
      <c r="I22" s="418">
        <v>1655.49</v>
      </c>
      <c r="J22" s="444">
        <v>0</v>
      </c>
      <c r="K22" s="418">
        <v>58.49</v>
      </c>
      <c r="L22" s="418">
        <v>34.28</v>
      </c>
      <c r="M22" s="444">
        <v>30.28</v>
      </c>
      <c r="N22" s="444">
        <v>0</v>
      </c>
      <c r="O22" s="444">
        <v>0</v>
      </c>
      <c r="P22" s="444">
        <v>0</v>
      </c>
      <c r="Q22" s="444">
        <v>1778.54</v>
      </c>
      <c r="R22" s="444">
        <v>0</v>
      </c>
      <c r="S22" s="444">
        <v>423.08</v>
      </c>
      <c r="T22" s="418">
        <v>1007.52</v>
      </c>
      <c r="U22" s="444">
        <v>0</v>
      </c>
      <c r="V22" s="345" t="str">
        <f>IF(Tabela2[[#This Row],[Colunas1]]="ATIVO","SIM","NÃO")</f>
        <v>NÃO</v>
      </c>
      <c r="W22" s="346" t="str">
        <f>VLOOKUP(Tabela2[[#This Row],[Identificação]],Recebíveis!$G$5:$J$488,4,0)</f>
        <v>ATRASO</v>
      </c>
    </row>
    <row r="23" spans="1:23" s="347" customFormat="1">
      <c r="A23" s="419" t="s">
        <v>423</v>
      </c>
      <c r="B23" s="416" t="s">
        <v>1246</v>
      </c>
      <c r="C23" s="417">
        <v>43992</v>
      </c>
      <c r="D23" s="417">
        <v>44204</v>
      </c>
      <c r="E23" s="443">
        <v>44207</v>
      </c>
      <c r="F23" s="418">
        <v>332.72</v>
      </c>
      <c r="G23" s="418">
        <v>168.92000000000002</v>
      </c>
      <c r="H23" s="418">
        <v>0</v>
      </c>
      <c r="I23" s="418">
        <v>501.64</v>
      </c>
      <c r="J23" s="444">
        <v>0</v>
      </c>
      <c r="K23" s="418">
        <v>0</v>
      </c>
      <c r="L23" s="418">
        <v>0</v>
      </c>
      <c r="M23" s="444">
        <v>0</v>
      </c>
      <c r="N23" s="444">
        <v>0</v>
      </c>
      <c r="O23" s="444">
        <v>0</v>
      </c>
      <c r="P23" s="444">
        <v>0</v>
      </c>
      <c r="Q23" s="444">
        <v>501.64</v>
      </c>
      <c r="R23" s="444">
        <v>0</v>
      </c>
      <c r="S23" s="444">
        <v>150.5</v>
      </c>
      <c r="T23" s="418">
        <v>182.22</v>
      </c>
      <c r="U23" s="444">
        <v>0</v>
      </c>
      <c r="V23" s="345" t="str">
        <f>IF(Tabela2[[#This Row],[Colunas1]]="ATIVO","SIM","NÃO")</f>
        <v>SIM</v>
      </c>
      <c r="W23" s="346" t="str">
        <f>VLOOKUP(Tabela2[[#This Row],[Identificação]],Recebíveis!$G$5:$J$488,4,0)</f>
        <v>ATIVO</v>
      </c>
    </row>
    <row r="24" spans="1:23" s="347" customFormat="1">
      <c r="A24" s="415" t="s">
        <v>1046</v>
      </c>
      <c r="B24" s="416" t="s">
        <v>1432</v>
      </c>
      <c r="C24" s="417">
        <v>43966</v>
      </c>
      <c r="D24" s="417">
        <v>44204</v>
      </c>
      <c r="E24" s="443">
        <v>44207</v>
      </c>
      <c r="F24" s="418">
        <v>1036.3600000000001</v>
      </c>
      <c r="G24" s="418">
        <v>64.320000000000007</v>
      </c>
      <c r="H24" s="418">
        <v>0</v>
      </c>
      <c r="I24" s="418">
        <v>1100.68</v>
      </c>
      <c r="J24" s="444">
        <v>0</v>
      </c>
      <c r="K24" s="418">
        <v>21.95</v>
      </c>
      <c r="L24" s="418">
        <v>22.45</v>
      </c>
      <c r="M24" s="444">
        <v>89.06</v>
      </c>
      <c r="N24" s="444">
        <v>0</v>
      </c>
      <c r="O24" s="444">
        <v>0</v>
      </c>
      <c r="P24" s="444">
        <v>0</v>
      </c>
      <c r="Q24" s="444">
        <v>1234.1400000000001</v>
      </c>
      <c r="R24" s="444">
        <v>0</v>
      </c>
      <c r="S24" s="444">
        <v>197.62</v>
      </c>
      <c r="T24" s="418">
        <v>838.74</v>
      </c>
      <c r="U24" s="444">
        <v>0</v>
      </c>
      <c r="V24" s="345" t="str">
        <f>IF(Tabela2[[#This Row],[Colunas1]]="ATIVO","SIM","NÃO")</f>
        <v>NÃO</v>
      </c>
      <c r="W24" s="346" t="str">
        <f>VLOOKUP(Tabela2[[#This Row],[Identificação]],Recebíveis!$G$5:$J$488,4,0)</f>
        <v>INADIMPLENTE</v>
      </c>
    </row>
    <row r="25" spans="1:23" s="347" customFormat="1">
      <c r="A25" s="419" t="s">
        <v>1046</v>
      </c>
      <c r="B25" s="416" t="s">
        <v>1277</v>
      </c>
      <c r="C25" s="417">
        <v>43997</v>
      </c>
      <c r="D25" s="417">
        <v>44204</v>
      </c>
      <c r="E25" s="443">
        <v>44207</v>
      </c>
      <c r="F25" s="418">
        <v>1582.21</v>
      </c>
      <c r="G25" s="418">
        <v>98.19</v>
      </c>
      <c r="H25" s="418">
        <v>0</v>
      </c>
      <c r="I25" s="418">
        <v>1680.4</v>
      </c>
      <c r="J25" s="444">
        <v>0</v>
      </c>
      <c r="K25" s="418">
        <v>33.4</v>
      </c>
      <c r="L25" s="418">
        <v>34.28</v>
      </c>
      <c r="M25" s="444">
        <v>118.25</v>
      </c>
      <c r="N25" s="444">
        <v>0</v>
      </c>
      <c r="O25" s="444">
        <v>0</v>
      </c>
      <c r="P25" s="444">
        <v>0</v>
      </c>
      <c r="Q25" s="444">
        <v>1866.33</v>
      </c>
      <c r="R25" s="444">
        <v>0</v>
      </c>
      <c r="S25" s="444">
        <v>307.59000000000003</v>
      </c>
      <c r="T25" s="418">
        <v>1274.6200000000001</v>
      </c>
      <c r="U25" s="444">
        <v>0</v>
      </c>
      <c r="V25" s="345" t="str">
        <f>IF(Tabela2[[#This Row],[Colunas1]]="ATIVO","SIM","NÃO")</f>
        <v>NÃO</v>
      </c>
      <c r="W25" s="346" t="str">
        <f>VLOOKUP(Tabela2[[#This Row],[Identificação]],Recebíveis!$G$5:$J$488,4,0)</f>
        <v>INADIMPLENTE</v>
      </c>
    </row>
    <row r="26" spans="1:23" s="347" customFormat="1">
      <c r="A26" s="415" t="s">
        <v>1046</v>
      </c>
      <c r="B26" s="416" t="s">
        <v>1409</v>
      </c>
      <c r="C26" s="417">
        <v>44027</v>
      </c>
      <c r="D26" s="417">
        <v>44204</v>
      </c>
      <c r="E26" s="443">
        <v>44207</v>
      </c>
      <c r="F26" s="418">
        <v>860.78</v>
      </c>
      <c r="G26" s="418">
        <v>53.42</v>
      </c>
      <c r="H26" s="418">
        <v>0</v>
      </c>
      <c r="I26" s="418">
        <v>914.2</v>
      </c>
      <c r="J26" s="444">
        <v>0</v>
      </c>
      <c r="K26" s="418">
        <v>18.330000000000002</v>
      </c>
      <c r="L26" s="418">
        <v>0</v>
      </c>
      <c r="M26" s="444">
        <v>0</v>
      </c>
      <c r="N26" s="444">
        <v>18.330000000000002</v>
      </c>
      <c r="O26" s="444">
        <v>0</v>
      </c>
      <c r="P26" s="444">
        <v>0</v>
      </c>
      <c r="Q26" s="444">
        <v>914.2</v>
      </c>
      <c r="R26" s="444">
        <v>0</v>
      </c>
      <c r="S26" s="444">
        <v>165.73</v>
      </c>
      <c r="T26" s="418">
        <v>695.05000000000007</v>
      </c>
      <c r="U26" s="444">
        <v>0</v>
      </c>
      <c r="V26" s="345" t="str">
        <f>IF(Tabela2[[#This Row],[Colunas1]]="ATIVO","SIM","NÃO")</f>
        <v>NÃO</v>
      </c>
      <c r="W26" s="346" t="str">
        <f>VLOOKUP(Tabela2[[#This Row],[Identificação]],Recebíveis!$G$5:$J$488,4,0)</f>
        <v>INADIMPLENTE</v>
      </c>
    </row>
    <row r="27" spans="1:23" s="347" customFormat="1">
      <c r="A27" s="415" t="s">
        <v>185</v>
      </c>
      <c r="B27" s="416" t="s">
        <v>1433</v>
      </c>
      <c r="C27" s="417">
        <v>43845</v>
      </c>
      <c r="D27" s="417">
        <v>44204</v>
      </c>
      <c r="E27" s="443">
        <v>44207</v>
      </c>
      <c r="F27" s="418">
        <v>1077.6300000000001</v>
      </c>
      <c r="G27" s="418">
        <v>494.83</v>
      </c>
      <c r="H27" s="418">
        <v>0</v>
      </c>
      <c r="I27" s="418">
        <v>1572.46</v>
      </c>
      <c r="J27" s="444">
        <v>0</v>
      </c>
      <c r="K27" s="418">
        <v>53.17</v>
      </c>
      <c r="L27" s="418">
        <v>32.51</v>
      </c>
      <c r="M27" s="444">
        <v>194.53</v>
      </c>
      <c r="N27" s="444">
        <v>0</v>
      </c>
      <c r="O27" s="444">
        <v>0</v>
      </c>
      <c r="P27" s="444">
        <v>0</v>
      </c>
      <c r="Q27" s="444">
        <v>1852.67</v>
      </c>
      <c r="R27" s="444">
        <v>0</v>
      </c>
      <c r="S27" s="444">
        <v>678.41</v>
      </c>
      <c r="T27" s="418">
        <v>399.22</v>
      </c>
      <c r="U27" s="444">
        <v>0</v>
      </c>
      <c r="V27" s="345" t="str">
        <f>IF(Tabela2[[#This Row],[Colunas1]]="ATIVO","SIM","NÃO")</f>
        <v>NÃO</v>
      </c>
      <c r="W27" s="420" t="s">
        <v>793</v>
      </c>
    </row>
    <row r="28" spans="1:23" s="347" customFormat="1">
      <c r="A28" s="415" t="s">
        <v>185</v>
      </c>
      <c r="B28" s="416" t="s">
        <v>1408</v>
      </c>
      <c r="C28" s="417">
        <v>43876</v>
      </c>
      <c r="D28" s="417">
        <v>44204</v>
      </c>
      <c r="E28" s="443">
        <v>44207</v>
      </c>
      <c r="F28" s="418">
        <v>1077.6300000000001</v>
      </c>
      <c r="G28" s="418">
        <v>494.83</v>
      </c>
      <c r="H28" s="418">
        <v>0</v>
      </c>
      <c r="I28" s="418">
        <v>1572.46</v>
      </c>
      <c r="J28" s="444">
        <v>0</v>
      </c>
      <c r="K28" s="418">
        <v>16.96</v>
      </c>
      <c r="L28" s="418">
        <v>31.79</v>
      </c>
      <c r="M28" s="444">
        <v>173.78</v>
      </c>
      <c r="N28" s="444">
        <v>0</v>
      </c>
      <c r="O28" s="444">
        <v>0</v>
      </c>
      <c r="P28" s="444">
        <v>0</v>
      </c>
      <c r="Q28" s="444">
        <v>1794.99</v>
      </c>
      <c r="R28" s="444">
        <v>0</v>
      </c>
      <c r="S28" s="444">
        <v>684.85</v>
      </c>
      <c r="T28" s="418">
        <v>392.78000000000003</v>
      </c>
      <c r="U28" s="444">
        <v>0</v>
      </c>
      <c r="V28" s="345" t="str">
        <f>IF(Tabela2[[#This Row],[Colunas1]]="ATIVO","SIM","NÃO")</f>
        <v>NÃO</v>
      </c>
      <c r="W28" s="420" t="s">
        <v>793</v>
      </c>
    </row>
    <row r="29" spans="1:23" s="347" customFormat="1">
      <c r="A29" s="415" t="s">
        <v>185</v>
      </c>
      <c r="B29" s="416" t="s">
        <v>1434</v>
      </c>
      <c r="C29" s="417">
        <v>43905</v>
      </c>
      <c r="D29" s="417">
        <v>44204</v>
      </c>
      <c r="E29" s="443">
        <v>44207</v>
      </c>
      <c r="F29" s="418">
        <v>1077.6300000000001</v>
      </c>
      <c r="G29" s="418">
        <v>494.83</v>
      </c>
      <c r="H29" s="418">
        <v>0</v>
      </c>
      <c r="I29" s="418">
        <v>1572.46</v>
      </c>
      <c r="J29" s="444">
        <v>0</v>
      </c>
      <c r="K29" s="418">
        <v>17.43</v>
      </c>
      <c r="L29" s="418">
        <v>31.8</v>
      </c>
      <c r="M29" s="444">
        <v>158.46</v>
      </c>
      <c r="N29" s="444">
        <v>0</v>
      </c>
      <c r="O29" s="444">
        <v>0</v>
      </c>
      <c r="P29" s="444">
        <v>0</v>
      </c>
      <c r="Q29" s="444">
        <v>1780.15</v>
      </c>
      <c r="R29" s="444">
        <v>0</v>
      </c>
      <c r="S29" s="444">
        <v>691.35</v>
      </c>
      <c r="T29" s="418">
        <v>386.28000000000003</v>
      </c>
      <c r="U29" s="444">
        <v>0</v>
      </c>
      <c r="V29" s="345" t="str">
        <f>IF(Tabela2[[#This Row],[Colunas1]]="ATIVO","SIM","NÃO")</f>
        <v>NÃO</v>
      </c>
      <c r="W29" s="420" t="s">
        <v>793</v>
      </c>
    </row>
    <row r="30" spans="1:23" s="347" customFormat="1">
      <c r="A30" s="415" t="s">
        <v>185</v>
      </c>
      <c r="B30" s="416" t="s">
        <v>1435</v>
      </c>
      <c r="C30" s="417">
        <v>43936</v>
      </c>
      <c r="D30" s="417">
        <v>44204</v>
      </c>
      <c r="E30" s="443">
        <v>44207</v>
      </c>
      <c r="F30" s="418">
        <v>1077.6300000000001</v>
      </c>
      <c r="G30" s="418">
        <v>494.83</v>
      </c>
      <c r="H30" s="418">
        <v>0</v>
      </c>
      <c r="I30" s="418">
        <v>1572.46</v>
      </c>
      <c r="J30" s="444">
        <v>0</v>
      </c>
      <c r="K30" s="418">
        <v>0</v>
      </c>
      <c r="L30" s="418">
        <v>31.45</v>
      </c>
      <c r="M30" s="444">
        <v>140.47</v>
      </c>
      <c r="N30" s="444">
        <v>0</v>
      </c>
      <c r="O30" s="444">
        <v>0</v>
      </c>
      <c r="P30" s="444">
        <v>0</v>
      </c>
      <c r="Q30" s="444">
        <v>1744.38</v>
      </c>
      <c r="R30" s="444">
        <v>0</v>
      </c>
      <c r="S30" s="444">
        <v>697.91</v>
      </c>
      <c r="T30" s="418">
        <v>379.72</v>
      </c>
      <c r="U30" s="444">
        <v>0</v>
      </c>
      <c r="V30" s="345" t="str">
        <f>IF(Tabela2[[#This Row],[Colunas1]]="ATIVO","SIM","NÃO")</f>
        <v>NÃO</v>
      </c>
      <c r="W30" s="420" t="s">
        <v>793</v>
      </c>
    </row>
    <row r="31" spans="1:23" s="347" customFormat="1">
      <c r="A31" s="415" t="s">
        <v>185</v>
      </c>
      <c r="B31" s="416" t="s">
        <v>1436</v>
      </c>
      <c r="C31" s="417">
        <v>43966</v>
      </c>
      <c r="D31" s="417">
        <v>44204</v>
      </c>
      <c r="E31" s="443">
        <v>44207</v>
      </c>
      <c r="F31" s="418">
        <v>1077.6300000000001</v>
      </c>
      <c r="G31" s="418">
        <v>494.83</v>
      </c>
      <c r="H31" s="418">
        <v>0</v>
      </c>
      <c r="I31" s="418">
        <v>1572.46</v>
      </c>
      <c r="J31" s="444">
        <v>0</v>
      </c>
      <c r="K31" s="418">
        <v>0</v>
      </c>
      <c r="L31" s="418">
        <v>31.45</v>
      </c>
      <c r="M31" s="444">
        <v>124.75</v>
      </c>
      <c r="N31" s="444">
        <v>0</v>
      </c>
      <c r="O31" s="444">
        <v>0</v>
      </c>
      <c r="P31" s="444">
        <v>0</v>
      </c>
      <c r="Q31" s="444">
        <v>1728.66</v>
      </c>
      <c r="R31" s="444">
        <v>0</v>
      </c>
      <c r="S31" s="444">
        <v>704.53</v>
      </c>
      <c r="T31" s="418">
        <v>373.1</v>
      </c>
      <c r="U31" s="444">
        <v>0</v>
      </c>
      <c r="V31" s="345" t="str">
        <f>IF(Tabela2[[#This Row],[Colunas1]]="ATIVO","SIM","NÃO")</f>
        <v>NÃO</v>
      </c>
      <c r="W31" s="420" t="s">
        <v>793</v>
      </c>
    </row>
    <row r="32" spans="1:23" s="347" customFormat="1">
      <c r="A32" s="415" t="s">
        <v>185</v>
      </c>
      <c r="B32" s="416" t="s">
        <v>1437</v>
      </c>
      <c r="C32" s="417">
        <v>43997</v>
      </c>
      <c r="D32" s="417">
        <v>44204</v>
      </c>
      <c r="E32" s="443">
        <v>44207</v>
      </c>
      <c r="F32" s="418">
        <v>1077.6300000000001</v>
      </c>
      <c r="G32" s="418">
        <v>494.83</v>
      </c>
      <c r="H32" s="418">
        <v>0</v>
      </c>
      <c r="I32" s="418">
        <v>1572.46</v>
      </c>
      <c r="J32" s="444">
        <v>0</v>
      </c>
      <c r="K32" s="418">
        <v>0</v>
      </c>
      <c r="L32" s="418">
        <v>31.45</v>
      </c>
      <c r="M32" s="444">
        <v>108.5</v>
      </c>
      <c r="N32" s="444">
        <v>0</v>
      </c>
      <c r="O32" s="444">
        <v>0</v>
      </c>
      <c r="P32" s="444">
        <v>0</v>
      </c>
      <c r="Q32" s="444">
        <v>1712.41</v>
      </c>
      <c r="R32" s="444">
        <v>0</v>
      </c>
      <c r="S32" s="444">
        <v>711.22</v>
      </c>
      <c r="T32" s="418">
        <v>366.41</v>
      </c>
      <c r="U32" s="444">
        <v>0</v>
      </c>
      <c r="V32" s="345" t="str">
        <f>IF(Tabela2[[#This Row],[Colunas1]]="ATIVO","SIM","NÃO")</f>
        <v>NÃO</v>
      </c>
      <c r="W32" s="420" t="s">
        <v>793</v>
      </c>
    </row>
    <row r="33" spans="1:23" s="347" customFormat="1">
      <c r="A33" s="415" t="s">
        <v>185</v>
      </c>
      <c r="B33" s="416" t="s">
        <v>1438</v>
      </c>
      <c r="C33" s="417">
        <v>44027</v>
      </c>
      <c r="D33" s="417">
        <v>44204</v>
      </c>
      <c r="E33" s="443">
        <v>44207</v>
      </c>
      <c r="F33" s="418">
        <v>1077.6300000000001</v>
      </c>
      <c r="G33" s="418">
        <v>494.83</v>
      </c>
      <c r="H33" s="418">
        <v>0</v>
      </c>
      <c r="I33" s="418">
        <v>1572.46</v>
      </c>
      <c r="J33" s="444">
        <v>0</v>
      </c>
      <c r="K33" s="418">
        <v>0</v>
      </c>
      <c r="L33" s="418">
        <v>31.45</v>
      </c>
      <c r="M33" s="444">
        <v>92.78</v>
      </c>
      <c r="N33" s="444">
        <v>0</v>
      </c>
      <c r="O33" s="444">
        <v>0</v>
      </c>
      <c r="P33" s="444">
        <v>0</v>
      </c>
      <c r="Q33" s="444">
        <v>1696.69</v>
      </c>
      <c r="R33" s="444">
        <v>0</v>
      </c>
      <c r="S33" s="444">
        <v>717.96</v>
      </c>
      <c r="T33" s="418">
        <v>359.67</v>
      </c>
      <c r="U33" s="444">
        <v>0</v>
      </c>
      <c r="V33" s="345" t="str">
        <f>IF(Tabela2[[#This Row],[Colunas1]]="ATIVO","SIM","NÃO")</f>
        <v>NÃO</v>
      </c>
      <c r="W33" s="420" t="s">
        <v>793</v>
      </c>
    </row>
    <row r="34" spans="1:23" s="347" customFormat="1">
      <c r="A34" s="415" t="s">
        <v>185</v>
      </c>
      <c r="B34" s="416" t="s">
        <v>1439</v>
      </c>
      <c r="C34" s="417">
        <v>44058</v>
      </c>
      <c r="D34" s="417">
        <v>44204</v>
      </c>
      <c r="E34" s="443">
        <v>44207</v>
      </c>
      <c r="F34" s="418">
        <v>1077.6300000000001</v>
      </c>
      <c r="G34" s="418">
        <v>494.83</v>
      </c>
      <c r="H34" s="418">
        <v>0</v>
      </c>
      <c r="I34" s="418">
        <v>1572.46</v>
      </c>
      <c r="J34" s="444">
        <v>0</v>
      </c>
      <c r="K34" s="418">
        <v>0</v>
      </c>
      <c r="L34" s="418">
        <v>31.45</v>
      </c>
      <c r="M34" s="444">
        <v>76.53</v>
      </c>
      <c r="N34" s="444">
        <v>0</v>
      </c>
      <c r="O34" s="444">
        <v>0</v>
      </c>
      <c r="P34" s="444">
        <v>0</v>
      </c>
      <c r="Q34" s="444">
        <v>1680.44</v>
      </c>
      <c r="R34" s="444">
        <v>0</v>
      </c>
      <c r="S34" s="444">
        <v>724.78</v>
      </c>
      <c r="T34" s="418">
        <v>352.85</v>
      </c>
      <c r="U34" s="444">
        <v>0</v>
      </c>
      <c r="V34" s="345" t="str">
        <f>IF(Tabela2[[#This Row],[Colunas1]]="ATIVO","SIM","NÃO")</f>
        <v>NÃO</v>
      </c>
      <c r="W34" s="420" t="s">
        <v>793</v>
      </c>
    </row>
    <row r="35" spans="1:23" s="347" customFormat="1">
      <c r="A35" s="415" t="s">
        <v>185</v>
      </c>
      <c r="B35" s="416" t="s">
        <v>1440</v>
      </c>
      <c r="C35" s="417">
        <v>44089</v>
      </c>
      <c r="D35" s="417">
        <v>44204</v>
      </c>
      <c r="E35" s="443">
        <v>44207</v>
      </c>
      <c r="F35" s="418">
        <v>1077.6300000000001</v>
      </c>
      <c r="G35" s="418">
        <v>494.83</v>
      </c>
      <c r="H35" s="418">
        <v>0</v>
      </c>
      <c r="I35" s="418">
        <v>1572.46</v>
      </c>
      <c r="J35" s="444">
        <v>0</v>
      </c>
      <c r="K35" s="418">
        <v>0</v>
      </c>
      <c r="L35" s="418">
        <v>31.45</v>
      </c>
      <c r="M35" s="444">
        <v>60.28</v>
      </c>
      <c r="N35" s="444">
        <v>0</v>
      </c>
      <c r="O35" s="444">
        <v>0</v>
      </c>
      <c r="P35" s="444">
        <v>0</v>
      </c>
      <c r="Q35" s="444">
        <v>1664.19</v>
      </c>
      <c r="R35" s="444">
        <v>0</v>
      </c>
      <c r="S35" s="444">
        <v>731.65</v>
      </c>
      <c r="T35" s="418">
        <v>345.98</v>
      </c>
      <c r="U35" s="444">
        <v>0</v>
      </c>
      <c r="V35" s="345" t="str">
        <f>IF(Tabela2[[#This Row],[Colunas1]]="ATIVO","SIM","NÃO")</f>
        <v>NÃO</v>
      </c>
      <c r="W35" s="420" t="s">
        <v>793</v>
      </c>
    </row>
    <row r="36" spans="1:23" s="347" customFormat="1">
      <c r="A36" s="415" t="s">
        <v>185</v>
      </c>
      <c r="B36" s="416" t="s">
        <v>1441</v>
      </c>
      <c r="C36" s="417">
        <v>44119</v>
      </c>
      <c r="D36" s="417">
        <v>44204</v>
      </c>
      <c r="E36" s="443">
        <v>44207</v>
      </c>
      <c r="F36" s="418">
        <v>1077.6300000000001</v>
      </c>
      <c r="G36" s="418">
        <v>494.83</v>
      </c>
      <c r="H36" s="418">
        <v>0</v>
      </c>
      <c r="I36" s="418">
        <v>1572.46</v>
      </c>
      <c r="J36" s="444">
        <v>0</v>
      </c>
      <c r="K36" s="418">
        <v>0</v>
      </c>
      <c r="L36" s="418">
        <v>31.45</v>
      </c>
      <c r="M36" s="444">
        <v>44.550000000000004</v>
      </c>
      <c r="N36" s="444">
        <v>0</v>
      </c>
      <c r="O36" s="444">
        <v>0</v>
      </c>
      <c r="P36" s="444">
        <v>0</v>
      </c>
      <c r="Q36" s="444">
        <v>1648.46</v>
      </c>
      <c r="R36" s="444">
        <v>0</v>
      </c>
      <c r="S36" s="444">
        <v>738.6</v>
      </c>
      <c r="T36" s="418">
        <v>339.03000000000003</v>
      </c>
      <c r="U36" s="444">
        <v>0</v>
      </c>
      <c r="V36" s="345" t="str">
        <f>IF(Tabela2[[#This Row],[Colunas1]]="ATIVO","SIM","NÃO")</f>
        <v>NÃO</v>
      </c>
      <c r="W36" s="420" t="s">
        <v>793</v>
      </c>
    </row>
    <row r="37" spans="1:23" s="347" customFormat="1">
      <c r="A37" s="415" t="s">
        <v>185</v>
      </c>
      <c r="B37" s="416" t="s">
        <v>1442</v>
      </c>
      <c r="C37" s="417">
        <v>44150</v>
      </c>
      <c r="D37" s="417">
        <v>44204</v>
      </c>
      <c r="E37" s="443">
        <v>44207</v>
      </c>
      <c r="F37" s="418">
        <v>1077.6300000000001</v>
      </c>
      <c r="G37" s="418">
        <v>494.83</v>
      </c>
      <c r="H37" s="418">
        <v>0</v>
      </c>
      <c r="I37" s="418">
        <v>1572.46</v>
      </c>
      <c r="J37" s="444">
        <v>0</v>
      </c>
      <c r="K37" s="418">
        <v>0</v>
      </c>
      <c r="L37" s="418">
        <v>31.45</v>
      </c>
      <c r="M37" s="444">
        <v>28.3</v>
      </c>
      <c r="N37" s="444">
        <v>0</v>
      </c>
      <c r="O37" s="444">
        <v>0</v>
      </c>
      <c r="P37" s="444">
        <v>0</v>
      </c>
      <c r="Q37" s="444">
        <v>1632.21</v>
      </c>
      <c r="R37" s="444">
        <v>0</v>
      </c>
      <c r="S37" s="444">
        <v>745.61</v>
      </c>
      <c r="T37" s="418">
        <v>332.02</v>
      </c>
      <c r="U37" s="444">
        <v>0</v>
      </c>
      <c r="V37" s="345" t="str">
        <f>IF(Tabela2[[#This Row],[Colunas1]]="ATIVO","SIM","NÃO")</f>
        <v>NÃO</v>
      </c>
      <c r="W37" s="420" t="s">
        <v>793</v>
      </c>
    </row>
    <row r="38" spans="1:23" s="347" customFormat="1">
      <c r="A38" s="415" t="s">
        <v>185</v>
      </c>
      <c r="B38" s="416" t="s">
        <v>1443</v>
      </c>
      <c r="C38" s="417">
        <v>44180</v>
      </c>
      <c r="D38" s="417">
        <v>44204</v>
      </c>
      <c r="E38" s="443">
        <v>44207</v>
      </c>
      <c r="F38" s="418">
        <v>2604.52</v>
      </c>
      <c r="G38" s="418">
        <v>1195.96</v>
      </c>
      <c r="H38" s="418">
        <v>0</v>
      </c>
      <c r="I38" s="418">
        <v>3800.48</v>
      </c>
      <c r="J38" s="444">
        <v>0</v>
      </c>
      <c r="K38" s="418">
        <v>0</v>
      </c>
      <c r="L38" s="418">
        <v>76.010000000000005</v>
      </c>
      <c r="M38" s="444">
        <v>30.400000000000002</v>
      </c>
      <c r="N38" s="444">
        <v>0</v>
      </c>
      <c r="O38" s="444">
        <v>0</v>
      </c>
      <c r="P38" s="444">
        <v>0</v>
      </c>
      <c r="Q38" s="444">
        <v>3906.89</v>
      </c>
      <c r="R38" s="444">
        <v>0</v>
      </c>
      <c r="S38" s="444">
        <v>1655.23</v>
      </c>
      <c r="T38" s="418">
        <v>949.29</v>
      </c>
      <c r="U38" s="444">
        <v>0</v>
      </c>
      <c r="V38" s="345" t="str">
        <f>IF(Tabela2[[#This Row],[Colunas1]]="ATIVO","SIM","NÃO")</f>
        <v>NÃO</v>
      </c>
      <c r="W38" s="420" t="s">
        <v>793</v>
      </c>
    </row>
    <row r="39" spans="1:23" s="347" customFormat="1">
      <c r="A39" s="419" t="s">
        <v>185</v>
      </c>
      <c r="B39" s="416" t="s">
        <v>1444</v>
      </c>
      <c r="C39" s="417">
        <v>44180</v>
      </c>
      <c r="D39" s="417">
        <v>44204</v>
      </c>
      <c r="E39" s="443">
        <v>44207</v>
      </c>
      <c r="F39" s="418">
        <v>1077.6300000000001</v>
      </c>
      <c r="G39" s="418">
        <v>494.83</v>
      </c>
      <c r="H39" s="418">
        <v>0</v>
      </c>
      <c r="I39" s="418">
        <v>1572.46</v>
      </c>
      <c r="J39" s="444">
        <v>0</v>
      </c>
      <c r="K39" s="418">
        <v>0</v>
      </c>
      <c r="L39" s="418">
        <v>31.45</v>
      </c>
      <c r="M39" s="444">
        <v>12.58</v>
      </c>
      <c r="N39" s="444">
        <v>0</v>
      </c>
      <c r="O39" s="444">
        <v>0</v>
      </c>
      <c r="P39" s="444">
        <v>0</v>
      </c>
      <c r="Q39" s="444">
        <v>1616.49</v>
      </c>
      <c r="R39" s="444">
        <v>0</v>
      </c>
      <c r="S39" s="444">
        <v>752.68000000000006</v>
      </c>
      <c r="T39" s="418">
        <v>324.95</v>
      </c>
      <c r="U39" s="444">
        <v>0</v>
      </c>
      <c r="V39" s="345" t="str">
        <f>IF(Tabela2[[#This Row],[Colunas1]]="ATIVO","SIM","NÃO")</f>
        <v>NÃO</v>
      </c>
      <c r="W39" s="420" t="s">
        <v>793</v>
      </c>
    </row>
    <row r="40" spans="1:23" s="347" customFormat="1">
      <c r="A40" s="415" t="s">
        <v>206</v>
      </c>
      <c r="B40" s="416" t="s">
        <v>1152</v>
      </c>
      <c r="C40" s="417">
        <v>43992</v>
      </c>
      <c r="D40" s="417">
        <v>44207</v>
      </c>
      <c r="E40" s="443">
        <v>44208</v>
      </c>
      <c r="F40" s="418">
        <v>396.03000000000003</v>
      </c>
      <c r="G40" s="418">
        <v>197.65</v>
      </c>
      <c r="H40" s="418">
        <v>0</v>
      </c>
      <c r="I40" s="418">
        <v>593.68000000000006</v>
      </c>
      <c r="J40" s="444">
        <v>0</v>
      </c>
      <c r="K40" s="418">
        <v>16.240000000000002</v>
      </c>
      <c r="L40" s="418">
        <v>0</v>
      </c>
      <c r="M40" s="444">
        <v>0</v>
      </c>
      <c r="N40" s="444">
        <v>29.96</v>
      </c>
      <c r="O40" s="444">
        <v>0</v>
      </c>
      <c r="P40" s="444">
        <v>0</v>
      </c>
      <c r="Q40" s="444">
        <v>579.96</v>
      </c>
      <c r="R40" s="444">
        <v>0</v>
      </c>
      <c r="S40" s="444">
        <v>396.03000000000003</v>
      </c>
      <c r="T40" s="418">
        <v>0</v>
      </c>
      <c r="U40" s="444">
        <v>0</v>
      </c>
      <c r="V40" s="345" t="str">
        <f>IF(Tabela2[[#This Row],[Colunas1]]="ATIVO","SIM","NÃO")</f>
        <v>SIM</v>
      </c>
      <c r="W40" s="346" t="str">
        <f>VLOOKUP(Tabela2[[#This Row],[Identificação]],Recebíveis!$G$5:$J$488,4,0)</f>
        <v>ATIVO</v>
      </c>
    </row>
    <row r="41" spans="1:23" s="347" customFormat="1">
      <c r="A41" s="419" t="s">
        <v>911</v>
      </c>
      <c r="B41" s="416" t="s">
        <v>1445</v>
      </c>
      <c r="C41" s="417">
        <v>44170</v>
      </c>
      <c r="D41" s="417">
        <v>44207</v>
      </c>
      <c r="E41" s="443">
        <v>44208</v>
      </c>
      <c r="F41" s="418">
        <v>10000</v>
      </c>
      <c r="G41" s="418">
        <v>769.37</v>
      </c>
      <c r="H41" s="418">
        <v>0</v>
      </c>
      <c r="I41" s="418">
        <v>10769.37</v>
      </c>
      <c r="J41" s="444">
        <v>0</v>
      </c>
      <c r="K41" s="418">
        <v>0</v>
      </c>
      <c r="L41" s="418">
        <v>0</v>
      </c>
      <c r="M41" s="444">
        <v>0</v>
      </c>
      <c r="N41" s="444">
        <v>0</v>
      </c>
      <c r="O41" s="444">
        <v>0</v>
      </c>
      <c r="P41" s="444">
        <v>0</v>
      </c>
      <c r="Q41" s="444">
        <v>10769.37</v>
      </c>
      <c r="R41" s="444">
        <v>0</v>
      </c>
      <c r="S41" s="444">
        <v>10000</v>
      </c>
      <c r="T41" s="418">
        <v>0</v>
      </c>
      <c r="U41" s="444">
        <v>0</v>
      </c>
      <c r="V41" s="345" t="str">
        <f>IF(Tabela2[[#This Row],[Colunas1]]="ATIVO","SIM","NÃO")</f>
        <v>SIM</v>
      </c>
      <c r="W41" s="346" t="str">
        <f>VLOOKUP(Tabela2[[#This Row],[Identificação]],Recebíveis!$G$5:$J$488,4,0)</f>
        <v>ATIVO</v>
      </c>
    </row>
    <row r="42" spans="1:23" s="347" customFormat="1">
      <c r="A42" s="415" t="s">
        <v>83</v>
      </c>
      <c r="B42" s="416" t="s">
        <v>1446</v>
      </c>
      <c r="C42" s="417">
        <v>44145</v>
      </c>
      <c r="D42" s="417">
        <v>44207</v>
      </c>
      <c r="E42" s="443">
        <v>44208</v>
      </c>
      <c r="F42" s="418">
        <v>745.39</v>
      </c>
      <c r="G42" s="418">
        <v>359.16</v>
      </c>
      <c r="H42" s="418">
        <v>0</v>
      </c>
      <c r="I42" s="418">
        <v>1104.55</v>
      </c>
      <c r="J42" s="444">
        <v>0</v>
      </c>
      <c r="K42" s="418">
        <v>49.31</v>
      </c>
      <c r="L42" s="418">
        <v>68.12</v>
      </c>
      <c r="M42" s="444">
        <v>0</v>
      </c>
      <c r="N42" s="444">
        <v>0</v>
      </c>
      <c r="O42" s="444">
        <v>0</v>
      </c>
      <c r="P42" s="444">
        <v>0</v>
      </c>
      <c r="Q42" s="444">
        <v>1221.98</v>
      </c>
      <c r="R42" s="444">
        <v>0</v>
      </c>
      <c r="S42" s="444">
        <v>294.83</v>
      </c>
      <c r="T42" s="418">
        <v>450.56</v>
      </c>
      <c r="U42" s="444">
        <v>0</v>
      </c>
      <c r="V42" s="345" t="str">
        <f>IF(Tabela2[[#This Row],[Colunas1]]="ATIVO","SIM","NÃO")</f>
        <v>NÃO</v>
      </c>
      <c r="W42" s="346" t="str">
        <f>VLOOKUP(Tabela2[[#This Row],[Identificação]],Recebíveis!$G$5:$J$488,4,0)</f>
        <v>INADIMPLENTE</v>
      </c>
    </row>
    <row r="43" spans="1:23" s="347" customFormat="1">
      <c r="A43" s="415" t="s">
        <v>1163</v>
      </c>
      <c r="B43" s="416" t="s">
        <v>1447</v>
      </c>
      <c r="C43" s="417">
        <v>44150</v>
      </c>
      <c r="D43" s="417">
        <v>44207</v>
      </c>
      <c r="E43" s="443">
        <v>44208</v>
      </c>
      <c r="F43" s="418">
        <v>1974.21</v>
      </c>
      <c r="G43" s="418">
        <v>70.850000000000009</v>
      </c>
      <c r="H43" s="418">
        <v>0</v>
      </c>
      <c r="I43" s="418">
        <v>2045.06</v>
      </c>
      <c r="J43" s="444">
        <v>0</v>
      </c>
      <c r="K43" s="418">
        <v>21.04</v>
      </c>
      <c r="L43" s="418">
        <v>41.32</v>
      </c>
      <c r="M43" s="444">
        <v>39.26</v>
      </c>
      <c r="N43" s="444">
        <v>0</v>
      </c>
      <c r="O43" s="444">
        <v>0</v>
      </c>
      <c r="P43" s="444">
        <v>0</v>
      </c>
      <c r="Q43" s="444">
        <v>2146.6799999999998</v>
      </c>
      <c r="R43" s="444">
        <v>0</v>
      </c>
      <c r="S43" s="444">
        <v>1174.3800000000001</v>
      </c>
      <c r="T43" s="418">
        <v>799.83</v>
      </c>
      <c r="U43" s="444">
        <v>0</v>
      </c>
      <c r="V43" s="345" t="str">
        <f>IF(Tabela2[[#This Row],[Colunas1]]="ATIVO","SIM","NÃO")</f>
        <v>NÃO</v>
      </c>
      <c r="W43" s="346" t="str">
        <f>VLOOKUP(Tabela2[[#This Row],[Identificação]],Recebíveis!$G$5:$J$488,4,0)</f>
        <v>ATRASO</v>
      </c>
    </row>
    <row r="44" spans="1:23" s="347" customFormat="1">
      <c r="A44" s="415" t="s">
        <v>953</v>
      </c>
      <c r="B44" s="416" t="s">
        <v>1448</v>
      </c>
      <c r="C44" s="417">
        <v>44150</v>
      </c>
      <c r="D44" s="417">
        <v>44207</v>
      </c>
      <c r="E44" s="443">
        <v>44208</v>
      </c>
      <c r="F44" s="418">
        <v>850.51</v>
      </c>
      <c r="G44" s="418">
        <v>28.240000000000002</v>
      </c>
      <c r="H44" s="418">
        <v>0</v>
      </c>
      <c r="I44" s="418">
        <v>878.75</v>
      </c>
      <c r="J44" s="444">
        <v>0</v>
      </c>
      <c r="K44" s="418">
        <v>50.25</v>
      </c>
      <c r="L44" s="418">
        <v>18.02</v>
      </c>
      <c r="M44" s="444">
        <v>17.650000000000002</v>
      </c>
      <c r="N44" s="444">
        <v>0</v>
      </c>
      <c r="O44" s="444">
        <v>0</v>
      </c>
      <c r="P44" s="444">
        <v>0</v>
      </c>
      <c r="Q44" s="444">
        <v>964.67000000000007</v>
      </c>
      <c r="R44" s="444">
        <v>0</v>
      </c>
      <c r="S44" s="444">
        <v>177.35</v>
      </c>
      <c r="T44" s="418">
        <v>673.16</v>
      </c>
      <c r="U44" s="444">
        <v>0</v>
      </c>
      <c r="V44" s="345" t="str">
        <f>IF(Tabela2[[#This Row],[Colunas1]]="ATIVO","SIM","NÃO")</f>
        <v>NÃO</v>
      </c>
      <c r="W44" s="346" t="str">
        <f>VLOOKUP(Tabela2[[#This Row],[Identificação]],Recebíveis!$G$5:$J$488,4,0)</f>
        <v>INADIMPLENTE</v>
      </c>
    </row>
    <row r="45" spans="1:23" s="347" customFormat="1">
      <c r="A45" s="415" t="s">
        <v>1073</v>
      </c>
      <c r="B45" s="416" t="s">
        <v>1399</v>
      </c>
      <c r="C45" s="417">
        <v>44170</v>
      </c>
      <c r="D45" s="417">
        <v>44207</v>
      </c>
      <c r="E45" s="443">
        <v>44209</v>
      </c>
      <c r="F45" s="418">
        <v>1863.42</v>
      </c>
      <c r="G45" s="418">
        <v>111.42</v>
      </c>
      <c r="H45" s="418">
        <v>0</v>
      </c>
      <c r="I45" s="418">
        <v>1974.8400000000001</v>
      </c>
      <c r="J45" s="444">
        <v>0</v>
      </c>
      <c r="K45" s="418">
        <v>39.58</v>
      </c>
      <c r="L45" s="418">
        <v>40.29</v>
      </c>
      <c r="M45" s="444">
        <v>64.070000000000007</v>
      </c>
      <c r="N45" s="444">
        <v>0</v>
      </c>
      <c r="O45" s="444">
        <v>0</v>
      </c>
      <c r="P45" s="444">
        <v>0</v>
      </c>
      <c r="Q45" s="444">
        <v>2118.7800000000002</v>
      </c>
      <c r="R45" s="444">
        <v>0</v>
      </c>
      <c r="S45" s="444">
        <v>361.03000000000003</v>
      </c>
      <c r="T45" s="418">
        <v>1502.39</v>
      </c>
      <c r="U45" s="444">
        <v>0</v>
      </c>
      <c r="V45" s="345" t="str">
        <f>IF(Tabela2[[#This Row],[Colunas1]]="ATIVO","SIM","NÃO")</f>
        <v>SIM</v>
      </c>
      <c r="W45" s="346" t="str">
        <f>VLOOKUP(Tabela2[[#This Row],[Identificação]],Recebíveis!$G$5:$J$488,4,0)</f>
        <v>ATIVO</v>
      </c>
    </row>
    <row r="46" spans="1:23" s="347" customFormat="1">
      <c r="A46" s="415" t="s">
        <v>789</v>
      </c>
      <c r="B46" s="416" t="s">
        <v>1449</v>
      </c>
      <c r="C46" s="417">
        <v>44155</v>
      </c>
      <c r="D46" s="417">
        <v>44208</v>
      </c>
      <c r="E46" s="443">
        <v>44209</v>
      </c>
      <c r="F46" s="418">
        <v>939.94</v>
      </c>
      <c r="G46" s="418">
        <v>403.95</v>
      </c>
      <c r="H46" s="418">
        <v>0</v>
      </c>
      <c r="I46" s="418">
        <v>1343.89</v>
      </c>
      <c r="J46" s="444">
        <v>0</v>
      </c>
      <c r="K46" s="418">
        <v>58.67</v>
      </c>
      <c r="L46" s="418">
        <v>28.05</v>
      </c>
      <c r="M46" s="444">
        <v>24.78</v>
      </c>
      <c r="N46" s="444">
        <v>0</v>
      </c>
      <c r="O46" s="444">
        <v>0</v>
      </c>
      <c r="P46" s="444">
        <v>0</v>
      </c>
      <c r="Q46" s="444">
        <v>1455.39</v>
      </c>
      <c r="R46" s="444">
        <v>0</v>
      </c>
      <c r="S46" s="444">
        <v>376.06</v>
      </c>
      <c r="T46" s="418">
        <v>563.88</v>
      </c>
      <c r="U46" s="444">
        <v>0</v>
      </c>
      <c r="V46" s="345" t="str">
        <f>IF(Tabela2[[#This Row],[Colunas1]]="ATIVO","SIM","NÃO")</f>
        <v>NÃO</v>
      </c>
      <c r="W46" s="346" t="str">
        <f>VLOOKUP(Tabela2[[#This Row],[Identificação]],Recebíveis!$G$5:$J$488,4,0)</f>
        <v>ATRASO</v>
      </c>
    </row>
    <row r="47" spans="1:23" s="347" customFormat="1">
      <c r="A47" s="415" t="s">
        <v>271</v>
      </c>
      <c r="B47" s="416" t="s">
        <v>1401</v>
      </c>
      <c r="C47" s="417">
        <v>43961</v>
      </c>
      <c r="D47" s="417">
        <v>44208</v>
      </c>
      <c r="E47" s="443">
        <v>44209</v>
      </c>
      <c r="F47" s="418">
        <v>366.56</v>
      </c>
      <c r="G47" s="418">
        <v>32.480000000000004</v>
      </c>
      <c r="H47" s="418">
        <v>0</v>
      </c>
      <c r="I47" s="418">
        <v>399.04</v>
      </c>
      <c r="J47" s="444">
        <v>0</v>
      </c>
      <c r="K47" s="418">
        <v>13.6</v>
      </c>
      <c r="L47" s="418">
        <v>8.25</v>
      </c>
      <c r="M47" s="444">
        <v>33.97</v>
      </c>
      <c r="N47" s="444">
        <v>0</v>
      </c>
      <c r="O47" s="444">
        <v>0</v>
      </c>
      <c r="P47" s="444">
        <v>0</v>
      </c>
      <c r="Q47" s="444">
        <v>454.86</v>
      </c>
      <c r="R47" s="444">
        <v>0</v>
      </c>
      <c r="S47" s="444">
        <v>226.45000000000002</v>
      </c>
      <c r="T47" s="418">
        <v>140.11000000000001</v>
      </c>
      <c r="U47" s="444">
        <v>0</v>
      </c>
      <c r="V47" s="345" t="str">
        <f>IF(Tabela2[[#This Row],[Colunas1]]="ATIVO","SIM","NÃO")</f>
        <v>NÃO</v>
      </c>
      <c r="W47" s="346" t="str">
        <f>VLOOKUP(Tabela2[[#This Row],[Identificação]],Recebíveis!$G$5:$J$488,4,0)</f>
        <v>ATRASO</v>
      </c>
    </row>
    <row r="48" spans="1:23" s="347" customFormat="1">
      <c r="A48" s="415" t="s">
        <v>271</v>
      </c>
      <c r="B48" s="416" t="s">
        <v>1450</v>
      </c>
      <c r="C48" s="417">
        <v>44145</v>
      </c>
      <c r="D48" s="417">
        <v>44208</v>
      </c>
      <c r="E48" s="443">
        <v>44209</v>
      </c>
      <c r="F48" s="418">
        <v>1211.5899999999999</v>
      </c>
      <c r="G48" s="418">
        <v>107.35000000000001</v>
      </c>
      <c r="H48" s="418">
        <v>0</v>
      </c>
      <c r="I48" s="418">
        <v>1318.94</v>
      </c>
      <c r="J48" s="444">
        <v>0</v>
      </c>
      <c r="K48" s="418">
        <v>44.44</v>
      </c>
      <c r="L48" s="418">
        <v>27.27</v>
      </c>
      <c r="M48" s="444">
        <v>28.63</v>
      </c>
      <c r="N48" s="444">
        <v>0</v>
      </c>
      <c r="O48" s="444">
        <v>0</v>
      </c>
      <c r="P48" s="444">
        <v>0</v>
      </c>
      <c r="Q48" s="444">
        <v>1419.28</v>
      </c>
      <c r="R48" s="444">
        <v>0</v>
      </c>
      <c r="S48" s="444">
        <v>769.99</v>
      </c>
      <c r="T48" s="418">
        <v>441.6</v>
      </c>
      <c r="U48" s="444">
        <v>0</v>
      </c>
      <c r="V48" s="345" t="str">
        <f>IF(Tabela2[[#This Row],[Colunas1]]="ATIVO","SIM","NÃO")</f>
        <v>NÃO</v>
      </c>
      <c r="W48" s="346" t="str">
        <f>VLOOKUP(Tabela2[[#This Row],[Identificação]],Recebíveis!$G$5:$J$488,4,0)</f>
        <v>ATRASO</v>
      </c>
    </row>
    <row r="49" spans="1:23" s="347" customFormat="1">
      <c r="A49" s="415" t="s">
        <v>933</v>
      </c>
      <c r="B49" s="416" t="s">
        <v>1405</v>
      </c>
      <c r="C49" s="417">
        <v>43940</v>
      </c>
      <c r="D49" s="417">
        <v>44208</v>
      </c>
      <c r="E49" s="443">
        <v>44215</v>
      </c>
      <c r="F49" s="418">
        <v>418.64</v>
      </c>
      <c r="G49" s="418">
        <v>36.410000000000004</v>
      </c>
      <c r="H49" s="418">
        <v>0</v>
      </c>
      <c r="I49" s="418">
        <v>455.05</v>
      </c>
      <c r="J49" s="444">
        <v>0</v>
      </c>
      <c r="K49" s="418">
        <v>11.81</v>
      </c>
      <c r="L49" s="418">
        <v>0</v>
      </c>
      <c r="M49" s="444">
        <v>0</v>
      </c>
      <c r="N49" s="444">
        <v>0</v>
      </c>
      <c r="O49" s="444">
        <v>0</v>
      </c>
      <c r="P49" s="444">
        <v>0</v>
      </c>
      <c r="Q49" s="444">
        <v>466.86</v>
      </c>
      <c r="R49" s="444">
        <v>0</v>
      </c>
      <c r="S49" s="444">
        <v>220.26</v>
      </c>
      <c r="T49" s="418">
        <v>198.38</v>
      </c>
      <c r="U49" s="444">
        <v>0</v>
      </c>
      <c r="V49" s="345" t="str">
        <f>IF(Tabela2[[#This Row],[Colunas1]]="ATIVO","SIM","NÃO")</f>
        <v>NÃO</v>
      </c>
      <c r="W49" s="346" t="str">
        <f>VLOOKUP(Tabela2[[#This Row],[Identificação]],Recebíveis!$G$5:$J$488,4,0)</f>
        <v>INADIMPLENTE</v>
      </c>
    </row>
    <row r="50" spans="1:23" s="347" customFormat="1">
      <c r="A50" s="415" t="s">
        <v>271</v>
      </c>
      <c r="B50" s="416" t="s">
        <v>1451</v>
      </c>
      <c r="C50" s="417">
        <v>44012</v>
      </c>
      <c r="D50" s="417">
        <v>44208</v>
      </c>
      <c r="E50" s="443">
        <v>44209</v>
      </c>
      <c r="F50" s="418">
        <v>259.36</v>
      </c>
      <c r="G50" s="418">
        <v>132.12</v>
      </c>
      <c r="H50" s="418">
        <v>0</v>
      </c>
      <c r="I50" s="418">
        <v>391.48</v>
      </c>
      <c r="J50" s="444">
        <v>0</v>
      </c>
      <c r="K50" s="418">
        <v>0</v>
      </c>
      <c r="L50" s="418">
        <v>7.83</v>
      </c>
      <c r="M50" s="444">
        <v>25.580000000000002</v>
      </c>
      <c r="N50" s="444">
        <v>133.41</v>
      </c>
      <c r="O50" s="444">
        <v>0</v>
      </c>
      <c r="P50" s="444">
        <v>0</v>
      </c>
      <c r="Q50" s="444">
        <v>291.48</v>
      </c>
      <c r="R50" s="444">
        <v>0</v>
      </c>
      <c r="S50" s="444">
        <v>184.61</v>
      </c>
      <c r="T50" s="418">
        <v>74.75</v>
      </c>
      <c r="U50" s="444">
        <v>0</v>
      </c>
      <c r="V50" s="345" t="str">
        <f>IF(Tabela2[[#This Row],[Colunas1]]="ATIVO","SIM","NÃO")</f>
        <v>NÃO</v>
      </c>
      <c r="W50" s="346" t="str">
        <f>VLOOKUP(Tabela2[[#This Row],[Identificação]],Recebíveis!$G$5:$J$488,4,0)</f>
        <v>ATRASO</v>
      </c>
    </row>
    <row r="51" spans="1:23" s="347" customFormat="1">
      <c r="A51" s="415" t="s">
        <v>933</v>
      </c>
      <c r="B51" s="416" t="s">
        <v>1452</v>
      </c>
      <c r="C51" s="417">
        <v>44001</v>
      </c>
      <c r="D51" s="417">
        <v>44208</v>
      </c>
      <c r="E51" s="443">
        <v>44215</v>
      </c>
      <c r="F51" s="418">
        <v>106.28</v>
      </c>
      <c r="G51" s="418">
        <v>9.24</v>
      </c>
      <c r="H51" s="418">
        <v>0</v>
      </c>
      <c r="I51" s="418">
        <v>115.52</v>
      </c>
      <c r="J51" s="444">
        <v>0</v>
      </c>
      <c r="K51" s="418">
        <v>2.98</v>
      </c>
      <c r="L51" s="418">
        <v>1.86</v>
      </c>
      <c r="M51" s="444">
        <v>8.18</v>
      </c>
      <c r="N51" s="444">
        <v>0</v>
      </c>
      <c r="O51" s="444">
        <v>0</v>
      </c>
      <c r="P51" s="444">
        <v>0</v>
      </c>
      <c r="Q51" s="444">
        <v>128.54</v>
      </c>
      <c r="R51" s="444">
        <v>0</v>
      </c>
      <c r="S51" s="444">
        <v>58.07</v>
      </c>
      <c r="T51" s="418">
        <v>48.21</v>
      </c>
      <c r="U51" s="444">
        <v>0</v>
      </c>
      <c r="V51" s="345" t="str">
        <f>IF(Tabela2[[#This Row],[Colunas1]]="ATIVO","SIM","NÃO")</f>
        <v>NÃO</v>
      </c>
      <c r="W51" s="346" t="str">
        <f>VLOOKUP(Tabela2[[#This Row],[Identificação]],Recebíveis!$G$5:$J$488,4,0)</f>
        <v>INADIMPLENTE</v>
      </c>
    </row>
    <row r="52" spans="1:23" s="347" customFormat="1">
      <c r="A52" s="415" t="s">
        <v>239</v>
      </c>
      <c r="B52" s="416" t="s">
        <v>1449</v>
      </c>
      <c r="C52" s="417">
        <v>44185</v>
      </c>
      <c r="D52" s="417">
        <v>44210</v>
      </c>
      <c r="E52" s="443">
        <v>44211</v>
      </c>
      <c r="F52" s="418">
        <v>995.61</v>
      </c>
      <c r="G52" s="418">
        <v>408.88</v>
      </c>
      <c r="H52" s="418">
        <v>0</v>
      </c>
      <c r="I52" s="418">
        <v>1404.49</v>
      </c>
      <c r="J52" s="444">
        <v>0</v>
      </c>
      <c r="K52" s="418">
        <v>56.54</v>
      </c>
      <c r="L52" s="418">
        <v>29.22</v>
      </c>
      <c r="M52" s="444">
        <v>12.25</v>
      </c>
      <c r="N52" s="444">
        <v>0</v>
      </c>
      <c r="O52" s="444">
        <v>0</v>
      </c>
      <c r="P52" s="444">
        <v>0</v>
      </c>
      <c r="Q52" s="444">
        <v>1502.5</v>
      </c>
      <c r="R52" s="444">
        <v>0</v>
      </c>
      <c r="S52" s="444">
        <v>499.66</v>
      </c>
      <c r="T52" s="418">
        <v>495.95</v>
      </c>
      <c r="U52" s="444">
        <v>0</v>
      </c>
      <c r="V52" s="345" t="str">
        <f>IF(Tabela2[[#This Row],[Colunas1]]="ATIVO","SIM","NÃO")</f>
        <v>SIM</v>
      </c>
      <c r="W52" s="346" t="str">
        <f>VLOOKUP(Tabela2[[#This Row],[Identificação]],Recebíveis!$G$5:$J$488,4,0)</f>
        <v>ATIVO</v>
      </c>
    </row>
    <row r="53" spans="1:23" s="347" customFormat="1">
      <c r="A53" s="415" t="s">
        <v>1179</v>
      </c>
      <c r="B53" s="416" t="s">
        <v>1453</v>
      </c>
      <c r="C53" s="417">
        <v>44180</v>
      </c>
      <c r="D53" s="417">
        <v>44211</v>
      </c>
      <c r="E53" s="443">
        <v>44214</v>
      </c>
      <c r="F53" s="418">
        <v>959.21</v>
      </c>
      <c r="G53" s="418">
        <v>35.56</v>
      </c>
      <c r="H53" s="418">
        <v>0</v>
      </c>
      <c r="I53" s="418">
        <v>994.77</v>
      </c>
      <c r="J53" s="444">
        <v>0</v>
      </c>
      <c r="K53" s="418">
        <v>23.79</v>
      </c>
      <c r="L53" s="418">
        <v>20.37</v>
      </c>
      <c r="M53" s="444">
        <v>10.53</v>
      </c>
      <c r="N53" s="444">
        <v>0</v>
      </c>
      <c r="O53" s="444">
        <v>0</v>
      </c>
      <c r="P53" s="444">
        <v>0</v>
      </c>
      <c r="Q53" s="444">
        <v>1049.46</v>
      </c>
      <c r="R53" s="444">
        <v>0</v>
      </c>
      <c r="S53" s="444">
        <v>183.72</v>
      </c>
      <c r="T53" s="418">
        <v>775.49</v>
      </c>
      <c r="U53" s="444">
        <v>0</v>
      </c>
      <c r="V53" s="345" t="str">
        <f>IF(Tabela2[[#This Row],[Colunas1]]="ATIVO","SIM","NÃO")</f>
        <v>SIM</v>
      </c>
      <c r="W53" s="346" t="str">
        <f>VLOOKUP(Tabela2[[#This Row],[Identificação]],Recebíveis!$G$5:$J$488,4,0)</f>
        <v>ATIVO</v>
      </c>
    </row>
    <row r="54" spans="1:23" s="347" customFormat="1">
      <c r="A54" s="415" t="s">
        <v>912</v>
      </c>
      <c r="B54" s="416" t="s">
        <v>1330</v>
      </c>
      <c r="C54" s="417">
        <v>43966</v>
      </c>
      <c r="D54" s="417">
        <v>44211</v>
      </c>
      <c r="E54" s="443">
        <v>44214</v>
      </c>
      <c r="F54" s="418">
        <v>266.58</v>
      </c>
      <c r="G54" s="418">
        <v>23.87</v>
      </c>
      <c r="H54" s="418">
        <v>0</v>
      </c>
      <c r="I54" s="418">
        <v>290.45</v>
      </c>
      <c r="J54" s="444">
        <v>0</v>
      </c>
      <c r="K54" s="418">
        <v>11.06</v>
      </c>
      <c r="L54" s="418">
        <v>0</v>
      </c>
      <c r="M54" s="444">
        <v>0</v>
      </c>
      <c r="N54" s="444">
        <v>16.149999999999999</v>
      </c>
      <c r="O54" s="444">
        <v>0</v>
      </c>
      <c r="P54" s="444">
        <v>0</v>
      </c>
      <c r="Q54" s="444">
        <v>285.36</v>
      </c>
      <c r="R54" s="444">
        <v>0</v>
      </c>
      <c r="S54" s="444">
        <v>266.58</v>
      </c>
      <c r="T54" s="418">
        <v>0</v>
      </c>
      <c r="U54" s="444">
        <v>0</v>
      </c>
      <c r="V54" s="345" t="str">
        <f>IF(Tabela2[[#This Row],[Colunas1]]="ATIVO","SIM","NÃO")</f>
        <v>SIM</v>
      </c>
      <c r="W54" s="346" t="str">
        <f>VLOOKUP(Tabela2[[#This Row],[Identificação]],Recebíveis!$G$5:$J$488,4,0)</f>
        <v>ATIVO</v>
      </c>
    </row>
    <row r="55" spans="1:23" s="347" customFormat="1">
      <c r="A55" s="415" t="s">
        <v>1311</v>
      </c>
      <c r="B55" s="416" t="s">
        <v>1454</v>
      </c>
      <c r="C55" s="417">
        <v>44180</v>
      </c>
      <c r="D55" s="417">
        <v>44211</v>
      </c>
      <c r="E55" s="443">
        <v>44215</v>
      </c>
      <c r="F55" s="418">
        <v>1875</v>
      </c>
      <c r="G55" s="418">
        <v>0</v>
      </c>
      <c r="H55" s="418">
        <v>0</v>
      </c>
      <c r="I55" s="418">
        <v>1875</v>
      </c>
      <c r="J55" s="444">
        <v>0</v>
      </c>
      <c r="K55" s="418">
        <v>15.08</v>
      </c>
      <c r="L55" s="418">
        <v>0</v>
      </c>
      <c r="M55" s="444">
        <v>0</v>
      </c>
      <c r="N55" s="444">
        <v>0</v>
      </c>
      <c r="O55" s="444">
        <v>0</v>
      </c>
      <c r="P55" s="444">
        <v>0</v>
      </c>
      <c r="Q55" s="444">
        <v>1890.08</v>
      </c>
      <c r="R55" s="444">
        <v>0</v>
      </c>
      <c r="S55" s="444">
        <v>1875</v>
      </c>
      <c r="T55" s="418">
        <v>0</v>
      </c>
      <c r="U55" s="444">
        <v>0</v>
      </c>
      <c r="V55" s="345" t="str">
        <f>IF(Tabela2[[#This Row],[Colunas1]]="ATIVO","SIM","NÃO")</f>
        <v>SIM</v>
      </c>
      <c r="W55" s="346" t="str">
        <f>VLOOKUP(Tabela2[[#This Row],[Identificação]],Recebíveis!$G$5:$J$488,4,0)</f>
        <v>ATIVO</v>
      </c>
    </row>
    <row r="56" spans="1:23" s="347" customFormat="1">
      <c r="A56" s="415" t="s">
        <v>1073</v>
      </c>
      <c r="B56" s="416" t="s">
        <v>1399</v>
      </c>
      <c r="C56" s="417">
        <v>44170</v>
      </c>
      <c r="D56" s="417">
        <v>44211</v>
      </c>
      <c r="E56" s="443">
        <v>44214</v>
      </c>
      <c r="F56" s="418">
        <v>1192.5899999999999</v>
      </c>
      <c r="G56" s="418">
        <v>72.760000000000005</v>
      </c>
      <c r="H56" s="418">
        <v>0</v>
      </c>
      <c r="I56" s="418">
        <v>1265.3500000000001</v>
      </c>
      <c r="J56" s="444">
        <v>0</v>
      </c>
      <c r="K56" s="418">
        <v>25.330000000000002</v>
      </c>
      <c r="L56" s="418">
        <v>18.93</v>
      </c>
      <c r="M56" s="444">
        <v>47.36</v>
      </c>
      <c r="N56" s="444">
        <v>0</v>
      </c>
      <c r="O56" s="444">
        <v>0</v>
      </c>
      <c r="P56" s="444">
        <v>0</v>
      </c>
      <c r="Q56" s="444">
        <v>1356.97</v>
      </c>
      <c r="R56" s="444">
        <v>0</v>
      </c>
      <c r="S56" s="444">
        <v>233.35</v>
      </c>
      <c r="T56" s="418">
        <v>959.24</v>
      </c>
      <c r="U56" s="444">
        <v>0</v>
      </c>
      <c r="V56" s="345" t="str">
        <f>IF(Tabela2[[#This Row],[Colunas1]]="ATIVO","SIM","NÃO")</f>
        <v>SIM</v>
      </c>
      <c r="W56" s="346" t="str">
        <f>VLOOKUP(Tabela2[[#This Row],[Identificação]],Recebíveis!$G$5:$J$488,4,0)</f>
        <v>ATIVO</v>
      </c>
    </row>
    <row r="57" spans="1:23" s="347" customFormat="1">
      <c r="A57" s="415" t="s">
        <v>953</v>
      </c>
      <c r="B57" s="416" t="s">
        <v>1153</v>
      </c>
      <c r="C57" s="417">
        <v>43966</v>
      </c>
      <c r="D57" s="417">
        <v>44211</v>
      </c>
      <c r="E57" s="443">
        <v>44214</v>
      </c>
      <c r="F57" s="418">
        <v>401.21000000000004</v>
      </c>
      <c r="G57" s="418">
        <v>32.01</v>
      </c>
      <c r="H57" s="418">
        <v>0</v>
      </c>
      <c r="I57" s="418">
        <v>433.22</v>
      </c>
      <c r="J57" s="444">
        <v>0</v>
      </c>
      <c r="K57" s="418">
        <v>0</v>
      </c>
      <c r="L57" s="418">
        <v>0</v>
      </c>
      <c r="M57" s="444">
        <v>0</v>
      </c>
      <c r="N57" s="444">
        <v>0</v>
      </c>
      <c r="O57" s="444">
        <v>0</v>
      </c>
      <c r="P57" s="444">
        <v>0</v>
      </c>
      <c r="Q57" s="444">
        <v>433.22</v>
      </c>
      <c r="R57" s="444">
        <v>0</v>
      </c>
      <c r="S57" s="444">
        <v>401.21000000000004</v>
      </c>
      <c r="T57" s="418">
        <v>0</v>
      </c>
      <c r="U57" s="444">
        <v>0</v>
      </c>
      <c r="V57" s="345" t="str">
        <f>IF(Tabela2[[#This Row],[Colunas1]]="ATIVO","SIM","NÃO")</f>
        <v>NÃO</v>
      </c>
      <c r="W57" s="346" t="str">
        <f>VLOOKUP(Tabela2[[#This Row],[Identificação]],Recebíveis!$G$5:$J$488,4,0)</f>
        <v>INADIMPLENTE</v>
      </c>
    </row>
    <row r="58" spans="1:23" s="347" customFormat="1">
      <c r="A58" s="415" t="s">
        <v>1066</v>
      </c>
      <c r="B58" s="416" t="s">
        <v>1424</v>
      </c>
      <c r="C58" s="417">
        <v>44185</v>
      </c>
      <c r="D58" s="417">
        <v>44214</v>
      </c>
      <c r="E58" s="443">
        <v>44215</v>
      </c>
      <c r="F58" s="418">
        <v>833.72</v>
      </c>
      <c r="G58" s="418">
        <v>416.25</v>
      </c>
      <c r="H58" s="418">
        <v>0</v>
      </c>
      <c r="I58" s="418">
        <v>1249.97</v>
      </c>
      <c r="J58" s="444">
        <v>0</v>
      </c>
      <c r="K58" s="418">
        <v>48.7</v>
      </c>
      <c r="L58" s="418">
        <v>25.97</v>
      </c>
      <c r="M58" s="444">
        <v>12.47</v>
      </c>
      <c r="N58" s="444">
        <v>0</v>
      </c>
      <c r="O58" s="444">
        <v>0</v>
      </c>
      <c r="P58" s="444">
        <v>0</v>
      </c>
      <c r="Q58" s="444">
        <v>1337.1100000000001</v>
      </c>
      <c r="R58" s="444">
        <v>0</v>
      </c>
      <c r="S58" s="444">
        <v>422.40000000000003</v>
      </c>
      <c r="T58" s="418">
        <v>411.32</v>
      </c>
      <c r="U58" s="444">
        <v>0</v>
      </c>
      <c r="V58" s="345" t="str">
        <f>IF(Tabela2[[#This Row],[Colunas1]]="ATIVO","SIM","NÃO")</f>
        <v>NÃO</v>
      </c>
      <c r="W58" s="346" t="str">
        <f>VLOOKUP(Tabela2[[#This Row],[Identificação]],Recebíveis!$G$5:$J$488,4,0)</f>
        <v>ATRASO</v>
      </c>
    </row>
    <row r="59" spans="1:23" s="347" customFormat="1">
      <c r="A59" s="415" t="s">
        <v>232</v>
      </c>
      <c r="B59" s="416" t="s">
        <v>1227</v>
      </c>
      <c r="C59" s="417">
        <v>44185</v>
      </c>
      <c r="D59" s="417">
        <v>44215</v>
      </c>
      <c r="E59" s="443">
        <v>44216</v>
      </c>
      <c r="F59" s="418">
        <v>1105.83</v>
      </c>
      <c r="G59" s="418">
        <v>479.04</v>
      </c>
      <c r="H59" s="418">
        <v>0</v>
      </c>
      <c r="I59" s="418">
        <v>1584.8700000000001</v>
      </c>
      <c r="J59" s="444">
        <v>0</v>
      </c>
      <c r="K59" s="418">
        <v>47.11</v>
      </c>
      <c r="L59" s="418">
        <v>32.64</v>
      </c>
      <c r="M59" s="444">
        <v>16.2</v>
      </c>
      <c r="N59" s="444">
        <v>0.01</v>
      </c>
      <c r="O59" s="444">
        <v>0</v>
      </c>
      <c r="P59" s="444">
        <v>0</v>
      </c>
      <c r="Q59" s="444">
        <v>1680.81</v>
      </c>
      <c r="R59" s="444">
        <v>0</v>
      </c>
      <c r="S59" s="444">
        <v>645.52</v>
      </c>
      <c r="T59" s="418">
        <v>460.31</v>
      </c>
      <c r="U59" s="444">
        <v>0</v>
      </c>
      <c r="V59" s="345" t="str">
        <f>IF(Tabela2[[#This Row],[Colunas1]]="ATIVO","SIM","NÃO")</f>
        <v>SIM</v>
      </c>
      <c r="W59" s="346" t="str">
        <f>VLOOKUP(Tabela2[[#This Row],[Identificação]],Recebíveis!$G$5:$J$488,4,0)</f>
        <v>ATIVO</v>
      </c>
    </row>
    <row r="60" spans="1:23" ht="15" customHeight="1">
      <c r="A60" s="415" t="s">
        <v>76</v>
      </c>
      <c r="B60" s="416" t="s">
        <v>1424</v>
      </c>
      <c r="C60" s="417">
        <v>44185</v>
      </c>
      <c r="D60" s="417">
        <v>44215</v>
      </c>
      <c r="E60" s="443">
        <v>44216</v>
      </c>
      <c r="F60" s="418">
        <v>924.33</v>
      </c>
      <c r="G60" s="418">
        <v>461.49</v>
      </c>
      <c r="H60" s="418">
        <v>0</v>
      </c>
      <c r="I60" s="418">
        <v>1385.82</v>
      </c>
      <c r="J60" s="444">
        <v>0</v>
      </c>
      <c r="K60" s="418">
        <v>49.69</v>
      </c>
      <c r="L60" s="418">
        <v>28.71</v>
      </c>
      <c r="M60" s="444">
        <v>14.4</v>
      </c>
      <c r="N60" s="444">
        <v>0</v>
      </c>
      <c r="O60" s="444">
        <v>0</v>
      </c>
      <c r="P60" s="444">
        <v>0</v>
      </c>
      <c r="Q60" s="444">
        <v>1478.6200000000001</v>
      </c>
      <c r="R60" s="444">
        <v>0</v>
      </c>
      <c r="S60" s="444">
        <v>924.33</v>
      </c>
      <c r="T60" s="418">
        <v>0</v>
      </c>
      <c r="U60" s="444">
        <v>0</v>
      </c>
      <c r="V60" s="345" t="str">
        <f>IF(Tabela2[[#This Row],[Colunas1]]="ATIVO","SIM","NÃO")</f>
        <v>SIM</v>
      </c>
      <c r="W60" s="346" t="str">
        <f>VLOOKUP(Tabela2[[#This Row],[Identificação]],Recebíveis!$G$5:$J$488,4,0)</f>
        <v>ATIVO</v>
      </c>
    </row>
    <row r="61" spans="1:23" ht="15" customHeight="1">
      <c r="A61" s="415" t="s">
        <v>1117</v>
      </c>
      <c r="B61" s="416" t="s">
        <v>1399</v>
      </c>
      <c r="C61" s="417">
        <v>44180</v>
      </c>
      <c r="D61" s="417">
        <v>44215</v>
      </c>
      <c r="E61" s="443">
        <v>44216</v>
      </c>
      <c r="F61" s="418">
        <v>1214.68</v>
      </c>
      <c r="G61" s="418">
        <v>74.290000000000006</v>
      </c>
      <c r="H61" s="418">
        <v>0</v>
      </c>
      <c r="I61" s="418">
        <v>1288.97</v>
      </c>
      <c r="J61" s="444">
        <v>0</v>
      </c>
      <c r="K61" s="418">
        <v>35.43</v>
      </c>
      <c r="L61" s="418">
        <v>26.490000000000002</v>
      </c>
      <c r="M61" s="444">
        <v>15.450000000000001</v>
      </c>
      <c r="N61" s="444">
        <v>0</v>
      </c>
      <c r="O61" s="444">
        <v>0</v>
      </c>
      <c r="P61" s="444">
        <v>0</v>
      </c>
      <c r="Q61" s="444">
        <v>1366.34</v>
      </c>
      <c r="R61" s="444">
        <v>0</v>
      </c>
      <c r="S61" s="444">
        <v>246.21</v>
      </c>
      <c r="T61" s="418">
        <v>968.47</v>
      </c>
      <c r="U61" s="444">
        <v>0</v>
      </c>
      <c r="V61" s="345" t="str">
        <f>IF(Tabela2[[#This Row],[Colunas1]]="ATIVO","SIM","NÃO")</f>
        <v>NÃO</v>
      </c>
      <c r="W61" s="346" t="str">
        <f>VLOOKUP(Tabela2[[#This Row],[Identificação]],Recebíveis!$G$5:$J$488,4,0)</f>
        <v>INADIMPLENTE</v>
      </c>
    </row>
    <row r="62" spans="1:23" ht="15" customHeight="1">
      <c r="A62" s="415" t="s">
        <v>933</v>
      </c>
      <c r="B62" s="416" t="s">
        <v>1455</v>
      </c>
      <c r="C62" s="417">
        <v>44184</v>
      </c>
      <c r="D62" s="417">
        <v>44215</v>
      </c>
      <c r="E62" s="443">
        <v>44216</v>
      </c>
      <c r="F62" s="418">
        <v>1802.17</v>
      </c>
      <c r="G62" s="418">
        <v>143.01</v>
      </c>
      <c r="H62" s="418">
        <v>0</v>
      </c>
      <c r="I62" s="418">
        <v>1945.18</v>
      </c>
      <c r="J62" s="444">
        <v>0</v>
      </c>
      <c r="K62" s="418">
        <v>49.84</v>
      </c>
      <c r="L62" s="418">
        <v>39.9</v>
      </c>
      <c r="M62" s="444">
        <v>20.77</v>
      </c>
      <c r="N62" s="444">
        <v>0</v>
      </c>
      <c r="O62" s="444">
        <v>0</v>
      </c>
      <c r="P62" s="444">
        <v>0</v>
      </c>
      <c r="Q62" s="444">
        <v>2055.69</v>
      </c>
      <c r="R62" s="444">
        <v>0</v>
      </c>
      <c r="S62" s="444">
        <v>994.04000000000019</v>
      </c>
      <c r="T62" s="418">
        <v>808.13</v>
      </c>
      <c r="U62" s="444">
        <v>0</v>
      </c>
      <c r="V62" s="345" t="str">
        <f>IF(Tabela2[[#This Row],[Colunas1]]="ATIVO","SIM","NÃO")</f>
        <v>NÃO</v>
      </c>
      <c r="W62" s="346" t="str">
        <f>VLOOKUP(Tabela2[[#This Row],[Identificação]],Recebíveis!$G$5:$J$488,4,0)</f>
        <v>INADIMPLENTE</v>
      </c>
    </row>
    <row r="63" spans="1:23" ht="15" customHeight="1">
      <c r="A63" s="415" t="s">
        <v>191</v>
      </c>
      <c r="B63" s="416" t="s">
        <v>1456</v>
      </c>
      <c r="C63" s="417">
        <v>44185</v>
      </c>
      <c r="D63" s="417">
        <v>44216</v>
      </c>
      <c r="E63" s="443">
        <v>44217</v>
      </c>
      <c r="F63" s="418">
        <v>1691.26</v>
      </c>
      <c r="G63" s="418">
        <v>50.19</v>
      </c>
      <c r="H63" s="418">
        <v>0</v>
      </c>
      <c r="I63" s="418">
        <v>1741.45</v>
      </c>
      <c r="J63" s="444">
        <v>0</v>
      </c>
      <c r="K63" s="418">
        <v>32.480000000000004</v>
      </c>
      <c r="L63" s="418">
        <v>35.480000000000004</v>
      </c>
      <c r="M63" s="444">
        <v>18.330000000000002</v>
      </c>
      <c r="N63" s="444">
        <v>0</v>
      </c>
      <c r="O63" s="444">
        <v>0</v>
      </c>
      <c r="P63" s="444">
        <v>0</v>
      </c>
      <c r="Q63" s="444">
        <v>1827.74</v>
      </c>
      <c r="R63" s="444">
        <v>0</v>
      </c>
      <c r="S63" s="444">
        <v>1691.26</v>
      </c>
      <c r="T63" s="418">
        <v>0</v>
      </c>
      <c r="U63" s="444">
        <v>0</v>
      </c>
      <c r="V63" s="345" t="str">
        <f>IF(Tabela2[[#This Row],[Colunas1]]="ATIVO","SIM","NÃO")</f>
        <v>SIM</v>
      </c>
      <c r="W63" s="346" t="str">
        <f>VLOOKUP(Tabela2[[#This Row],[Identificação]],Recebíveis!$G$5:$J$488,4,0)</f>
        <v>ATIVO</v>
      </c>
    </row>
    <row r="64" spans="1:23">
      <c r="A64" s="415" t="s">
        <v>320</v>
      </c>
      <c r="B64" s="416" t="s">
        <v>1457</v>
      </c>
      <c r="C64" s="417">
        <v>44155</v>
      </c>
      <c r="D64" s="417">
        <v>44216</v>
      </c>
      <c r="E64" s="443">
        <v>44217</v>
      </c>
      <c r="F64" s="418">
        <v>928.74</v>
      </c>
      <c r="G64" s="418">
        <v>476.34000000000003</v>
      </c>
      <c r="H64" s="418">
        <v>0</v>
      </c>
      <c r="I64" s="418">
        <v>1405.08</v>
      </c>
      <c r="J64" s="444">
        <v>0</v>
      </c>
      <c r="K64" s="418">
        <v>46.42</v>
      </c>
      <c r="L64" s="418">
        <v>29.03</v>
      </c>
      <c r="M64" s="444">
        <v>180.51</v>
      </c>
      <c r="N64" s="444">
        <v>0</v>
      </c>
      <c r="O64" s="444">
        <v>0</v>
      </c>
      <c r="P64" s="444">
        <v>0</v>
      </c>
      <c r="Q64" s="444">
        <v>1661.04</v>
      </c>
      <c r="R64" s="444">
        <v>0</v>
      </c>
      <c r="S64" s="444">
        <v>928.74</v>
      </c>
      <c r="T64" s="418">
        <v>0</v>
      </c>
      <c r="U64" s="444">
        <v>0</v>
      </c>
      <c r="V64" s="345" t="str">
        <f>IF(Tabela2[[#This Row],[Colunas1]]="ATIVO","SIM","NÃO")</f>
        <v>SIM</v>
      </c>
      <c r="W64" s="346" t="str">
        <f>VLOOKUP(Tabela2[[#This Row],[Identificação]],Recebíveis!$G$5:$J$488,4,0)</f>
        <v>ATIVO</v>
      </c>
    </row>
    <row r="65" spans="1:23">
      <c r="A65" s="419" t="s">
        <v>320</v>
      </c>
      <c r="B65" s="416" t="s">
        <v>1458</v>
      </c>
      <c r="C65" s="417">
        <v>44155</v>
      </c>
      <c r="D65" s="417">
        <v>44216</v>
      </c>
      <c r="E65" s="443">
        <v>44217</v>
      </c>
      <c r="F65" s="418">
        <v>942.42000000000007</v>
      </c>
      <c r="G65" s="418">
        <v>483.35</v>
      </c>
      <c r="H65" s="418">
        <v>0</v>
      </c>
      <c r="I65" s="418">
        <v>1425.77</v>
      </c>
      <c r="J65" s="444">
        <v>0</v>
      </c>
      <c r="K65" s="418">
        <v>47.44</v>
      </c>
      <c r="L65" s="418">
        <v>54.81</v>
      </c>
      <c r="M65" s="444">
        <v>157.87</v>
      </c>
      <c r="N65" s="444">
        <v>0</v>
      </c>
      <c r="O65" s="444">
        <v>0</v>
      </c>
      <c r="P65" s="444">
        <v>0</v>
      </c>
      <c r="Q65" s="444">
        <v>1685.89</v>
      </c>
      <c r="R65" s="444">
        <v>0</v>
      </c>
      <c r="S65" s="444">
        <v>557.48</v>
      </c>
      <c r="T65" s="418">
        <v>384.94</v>
      </c>
      <c r="U65" s="444">
        <v>0</v>
      </c>
      <c r="V65" s="345" t="str">
        <f>IF(Tabela2[[#This Row],[Colunas1]]="ATIVO","SIM","NÃO")</f>
        <v>SIM</v>
      </c>
      <c r="W65" s="346" t="str">
        <f>VLOOKUP(Tabela2[[#This Row],[Identificação]],Recebíveis!$G$5:$J$488,4,0)</f>
        <v>ATIVO</v>
      </c>
    </row>
    <row r="66" spans="1:23">
      <c r="A66" s="415" t="s">
        <v>103</v>
      </c>
      <c r="B66" s="416" t="s">
        <v>1459</v>
      </c>
      <c r="C66" s="417">
        <v>44185</v>
      </c>
      <c r="D66" s="417">
        <v>44216</v>
      </c>
      <c r="E66" s="443">
        <v>44217</v>
      </c>
      <c r="F66" s="418">
        <v>1285.71</v>
      </c>
      <c r="G66" s="418">
        <v>513.89</v>
      </c>
      <c r="H66" s="418">
        <v>0</v>
      </c>
      <c r="I66" s="418">
        <v>1799.6000000000001</v>
      </c>
      <c r="J66" s="444">
        <v>0</v>
      </c>
      <c r="K66" s="418">
        <v>61.230000000000004</v>
      </c>
      <c r="L66" s="418">
        <v>37.22</v>
      </c>
      <c r="M66" s="444">
        <v>19.23</v>
      </c>
      <c r="N66" s="444">
        <v>0</v>
      </c>
      <c r="O66" s="444">
        <v>0</v>
      </c>
      <c r="P66" s="444">
        <v>0</v>
      </c>
      <c r="Q66" s="444">
        <v>1917.28</v>
      </c>
      <c r="R66" s="444">
        <v>0</v>
      </c>
      <c r="S66" s="444">
        <v>524.20000000000005</v>
      </c>
      <c r="T66" s="418">
        <v>761.51</v>
      </c>
      <c r="U66" s="444">
        <v>0</v>
      </c>
      <c r="V66" s="345" t="str">
        <f>IF(Tabela2[[#This Row],[Colunas1]]="ATIVO","SIM","NÃO")</f>
        <v>NÃO</v>
      </c>
      <c r="W66" s="346" t="str">
        <f>VLOOKUP(Tabela2[[#This Row],[Identificação]],Recebíveis!$G$5:$J$488,4,0)</f>
        <v>ATRASO</v>
      </c>
    </row>
    <row r="67" spans="1:23">
      <c r="A67" s="415" t="s">
        <v>216</v>
      </c>
      <c r="B67" s="416" t="s">
        <v>1460</v>
      </c>
      <c r="C67" s="417">
        <v>44150</v>
      </c>
      <c r="D67" s="417">
        <v>44217</v>
      </c>
      <c r="E67" s="443">
        <v>44218</v>
      </c>
      <c r="F67" s="418">
        <v>1078.33</v>
      </c>
      <c r="G67" s="418">
        <v>149.87</v>
      </c>
      <c r="H67" s="418">
        <v>0</v>
      </c>
      <c r="I67" s="418">
        <v>1228.2</v>
      </c>
      <c r="J67" s="444">
        <v>0</v>
      </c>
      <c r="K67" s="418">
        <v>58.35</v>
      </c>
      <c r="L67" s="418">
        <v>25.73</v>
      </c>
      <c r="M67" s="444">
        <v>57.910000000000004</v>
      </c>
      <c r="N67" s="444">
        <v>0</v>
      </c>
      <c r="O67" s="444">
        <v>0</v>
      </c>
      <c r="P67" s="444">
        <v>0</v>
      </c>
      <c r="Q67" s="444">
        <v>1370.19</v>
      </c>
      <c r="R67" s="444">
        <v>0</v>
      </c>
      <c r="S67" s="444">
        <v>264.02</v>
      </c>
      <c r="T67" s="418">
        <v>814.31000000000006</v>
      </c>
      <c r="U67" s="444">
        <v>0</v>
      </c>
      <c r="V67" s="345" t="str">
        <f>IF(Tabela2[[#This Row],[Colunas1]]="ATIVO","SIM","NÃO")</f>
        <v>NÃO</v>
      </c>
      <c r="W67" s="346" t="str">
        <f>VLOOKUP(Tabela2[[#This Row],[Identificação]],Recebíveis!$G$5:$J$488,4,0)</f>
        <v>ATRASO</v>
      </c>
    </row>
    <row r="68" spans="1:23">
      <c r="A68" s="415" t="s">
        <v>1363</v>
      </c>
      <c r="B68" s="416" t="s">
        <v>1461</v>
      </c>
      <c r="C68" s="417">
        <v>44160</v>
      </c>
      <c r="D68" s="417">
        <v>44218</v>
      </c>
      <c r="E68" s="443">
        <v>44221</v>
      </c>
      <c r="F68" s="418">
        <v>1326.84</v>
      </c>
      <c r="G68" s="418">
        <v>164.45000000000002</v>
      </c>
      <c r="H68" s="418">
        <v>0</v>
      </c>
      <c r="I68" s="418">
        <v>1491.29</v>
      </c>
      <c r="J68" s="444">
        <v>0</v>
      </c>
      <c r="K68" s="418">
        <v>54.78</v>
      </c>
      <c r="L68" s="418">
        <v>30.92</v>
      </c>
      <c r="M68" s="444">
        <v>39.450000000000003</v>
      </c>
      <c r="N68" s="444">
        <v>0</v>
      </c>
      <c r="O68" s="444">
        <v>0</v>
      </c>
      <c r="P68" s="444">
        <v>0</v>
      </c>
      <c r="Q68" s="444">
        <v>1616.44</v>
      </c>
      <c r="R68" s="444">
        <v>0</v>
      </c>
      <c r="S68" s="444">
        <v>551.29</v>
      </c>
      <c r="T68" s="418">
        <v>775.55000000000007</v>
      </c>
      <c r="U68" s="444">
        <v>0</v>
      </c>
      <c r="V68" s="345" t="str">
        <f>IF(Tabela2[[#This Row],[Colunas1]]="ATIVO","SIM","NÃO")</f>
        <v>NÃO</v>
      </c>
      <c r="W68" s="346" t="str">
        <f>VLOOKUP(Tabela2[[#This Row],[Identificação]],Recebíveis!$G$5:$J$488,4,0)</f>
        <v>ATRASO</v>
      </c>
    </row>
    <row r="69" spans="1:23">
      <c r="A69" s="415" t="s">
        <v>1363</v>
      </c>
      <c r="B69" s="416" t="s">
        <v>1462</v>
      </c>
      <c r="C69" s="417">
        <v>44190</v>
      </c>
      <c r="D69" s="417">
        <v>44218</v>
      </c>
      <c r="E69" s="443">
        <v>44221</v>
      </c>
      <c r="F69" s="418">
        <v>1326.84</v>
      </c>
      <c r="G69" s="418">
        <v>164.45000000000002</v>
      </c>
      <c r="H69" s="418">
        <v>0</v>
      </c>
      <c r="I69" s="418">
        <v>1491.29</v>
      </c>
      <c r="J69" s="444">
        <v>0</v>
      </c>
      <c r="K69" s="418">
        <v>55.47</v>
      </c>
      <c r="L69" s="418">
        <v>30.94</v>
      </c>
      <c r="M69" s="444">
        <v>14.44</v>
      </c>
      <c r="N69" s="444">
        <v>0</v>
      </c>
      <c r="O69" s="444">
        <v>0</v>
      </c>
      <c r="P69" s="444">
        <v>0</v>
      </c>
      <c r="Q69" s="444">
        <v>1592.14</v>
      </c>
      <c r="R69" s="444">
        <v>0</v>
      </c>
      <c r="S69" s="444">
        <v>556.52</v>
      </c>
      <c r="T69" s="418">
        <v>770.32</v>
      </c>
      <c r="U69" s="444">
        <v>0</v>
      </c>
      <c r="V69" s="345" t="str">
        <f>IF(Tabela2[[#This Row],[Colunas1]]="ATIVO","SIM","NÃO")</f>
        <v>NÃO</v>
      </c>
      <c r="W69" s="346" t="str">
        <f>VLOOKUP(Tabela2[[#This Row],[Identificação]],Recebíveis!$G$5:$J$488,4,0)</f>
        <v>ATRASO</v>
      </c>
    </row>
    <row r="70" spans="1:23">
      <c r="A70" s="415" t="s">
        <v>387</v>
      </c>
      <c r="B70" s="416" t="s">
        <v>1397</v>
      </c>
      <c r="C70" s="417">
        <v>44190</v>
      </c>
      <c r="D70" s="417">
        <v>44221</v>
      </c>
      <c r="E70" s="443">
        <v>44222</v>
      </c>
      <c r="F70" s="418">
        <v>735.06000000000006</v>
      </c>
      <c r="G70" s="418">
        <v>364.44</v>
      </c>
      <c r="H70" s="418">
        <v>0</v>
      </c>
      <c r="I70" s="418">
        <v>1099.5</v>
      </c>
      <c r="J70" s="444">
        <v>0</v>
      </c>
      <c r="K70" s="418">
        <v>48.75</v>
      </c>
      <c r="L70" s="418">
        <v>22.97</v>
      </c>
      <c r="M70" s="444">
        <v>11.78</v>
      </c>
      <c r="N70" s="444">
        <v>0.01</v>
      </c>
      <c r="O70" s="444">
        <v>0</v>
      </c>
      <c r="P70" s="444">
        <v>0</v>
      </c>
      <c r="Q70" s="444">
        <v>1182.99</v>
      </c>
      <c r="R70" s="444">
        <v>0</v>
      </c>
      <c r="S70" s="444">
        <v>308.31</v>
      </c>
      <c r="T70" s="418">
        <v>426.75</v>
      </c>
      <c r="U70" s="444">
        <v>0</v>
      </c>
      <c r="V70" s="345" t="str">
        <f>IF(Tabela2[[#This Row],[Colunas1]]="ATIVO","SIM","NÃO")</f>
        <v>SIM</v>
      </c>
      <c r="W70" s="346" t="str">
        <f>VLOOKUP(Tabela2[[#This Row],[Identificação]],Recebíveis!$G$5:$J$488,4,0)</f>
        <v>ATIVO</v>
      </c>
    </row>
    <row r="71" spans="1:23">
      <c r="A71" s="415" t="s">
        <v>395</v>
      </c>
      <c r="B71" s="416" t="s">
        <v>1463</v>
      </c>
      <c r="C71" s="417">
        <v>44180</v>
      </c>
      <c r="D71" s="417">
        <v>44221</v>
      </c>
      <c r="E71" s="443">
        <v>44222</v>
      </c>
      <c r="F71" s="418">
        <v>2235.52</v>
      </c>
      <c r="G71" s="418">
        <v>279.22000000000003</v>
      </c>
      <c r="H71" s="418">
        <v>0</v>
      </c>
      <c r="I71" s="418">
        <v>2514.7400000000002</v>
      </c>
      <c r="J71" s="444">
        <v>0</v>
      </c>
      <c r="K71" s="418">
        <v>75.28</v>
      </c>
      <c r="L71" s="418">
        <v>141.21</v>
      </c>
      <c r="M71" s="444">
        <v>35.4</v>
      </c>
      <c r="N71" s="444">
        <v>0</v>
      </c>
      <c r="O71" s="444">
        <v>0</v>
      </c>
      <c r="P71" s="444">
        <v>0</v>
      </c>
      <c r="Q71" s="444">
        <v>2766.63</v>
      </c>
      <c r="R71" s="444">
        <v>0</v>
      </c>
      <c r="S71" s="444">
        <v>590.29</v>
      </c>
      <c r="T71" s="418">
        <v>1645.23</v>
      </c>
      <c r="U71" s="444">
        <v>0</v>
      </c>
      <c r="V71" s="345" t="str">
        <f>IF(Tabela2[[#This Row],[Colunas1]]="ATIVO","SIM","NÃO")</f>
        <v>NÃO</v>
      </c>
      <c r="W71" s="346" t="str">
        <f>VLOOKUP(Tabela2[[#This Row],[Identificação]],Recebíveis!$G$5:$J$488,4,0)</f>
        <v>ATRASO</v>
      </c>
    </row>
    <row r="72" spans="1:23">
      <c r="A72" s="415" t="s">
        <v>49</v>
      </c>
      <c r="B72" s="416" t="s">
        <v>1400</v>
      </c>
      <c r="C72" s="417">
        <v>43997</v>
      </c>
      <c r="D72" s="417">
        <v>44221</v>
      </c>
      <c r="E72" s="443">
        <v>44223</v>
      </c>
      <c r="F72" s="418">
        <v>742.97</v>
      </c>
      <c r="G72" s="418">
        <v>382.66</v>
      </c>
      <c r="H72" s="418">
        <v>0</v>
      </c>
      <c r="I72" s="418">
        <v>1125.6300000000001</v>
      </c>
      <c r="J72" s="444">
        <v>0</v>
      </c>
      <c r="K72" s="418">
        <v>0</v>
      </c>
      <c r="L72" s="418">
        <v>0</v>
      </c>
      <c r="M72" s="444">
        <v>0</v>
      </c>
      <c r="N72" s="444">
        <v>0</v>
      </c>
      <c r="O72" s="444">
        <v>0</v>
      </c>
      <c r="P72" s="444">
        <v>0</v>
      </c>
      <c r="Q72" s="444">
        <v>1125.6300000000001</v>
      </c>
      <c r="R72" s="444">
        <v>0</v>
      </c>
      <c r="S72" s="444">
        <v>592.29</v>
      </c>
      <c r="T72" s="418">
        <v>150.68</v>
      </c>
      <c r="U72" s="444">
        <v>0</v>
      </c>
      <c r="V72" s="345" t="str">
        <f>IF(Tabela2[[#This Row],[Colunas1]]="ATIVO","SIM","NÃO")</f>
        <v>NÃO</v>
      </c>
      <c r="W72" s="346" t="str">
        <f>VLOOKUP(Tabela2[[#This Row],[Identificação]],Recebíveis!$G$5:$J$488,4,0)</f>
        <v>INADIMPLENTE</v>
      </c>
    </row>
    <row r="73" spans="1:23">
      <c r="A73" s="390" t="s">
        <v>789</v>
      </c>
      <c r="B73" s="385" t="s">
        <v>1407</v>
      </c>
      <c r="C73" s="386">
        <v>44185</v>
      </c>
      <c r="D73" s="386">
        <v>44222</v>
      </c>
      <c r="E73" s="387">
        <v>44223</v>
      </c>
      <c r="F73" s="388">
        <v>939.94</v>
      </c>
      <c r="G73" s="388">
        <v>409.33</v>
      </c>
      <c r="H73" s="388">
        <v>0</v>
      </c>
      <c r="I73" s="388">
        <v>1349.27</v>
      </c>
      <c r="J73" s="389">
        <v>0</v>
      </c>
      <c r="K73" s="388">
        <v>59.38</v>
      </c>
      <c r="L73" s="388">
        <v>28.17</v>
      </c>
      <c r="M73" s="389">
        <v>17.37</v>
      </c>
      <c r="N73" s="389">
        <v>0</v>
      </c>
      <c r="O73" s="389">
        <v>0</v>
      </c>
      <c r="P73" s="389">
        <v>0</v>
      </c>
      <c r="Q73" s="389">
        <v>1454.19</v>
      </c>
      <c r="R73" s="389">
        <v>0</v>
      </c>
      <c r="S73" s="389">
        <v>379.63</v>
      </c>
      <c r="T73" s="388">
        <v>560.31000000000006</v>
      </c>
      <c r="U73" s="389">
        <v>0</v>
      </c>
      <c r="V73" s="345" t="str">
        <f>IF(Tabela2[[#This Row],[Colunas1]]="ATIVO","SIM","NÃO")</f>
        <v>NÃO</v>
      </c>
      <c r="W73" s="346" t="str">
        <f>VLOOKUP(Tabela2[[#This Row],[Identificação]],Recebíveis!$G$5:$J$488,4,0)</f>
        <v>ATRASO</v>
      </c>
    </row>
    <row r="74" spans="1:23">
      <c r="A74" s="415" t="s">
        <v>263</v>
      </c>
      <c r="B74" s="416" t="s">
        <v>1245</v>
      </c>
      <c r="C74" s="417">
        <v>44002</v>
      </c>
      <c r="D74" s="417">
        <v>44222</v>
      </c>
      <c r="E74" s="443">
        <v>44223</v>
      </c>
      <c r="F74" s="418">
        <v>596.25</v>
      </c>
      <c r="G74" s="418">
        <v>307.35000000000002</v>
      </c>
      <c r="H74" s="418">
        <v>0</v>
      </c>
      <c r="I74" s="418">
        <v>903.6</v>
      </c>
      <c r="J74" s="444">
        <v>0</v>
      </c>
      <c r="K74" s="418">
        <v>35.83</v>
      </c>
      <c r="L74" s="418">
        <v>0</v>
      </c>
      <c r="M74" s="444">
        <v>0</v>
      </c>
      <c r="N74" s="444">
        <v>35.83</v>
      </c>
      <c r="O74" s="444">
        <v>0</v>
      </c>
      <c r="P74" s="444">
        <v>0</v>
      </c>
      <c r="Q74" s="444">
        <v>903.6</v>
      </c>
      <c r="R74" s="444">
        <v>0</v>
      </c>
      <c r="S74" s="444">
        <v>596.25</v>
      </c>
      <c r="T74" s="418">
        <v>0</v>
      </c>
      <c r="U74" s="444">
        <v>0</v>
      </c>
      <c r="V74" s="345" t="str">
        <f>IF(Tabela2[[#This Row],[Colunas1]]="ATIVO","SIM","NÃO")</f>
        <v>SIM</v>
      </c>
      <c r="W74" s="346" t="str">
        <f>VLOOKUP(Tabela2[[#This Row],[Identificação]],Recebíveis!$G$5:$J$488,4,0)</f>
        <v>ATIVO</v>
      </c>
    </row>
    <row r="75" spans="1:23">
      <c r="A75" s="415" t="s">
        <v>1137</v>
      </c>
      <c r="B75" s="416" t="s">
        <v>1409</v>
      </c>
      <c r="C75" s="417">
        <v>44180</v>
      </c>
      <c r="D75" s="417">
        <v>44223</v>
      </c>
      <c r="E75" s="443">
        <v>44224</v>
      </c>
      <c r="F75" s="418">
        <v>1744.96</v>
      </c>
      <c r="G75" s="418">
        <v>80.540000000000006</v>
      </c>
      <c r="H75" s="418">
        <v>0</v>
      </c>
      <c r="I75" s="418">
        <v>1825.5</v>
      </c>
      <c r="J75" s="444">
        <v>0</v>
      </c>
      <c r="K75" s="418">
        <v>36.480000000000004</v>
      </c>
      <c r="L75" s="418">
        <v>37.24</v>
      </c>
      <c r="M75" s="444">
        <v>26.69</v>
      </c>
      <c r="N75" s="444">
        <v>0</v>
      </c>
      <c r="O75" s="444">
        <v>0</v>
      </c>
      <c r="P75" s="444">
        <v>0</v>
      </c>
      <c r="Q75" s="444">
        <v>1925.91</v>
      </c>
      <c r="R75" s="444">
        <v>0</v>
      </c>
      <c r="S75" s="444">
        <v>1744.96</v>
      </c>
      <c r="T75" s="418">
        <v>0</v>
      </c>
      <c r="U75" s="444">
        <v>0</v>
      </c>
      <c r="V75" s="345" t="str">
        <f>IF(Tabela2[[#This Row],[Colunas1]]="ATIVO","SIM","NÃO")</f>
        <v>SIM</v>
      </c>
      <c r="W75" s="346" t="str">
        <f>VLOOKUP(Tabela2[[#This Row],[Identificação]],Recebíveis!$G$5:$J$488,4,0)</f>
        <v>ATIVO</v>
      </c>
    </row>
    <row r="76" spans="1:23">
      <c r="A76" s="415" t="s">
        <v>1174</v>
      </c>
      <c r="B76" s="416" t="s">
        <v>1453</v>
      </c>
      <c r="C76" s="417">
        <v>44185</v>
      </c>
      <c r="D76" s="417">
        <v>44224</v>
      </c>
      <c r="E76" s="443">
        <v>44225</v>
      </c>
      <c r="F76" s="418">
        <v>893.96</v>
      </c>
      <c r="G76" s="418">
        <v>36.590000000000003</v>
      </c>
      <c r="H76" s="418">
        <v>0</v>
      </c>
      <c r="I76" s="418">
        <v>930.55000000000007</v>
      </c>
      <c r="J76" s="444">
        <v>0</v>
      </c>
      <c r="K76" s="418">
        <v>35.19</v>
      </c>
      <c r="L76" s="418">
        <v>19.309999999999999</v>
      </c>
      <c r="M76" s="444">
        <v>12.55</v>
      </c>
      <c r="N76" s="444">
        <v>0</v>
      </c>
      <c r="O76" s="444">
        <v>0</v>
      </c>
      <c r="P76" s="444">
        <v>0</v>
      </c>
      <c r="Q76" s="444">
        <v>997.6</v>
      </c>
      <c r="R76" s="444">
        <v>0</v>
      </c>
      <c r="S76" s="444">
        <v>171.22</v>
      </c>
      <c r="T76" s="418">
        <v>722.74</v>
      </c>
      <c r="U76" s="444">
        <v>0</v>
      </c>
      <c r="V76" s="345" t="str">
        <f>IF(Tabela2[[#This Row],[Colunas1]]="ATIVO","SIM","NÃO")</f>
        <v>SIM</v>
      </c>
      <c r="W76" s="346" t="str">
        <f>VLOOKUP(Tabela2[[#This Row],[Identificação]],Recebíveis!$G$5:$J$488,4,0)</f>
        <v>ATIVO</v>
      </c>
    </row>
    <row r="77" spans="1:23">
      <c r="A77" s="415" t="s">
        <v>1325</v>
      </c>
      <c r="B77" s="416" t="s">
        <v>1398</v>
      </c>
      <c r="C77" s="417">
        <v>44099</v>
      </c>
      <c r="D77" s="417">
        <v>44224</v>
      </c>
      <c r="E77" s="443">
        <v>44224</v>
      </c>
      <c r="F77" s="418">
        <v>366</v>
      </c>
      <c r="G77" s="418">
        <v>0</v>
      </c>
      <c r="H77" s="418">
        <v>0</v>
      </c>
      <c r="I77" s="418">
        <v>366</v>
      </c>
      <c r="J77" s="444">
        <v>0</v>
      </c>
      <c r="K77" s="418">
        <v>0</v>
      </c>
      <c r="L77" s="418">
        <v>0</v>
      </c>
      <c r="M77" s="444">
        <v>0</v>
      </c>
      <c r="N77" s="444">
        <v>0</v>
      </c>
      <c r="O77" s="444">
        <v>0</v>
      </c>
      <c r="P77" s="444">
        <v>0</v>
      </c>
      <c r="Q77" s="444">
        <v>366</v>
      </c>
      <c r="R77" s="444">
        <v>0</v>
      </c>
      <c r="S77" s="444">
        <v>366</v>
      </c>
      <c r="T77" s="418">
        <v>0</v>
      </c>
      <c r="U77" s="444">
        <v>0</v>
      </c>
      <c r="V77" s="345" t="e">
        <f>IF(Tabela2[[#This Row],[Colunas1]]="ATIVO","SIM","NÃO")</f>
        <v>#N/A</v>
      </c>
      <c r="W77" s="346" t="e">
        <f>VLOOKUP(Tabela2[[#This Row],[Identificação]],Recebíveis!$G$5:$J$488,4,0)</f>
        <v>#N/A</v>
      </c>
    </row>
    <row r="78" spans="1:23">
      <c r="A78" s="415" t="s">
        <v>586</v>
      </c>
      <c r="B78" s="416" t="s">
        <v>1406</v>
      </c>
      <c r="C78" s="417">
        <v>44180</v>
      </c>
      <c r="D78" s="417">
        <v>44225</v>
      </c>
      <c r="E78" s="443">
        <v>44228</v>
      </c>
      <c r="F78" s="418">
        <v>1571.26</v>
      </c>
      <c r="G78" s="418">
        <v>202.16</v>
      </c>
      <c r="H78" s="418">
        <v>0</v>
      </c>
      <c r="I78" s="418">
        <v>1773.42</v>
      </c>
      <c r="J78" s="444">
        <v>0</v>
      </c>
      <c r="K78" s="418">
        <v>62.31</v>
      </c>
      <c r="L78" s="418">
        <v>36.71</v>
      </c>
      <c r="M78" s="444">
        <v>27.54</v>
      </c>
      <c r="N78" s="444">
        <v>0</v>
      </c>
      <c r="O78" s="444">
        <v>0</v>
      </c>
      <c r="P78" s="444">
        <v>0</v>
      </c>
      <c r="Q78" s="444">
        <v>1899.98</v>
      </c>
      <c r="R78" s="444">
        <v>0</v>
      </c>
      <c r="S78" s="444">
        <v>381.08</v>
      </c>
      <c r="T78" s="418">
        <v>1190.18</v>
      </c>
      <c r="U78" s="444">
        <v>0</v>
      </c>
      <c r="V78" s="345" t="str">
        <f>IF(Tabela2[[#This Row],[Colunas1]]="ATIVO","SIM","NÃO")</f>
        <v>NÃO</v>
      </c>
      <c r="W78" s="346" t="str">
        <f>VLOOKUP(Tabela2[[#This Row],[Identificação]],Recebíveis!$G$5:$J$488,4,0)</f>
        <v>ATRASO</v>
      </c>
    </row>
    <row r="79" spans="1:23">
      <c r="A79" s="415" t="s">
        <v>1052</v>
      </c>
      <c r="B79" s="416" t="s">
        <v>1409</v>
      </c>
      <c r="C79" s="417">
        <v>43997</v>
      </c>
      <c r="D79" s="417">
        <v>44225</v>
      </c>
      <c r="E79" s="443">
        <v>44228</v>
      </c>
      <c r="F79" s="418">
        <v>284.70999999999998</v>
      </c>
      <c r="G79" s="418">
        <v>19.490000000000002</v>
      </c>
      <c r="H79" s="418">
        <v>0</v>
      </c>
      <c r="I79" s="418">
        <v>304.2</v>
      </c>
      <c r="J79" s="444">
        <v>0</v>
      </c>
      <c r="K79" s="418">
        <v>6.18</v>
      </c>
      <c r="L79" s="418">
        <v>6.21</v>
      </c>
      <c r="M79" s="444">
        <v>23.59</v>
      </c>
      <c r="N79" s="444">
        <v>0</v>
      </c>
      <c r="O79" s="444">
        <v>0</v>
      </c>
      <c r="P79" s="444">
        <v>0</v>
      </c>
      <c r="Q79" s="444">
        <v>340.18</v>
      </c>
      <c r="R79" s="444">
        <v>0</v>
      </c>
      <c r="S79" s="444">
        <v>284.70999999999998</v>
      </c>
      <c r="T79" s="418">
        <v>0</v>
      </c>
      <c r="U79" s="444">
        <v>0</v>
      </c>
      <c r="V79" s="345" t="str">
        <f>IF(Tabela2[[#This Row],[Colunas1]]="ATIVO","SIM","NÃO")</f>
        <v>NÃO</v>
      </c>
      <c r="W79" s="346" t="str">
        <f>VLOOKUP(Tabela2[[#This Row],[Identificação]],Recebíveis!$G$5:$J$488,4,0)</f>
        <v>ATRASO</v>
      </c>
    </row>
    <row r="80" spans="1:23">
      <c r="A80" s="415" t="s">
        <v>1052</v>
      </c>
      <c r="B80" s="416" t="s">
        <v>1464</v>
      </c>
      <c r="C80" s="417">
        <v>44027</v>
      </c>
      <c r="D80" s="417">
        <v>44225</v>
      </c>
      <c r="E80" s="443">
        <v>44228</v>
      </c>
      <c r="F80" s="418">
        <v>183.46</v>
      </c>
      <c r="G80" s="418">
        <v>12.56</v>
      </c>
      <c r="H80" s="418">
        <v>0</v>
      </c>
      <c r="I80" s="418">
        <v>196.02</v>
      </c>
      <c r="J80" s="444">
        <v>0</v>
      </c>
      <c r="K80" s="418">
        <v>3.97</v>
      </c>
      <c r="L80" s="418">
        <v>16.080000000000002</v>
      </c>
      <c r="M80" s="444">
        <v>0</v>
      </c>
      <c r="N80" s="444">
        <v>3.97</v>
      </c>
      <c r="O80" s="444">
        <v>0</v>
      </c>
      <c r="P80" s="444">
        <v>0</v>
      </c>
      <c r="Q80" s="444">
        <v>212.1</v>
      </c>
      <c r="R80" s="444">
        <v>0</v>
      </c>
      <c r="S80" s="444">
        <v>183.46</v>
      </c>
      <c r="T80" s="418">
        <v>0</v>
      </c>
      <c r="U80" s="444">
        <v>0</v>
      </c>
      <c r="V80" s="345" t="str">
        <f>IF(Tabela2[[#This Row],[Colunas1]]="ATIVO","SIM","NÃO")</f>
        <v>NÃO</v>
      </c>
      <c r="W80" s="346" t="str">
        <f>VLOOKUP(Tabela2[[#This Row],[Identificação]],Recebíveis!$G$5:$J$488,4,0)</f>
        <v>ATRASO</v>
      </c>
    </row>
    <row r="81" spans="1:23">
      <c r="A81" s="415" t="s">
        <v>931</v>
      </c>
      <c r="B81" s="416" t="s">
        <v>1329</v>
      </c>
      <c r="C81" s="417">
        <v>44180</v>
      </c>
      <c r="D81" s="417">
        <v>44225</v>
      </c>
      <c r="E81" s="443">
        <v>44228</v>
      </c>
      <c r="F81" s="418">
        <v>799.9</v>
      </c>
      <c r="G81" s="418">
        <v>73.8</v>
      </c>
      <c r="H81" s="418">
        <v>0</v>
      </c>
      <c r="I81" s="418">
        <v>873.7</v>
      </c>
      <c r="J81" s="444">
        <v>0</v>
      </c>
      <c r="K81" s="418">
        <v>42.31</v>
      </c>
      <c r="L81" s="418">
        <v>18.32</v>
      </c>
      <c r="M81" s="444">
        <v>13.74</v>
      </c>
      <c r="N81" s="444">
        <v>0</v>
      </c>
      <c r="O81" s="444">
        <v>0</v>
      </c>
      <c r="P81" s="444">
        <v>0</v>
      </c>
      <c r="Q81" s="444">
        <v>948.07</v>
      </c>
      <c r="R81" s="444">
        <v>0</v>
      </c>
      <c r="S81" s="444">
        <v>178.20000000000002</v>
      </c>
      <c r="T81" s="418">
        <v>621.70000000000005</v>
      </c>
      <c r="U81" s="444">
        <v>0</v>
      </c>
      <c r="V81" s="345" t="str">
        <f>IF(Tabela2[[#This Row],[Colunas1]]="ATIVO","SIM","NÃO")</f>
        <v>NÃO</v>
      </c>
      <c r="W81" s="346" t="str">
        <f>VLOOKUP(Tabela2[[#This Row],[Identificação]],Recebíveis!$G$5:$J$488,4,0)</f>
        <v>ATRASO</v>
      </c>
    </row>
    <row r="82" spans="1:23">
      <c r="A82" s="415" t="s">
        <v>587</v>
      </c>
      <c r="B82" s="416" t="s">
        <v>1154</v>
      </c>
      <c r="C82" s="417">
        <v>43936</v>
      </c>
      <c r="D82" s="417">
        <v>44225</v>
      </c>
      <c r="E82" s="443">
        <v>44228</v>
      </c>
      <c r="F82" s="418">
        <v>558.62</v>
      </c>
      <c r="G82" s="418">
        <v>72.44</v>
      </c>
      <c r="H82" s="418">
        <v>0</v>
      </c>
      <c r="I82" s="418">
        <v>631.06000000000006</v>
      </c>
      <c r="J82" s="444">
        <v>0</v>
      </c>
      <c r="K82" s="418">
        <v>0</v>
      </c>
      <c r="L82" s="418">
        <v>13.46</v>
      </c>
      <c r="M82" s="444">
        <v>0</v>
      </c>
      <c r="N82" s="444">
        <v>0</v>
      </c>
      <c r="O82" s="444">
        <v>0</v>
      </c>
      <c r="P82" s="444">
        <v>0</v>
      </c>
      <c r="Q82" s="444">
        <v>644.52</v>
      </c>
      <c r="R82" s="444">
        <v>0</v>
      </c>
      <c r="S82" s="444">
        <v>558.62</v>
      </c>
      <c r="T82" s="418">
        <v>0</v>
      </c>
      <c r="U82" s="444">
        <v>0</v>
      </c>
      <c r="V82" s="345" t="str">
        <f>IF(Tabela2[[#This Row],[Colunas1]]="ATIVO","SIM","NÃO")</f>
        <v>NÃO</v>
      </c>
      <c r="W82" s="346" t="str">
        <f>VLOOKUP(Tabela2[[#This Row],[Identificação]],Recebíveis!$G$5:$J$488,4,0)</f>
        <v>INADIMPLENTE</v>
      </c>
    </row>
    <row r="83" spans="1:23">
      <c r="A83" s="391"/>
      <c r="B83" s="445"/>
      <c r="C83" s="446"/>
      <c r="D83" s="446"/>
      <c r="E83" s="446"/>
      <c r="F83" s="447"/>
      <c r="G83" s="420"/>
      <c r="H83" s="447"/>
      <c r="I83" s="420"/>
      <c r="J83" s="447"/>
      <c r="K83" s="447"/>
      <c r="L83" s="447"/>
      <c r="M83" s="447"/>
      <c r="N83" s="447"/>
      <c r="O83" s="447"/>
      <c r="P83" s="420"/>
      <c r="Q83" s="420">
        <f>SUM(Tabela2[Valor
Pago])</f>
        <v>127503.78000000001</v>
      </c>
      <c r="R83" s="420"/>
      <c r="S83" s="420"/>
      <c r="T83" s="447"/>
      <c r="U83" s="420"/>
      <c r="V83" s="420"/>
      <c r="W83" s="420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4"/>
  <dimension ref="A1:J62"/>
  <sheetViews>
    <sheetView topLeftCell="A25" workbookViewId="0">
      <selection activeCell="A49" sqref="A49"/>
    </sheetView>
  </sheetViews>
  <sheetFormatPr defaultRowHeight="15"/>
  <cols>
    <col min="1" max="1" width="45.28515625" bestFit="1" customWidth="1"/>
    <col min="2" max="2" width="19.7109375" bestFit="1" customWidth="1"/>
    <col min="3" max="4" width="15.85546875" bestFit="1" customWidth="1"/>
    <col min="5" max="6" width="16.85546875" bestFit="1" customWidth="1"/>
    <col min="7" max="8" width="45.7109375" bestFit="1" customWidth="1"/>
    <col min="9" max="9" width="10.7109375" bestFit="1" customWidth="1"/>
    <col min="10" max="10" width="16.85546875" bestFit="1" customWidth="1"/>
  </cols>
  <sheetData>
    <row r="1" spans="1:10">
      <c r="B1" s="285" t="s">
        <v>1247</v>
      </c>
    </row>
    <row r="2" spans="1:10">
      <c r="B2" t="s">
        <v>834</v>
      </c>
      <c r="D2" t="s">
        <v>1249</v>
      </c>
      <c r="F2" t="s">
        <v>1250</v>
      </c>
      <c r="H2" t="s">
        <v>1251</v>
      </c>
      <c r="I2" t="s">
        <v>1252</v>
      </c>
    </row>
    <row r="3" spans="1:10">
      <c r="A3" s="285" t="s">
        <v>1099</v>
      </c>
      <c r="B3" t="s">
        <v>1248</v>
      </c>
      <c r="C3" t="s">
        <v>1103</v>
      </c>
      <c r="D3" t="s">
        <v>1248</v>
      </c>
      <c r="E3" t="s">
        <v>1103</v>
      </c>
      <c r="F3" t="s">
        <v>1248</v>
      </c>
      <c r="G3" t="s">
        <v>1103</v>
      </c>
    </row>
    <row r="4" spans="1:10">
      <c r="A4" s="162" t="s">
        <v>37</v>
      </c>
      <c r="B4" s="164">
        <v>18</v>
      </c>
      <c r="C4" s="379">
        <v>1360500.7799999998</v>
      </c>
      <c r="D4" s="164">
        <v>5</v>
      </c>
      <c r="E4" s="379">
        <v>503016.81</v>
      </c>
      <c r="F4" s="164">
        <v>7</v>
      </c>
      <c r="G4" s="164">
        <v>620434.05000000005</v>
      </c>
      <c r="H4" s="164">
        <v>30</v>
      </c>
      <c r="I4" s="380">
        <v>2483951.64</v>
      </c>
      <c r="J4" s="380"/>
    </row>
    <row r="5" spans="1:10">
      <c r="A5" s="162" t="s">
        <v>34</v>
      </c>
      <c r="B5" s="164">
        <v>41</v>
      </c>
      <c r="C5" s="379">
        <v>3309934.55</v>
      </c>
      <c r="D5" s="164">
        <v>11</v>
      </c>
      <c r="E5" s="379">
        <v>829301.88</v>
      </c>
      <c r="F5" s="164">
        <v>23</v>
      </c>
      <c r="G5" s="164">
        <v>3242256.68</v>
      </c>
      <c r="H5" s="164">
        <v>75</v>
      </c>
      <c r="I5" s="380">
        <v>7381493.1100000003</v>
      </c>
      <c r="J5" s="380">
        <f>GETPIVOTDATA("Soma de SALDO DEVEDOR",$A$1,"EMPREENDIMENTO","LONDRINA [ETAPA 01 - AREAS EXTERNAS G1 - G5]")+GETPIVOTDATA("Soma de SALDO DEVEDOR",$A$1,"EMPREENDIMENTO","LONDRINA [ETAPA 01 - CONDOMINIO ARAÇARI]")</f>
        <v>9865444.75</v>
      </c>
    </row>
    <row r="6" spans="1:10">
      <c r="A6" s="162" t="s">
        <v>38</v>
      </c>
      <c r="B6" s="164">
        <v>40</v>
      </c>
      <c r="C6" s="379">
        <v>3214664.5100000002</v>
      </c>
      <c r="D6" s="164">
        <v>7</v>
      </c>
      <c r="E6" s="379">
        <v>563495.09000000008</v>
      </c>
      <c r="F6" s="164">
        <v>19</v>
      </c>
      <c r="G6" s="164">
        <v>2108362.0499999998</v>
      </c>
      <c r="H6" s="164">
        <v>66</v>
      </c>
      <c r="I6" s="380">
        <v>5886521.6500000004</v>
      </c>
      <c r="J6" s="380"/>
    </row>
    <row r="7" spans="1:10">
      <c r="A7" s="162" t="s">
        <v>35</v>
      </c>
      <c r="B7" s="164">
        <v>37</v>
      </c>
      <c r="C7" s="379">
        <v>3321884.2399999998</v>
      </c>
      <c r="D7" s="164">
        <v>7</v>
      </c>
      <c r="E7" s="379">
        <v>694813.86</v>
      </c>
      <c r="F7" s="164">
        <v>20</v>
      </c>
      <c r="G7" s="164">
        <v>2953891.6399999997</v>
      </c>
      <c r="H7" s="164">
        <v>64</v>
      </c>
      <c r="I7" s="380">
        <v>6970589.7400000021</v>
      </c>
      <c r="J7" s="380">
        <f>GETPIVOTDATA("Soma de SALDO DEVEDOR",$A$1,"EMPREENDIMENTO","LONDRINA [ETAPA 02 - AREAS EXTERNAS G2 - G6]")+GETPIVOTDATA("Soma de SALDO DEVEDOR",$A$1,"EMPREENDIMENTO","LONDRINA [ETAPA 02 - CONDOMINIO TANGARA]")</f>
        <v>12857111.390000002</v>
      </c>
    </row>
    <row r="8" spans="1:10">
      <c r="A8" s="162" t="s">
        <v>36</v>
      </c>
      <c r="B8" s="164">
        <v>24</v>
      </c>
      <c r="C8" s="379">
        <v>1872321.6</v>
      </c>
      <c r="D8" s="164"/>
      <c r="E8" s="379"/>
      <c r="F8" s="164">
        <v>14</v>
      </c>
      <c r="G8" s="164">
        <v>1935507.8000000003</v>
      </c>
      <c r="H8" s="164">
        <v>38</v>
      </c>
      <c r="I8" s="380">
        <v>3807829.4</v>
      </c>
      <c r="J8" s="380"/>
    </row>
    <row r="9" spans="1:10">
      <c r="A9" s="162" t="s">
        <v>33</v>
      </c>
      <c r="B9" s="164">
        <v>77</v>
      </c>
      <c r="C9" s="379">
        <v>7695068.8299999982</v>
      </c>
      <c r="D9" s="164">
        <v>16</v>
      </c>
      <c r="E9" s="379">
        <v>1864500.59</v>
      </c>
      <c r="F9" s="164">
        <v>38</v>
      </c>
      <c r="G9" s="164">
        <v>5895230.4700000025</v>
      </c>
      <c r="H9" s="164">
        <v>131</v>
      </c>
      <c r="I9" s="380">
        <v>15454799.889999991</v>
      </c>
      <c r="J9" s="380">
        <f>GETPIVOTDATA("Soma de SALDO DEVEDOR",$A$1,"EMPREENDIMENTO","LONDRINA [ETAPA 03 - AREAS EXTERNAS G3 - G7]")+GETPIVOTDATA("Soma de SALDO DEVEDOR",$A$1,"EMPREENDIMENTO","LONDRINA [ETAPA 03 - CONDOMINIO ARANGUA]")</f>
        <v>19262629.289999992</v>
      </c>
    </row>
    <row r="10" spans="1:10">
      <c r="A10" s="162" t="s">
        <v>612</v>
      </c>
      <c r="B10" s="164">
        <v>19</v>
      </c>
      <c r="C10" s="379">
        <v>1902078.5000000002</v>
      </c>
      <c r="D10" s="164">
        <v>3</v>
      </c>
      <c r="E10" s="379">
        <v>296837.12</v>
      </c>
      <c r="F10" s="164">
        <v>3</v>
      </c>
      <c r="G10" s="164">
        <v>234262.5</v>
      </c>
      <c r="H10" s="164">
        <v>25</v>
      </c>
      <c r="I10" s="380">
        <v>2433178.1199999996</v>
      </c>
      <c r="J10" s="380"/>
    </row>
    <row r="11" spans="1:10">
      <c r="A11" s="162" t="s">
        <v>878</v>
      </c>
      <c r="B11" s="164">
        <v>30</v>
      </c>
      <c r="C11" s="379">
        <v>2681626.1000000006</v>
      </c>
      <c r="D11" s="164">
        <v>9</v>
      </c>
      <c r="E11" s="379">
        <v>1012849.29</v>
      </c>
      <c r="F11" s="164">
        <v>2</v>
      </c>
      <c r="G11" s="164">
        <v>234192.58999999997</v>
      </c>
      <c r="H11" s="164">
        <v>41</v>
      </c>
      <c r="I11" s="380">
        <v>3928667.98</v>
      </c>
      <c r="J11" s="380">
        <f>GETPIVOTDATA("Soma de SALDO DEVEDOR",$A$1,"EMPREENDIMENTO","LONDRINA [ETAPA 04 - AREAS EXTERNAS G4 - G8]")+GETPIVOTDATA("Soma de SALDO DEVEDOR",$A$1,"EMPREENDIMENTO","LONDRINA [ETAPA 04 - CONDOMINIO ARAGUARI]")</f>
        <v>6361846.0999999996</v>
      </c>
    </row>
    <row r="12" spans="1:10">
      <c r="A12" s="162" t="s">
        <v>1101</v>
      </c>
      <c r="B12" s="164">
        <v>286</v>
      </c>
      <c r="C12" s="379">
        <v>25358079.110000003</v>
      </c>
      <c r="D12" s="164">
        <v>58</v>
      </c>
      <c r="E12" s="379">
        <v>5764814.6399999987</v>
      </c>
      <c r="F12" s="164">
        <v>126</v>
      </c>
      <c r="G12" s="164">
        <v>17224137.779999997</v>
      </c>
      <c r="H12" s="164">
        <v>470</v>
      </c>
      <c r="I12" s="380">
        <v>48347031.529999986</v>
      </c>
      <c r="J12" s="380"/>
    </row>
    <row r="15" spans="1:10">
      <c r="C15" s="380">
        <v>1360500.7799999998</v>
      </c>
      <c r="D15" s="380">
        <v>503016.81</v>
      </c>
      <c r="E15" s="381">
        <f t="shared" ref="E15:E22" si="0">SUM(C15:D15)</f>
        <v>1863517.5899999999</v>
      </c>
      <c r="F15" s="380">
        <v>620434.05000000005</v>
      </c>
      <c r="G15" s="379"/>
    </row>
    <row r="16" spans="1:10">
      <c r="C16" s="380">
        <v>3309934.55</v>
      </c>
      <c r="D16" s="380">
        <v>829301.88</v>
      </c>
      <c r="E16" s="381">
        <f t="shared" si="0"/>
        <v>4139236.4299999997</v>
      </c>
      <c r="F16" s="380">
        <v>3242256.68</v>
      </c>
      <c r="G16" s="379">
        <f>F15+F16</f>
        <v>3862690.7300000004</v>
      </c>
    </row>
    <row r="17" spans="1:7">
      <c r="C17" s="380">
        <v>3214664.5100000002</v>
      </c>
      <c r="D17" s="380">
        <v>563495.09000000008</v>
      </c>
      <c r="E17" s="381">
        <f t="shared" si="0"/>
        <v>3778159.6000000006</v>
      </c>
      <c r="F17" s="380">
        <v>2108362.0499999998</v>
      </c>
      <c r="G17" s="379"/>
    </row>
    <row r="18" spans="1:7">
      <c r="C18" s="380">
        <v>3321884.2399999998</v>
      </c>
      <c r="D18" s="380">
        <v>694813.86</v>
      </c>
      <c r="E18" s="381">
        <f t="shared" si="0"/>
        <v>4016698.0999999996</v>
      </c>
      <c r="F18" s="380">
        <v>2953891.6399999997</v>
      </c>
      <c r="G18" s="379">
        <f>F17+F18</f>
        <v>5062253.6899999995</v>
      </c>
    </row>
    <row r="19" spans="1:7">
      <c r="C19" s="380">
        <v>1872321.6</v>
      </c>
      <c r="D19" s="380"/>
      <c r="E19" s="381">
        <f t="shared" si="0"/>
        <v>1872321.6</v>
      </c>
      <c r="F19" s="380">
        <v>1935507.8000000003</v>
      </c>
      <c r="G19" s="379"/>
    </row>
    <row r="20" spans="1:7">
      <c r="C20" s="380">
        <v>7695068.8299999982</v>
      </c>
      <c r="D20" s="380">
        <v>1864500.59</v>
      </c>
      <c r="E20" s="381">
        <f t="shared" si="0"/>
        <v>9559569.4199999981</v>
      </c>
      <c r="F20" s="380">
        <v>5895230.4700000025</v>
      </c>
      <c r="G20" s="379">
        <f>F19+F20</f>
        <v>7830738.2700000033</v>
      </c>
    </row>
    <row r="21" spans="1:7">
      <c r="C21" s="380">
        <v>1902078.5000000002</v>
      </c>
      <c r="D21" s="380">
        <v>296837.12</v>
      </c>
      <c r="E21" s="381">
        <f t="shared" si="0"/>
        <v>2198915.62</v>
      </c>
      <c r="F21" s="380">
        <v>234262.5</v>
      </c>
      <c r="G21" s="379"/>
    </row>
    <row r="22" spans="1:7">
      <c r="C22" s="380">
        <v>2681626.1000000006</v>
      </c>
      <c r="D22" s="380">
        <v>1012849.29</v>
      </c>
      <c r="E22" s="381">
        <f t="shared" si="0"/>
        <v>3694475.3900000006</v>
      </c>
      <c r="F22" s="380">
        <v>234192.58999999997</v>
      </c>
      <c r="G22" s="379">
        <f>F21+F22</f>
        <v>468455.08999999997</v>
      </c>
    </row>
    <row r="25" spans="1:7">
      <c r="A25" s="285" t="s">
        <v>1253</v>
      </c>
      <c r="B25" s="285" t="s">
        <v>1247</v>
      </c>
    </row>
    <row r="26" spans="1:7">
      <c r="A26" s="285" t="s">
        <v>1099</v>
      </c>
      <c r="B26" t="s">
        <v>766</v>
      </c>
      <c r="C26" t="s">
        <v>764</v>
      </c>
      <c r="D26" t="s">
        <v>767</v>
      </c>
      <c r="E26" t="s">
        <v>765</v>
      </c>
      <c r="F26" t="s">
        <v>1101</v>
      </c>
    </row>
    <row r="27" spans="1:7">
      <c r="A27" s="162" t="s">
        <v>37</v>
      </c>
      <c r="B27" s="379"/>
      <c r="C27" s="379">
        <v>34128.11</v>
      </c>
      <c r="D27" s="379"/>
      <c r="E27" s="379">
        <v>129244.76000000002</v>
      </c>
      <c r="F27" s="379">
        <v>163372.87000000002</v>
      </c>
    </row>
    <row r="28" spans="1:7">
      <c r="A28" s="162" t="s">
        <v>34</v>
      </c>
      <c r="B28" s="379">
        <v>10788.5</v>
      </c>
      <c r="C28" s="379">
        <v>29522.510000000002</v>
      </c>
      <c r="D28" s="379">
        <v>8994.27</v>
      </c>
      <c r="E28" s="379">
        <v>1197590.6900000004</v>
      </c>
      <c r="F28" s="379">
        <v>1246895.9700000004</v>
      </c>
    </row>
    <row r="29" spans="1:7">
      <c r="A29" s="162" t="s">
        <v>38</v>
      </c>
      <c r="B29" s="379">
        <v>2952.12</v>
      </c>
      <c r="C29" s="379">
        <v>14741.949999999999</v>
      </c>
      <c r="D29" s="379">
        <v>3471.84</v>
      </c>
      <c r="E29" s="379">
        <v>808043.33000000019</v>
      </c>
      <c r="F29" s="379">
        <v>829209.24000000022</v>
      </c>
    </row>
    <row r="30" spans="1:7">
      <c r="A30" s="162" t="s">
        <v>35</v>
      </c>
      <c r="B30" s="379">
        <v>2736.8</v>
      </c>
      <c r="C30" s="379">
        <v>19449.669999999998</v>
      </c>
      <c r="D30" s="379">
        <v>5143.9799999999996</v>
      </c>
      <c r="E30" s="379">
        <v>1102344.0199999998</v>
      </c>
      <c r="F30" s="379">
        <v>1129674.4699999997</v>
      </c>
    </row>
    <row r="31" spans="1:7">
      <c r="A31" s="162" t="s">
        <v>36</v>
      </c>
      <c r="B31" s="379"/>
      <c r="C31" s="379"/>
      <c r="D31" s="379"/>
      <c r="E31" s="379">
        <v>501052.18</v>
      </c>
      <c r="F31" s="379">
        <v>501052.18</v>
      </c>
    </row>
    <row r="32" spans="1:7">
      <c r="A32" s="162" t="s">
        <v>33</v>
      </c>
      <c r="B32" s="379">
        <v>53851.479999999996</v>
      </c>
      <c r="C32" s="379">
        <v>10894.84</v>
      </c>
      <c r="D32" s="379">
        <v>20936.689999999999</v>
      </c>
      <c r="E32" s="379">
        <v>1446612.8100000003</v>
      </c>
      <c r="F32" s="379">
        <v>1532295.8200000003</v>
      </c>
    </row>
    <row r="33" spans="1:6">
      <c r="A33" s="162" t="s">
        <v>612</v>
      </c>
      <c r="B33" s="379"/>
      <c r="C33" s="379">
        <v>2394.44</v>
      </c>
      <c r="D33" s="379">
        <v>5833.08</v>
      </c>
      <c r="E33" s="379">
        <v>9248.08</v>
      </c>
      <c r="F33" s="379">
        <v>17475.599999999999</v>
      </c>
    </row>
    <row r="34" spans="1:6">
      <c r="A34" s="162" t="s">
        <v>878</v>
      </c>
      <c r="B34" s="379">
        <v>45786.92</v>
      </c>
      <c r="C34" s="379">
        <v>14790.48</v>
      </c>
      <c r="D34" s="379">
        <v>26260.26</v>
      </c>
      <c r="E34" s="379">
        <v>16831.68</v>
      </c>
      <c r="F34" s="379">
        <v>103669.34</v>
      </c>
    </row>
    <row r="35" spans="1:6">
      <c r="A35" s="162" t="s">
        <v>1101</v>
      </c>
      <c r="B35" s="379">
        <v>116115.81999999999</v>
      </c>
      <c r="C35" s="379">
        <v>125922</v>
      </c>
      <c r="D35" s="379">
        <v>70640.12</v>
      </c>
      <c r="E35" s="379">
        <v>5210967.5500000007</v>
      </c>
      <c r="F35" s="379">
        <v>5523645.4900000002</v>
      </c>
    </row>
    <row r="36" spans="1:6">
      <c r="B36" s="380"/>
      <c r="C36" s="380"/>
    </row>
    <row r="37" spans="1:6">
      <c r="B37" s="380"/>
      <c r="C37" s="380"/>
    </row>
    <row r="38" spans="1:6">
      <c r="A38" s="285" t="s">
        <v>1248</v>
      </c>
      <c r="B38" s="285" t="s">
        <v>1247</v>
      </c>
    </row>
    <row r="39" spans="1:6">
      <c r="A39" s="285" t="s">
        <v>1099</v>
      </c>
      <c r="B39" s="280" t="s">
        <v>766</v>
      </c>
      <c r="C39" s="280" t="s">
        <v>764</v>
      </c>
      <c r="D39" s="280" t="s">
        <v>767</v>
      </c>
      <c r="E39" s="280" t="s">
        <v>765</v>
      </c>
      <c r="F39" s="280" t="s">
        <v>1101</v>
      </c>
    </row>
    <row r="40" spans="1:6">
      <c r="A40" s="162" t="s">
        <v>37</v>
      </c>
      <c r="B40" s="280"/>
      <c r="C40" s="280">
        <v>5</v>
      </c>
      <c r="D40" s="280"/>
      <c r="E40" s="280">
        <v>7</v>
      </c>
      <c r="F40" s="280">
        <v>12</v>
      </c>
    </row>
    <row r="41" spans="1:6">
      <c r="A41" s="162" t="s">
        <v>34</v>
      </c>
      <c r="B41" s="280">
        <v>4</v>
      </c>
      <c r="C41" s="280">
        <v>5</v>
      </c>
      <c r="D41" s="280">
        <v>2</v>
      </c>
      <c r="E41" s="280">
        <v>23</v>
      </c>
      <c r="F41" s="280">
        <v>34</v>
      </c>
    </row>
    <row r="42" spans="1:6">
      <c r="A42" s="162" t="s">
        <v>38</v>
      </c>
      <c r="B42" s="280">
        <v>1</v>
      </c>
      <c r="C42" s="280">
        <v>5</v>
      </c>
      <c r="D42" s="280">
        <v>1</v>
      </c>
      <c r="E42" s="280">
        <v>19</v>
      </c>
      <c r="F42" s="280">
        <v>26</v>
      </c>
    </row>
    <row r="43" spans="1:6">
      <c r="A43" s="162" t="s">
        <v>35</v>
      </c>
      <c r="B43" s="280">
        <v>2</v>
      </c>
      <c r="C43" s="280">
        <v>4</v>
      </c>
      <c r="D43" s="280">
        <v>1</v>
      </c>
      <c r="E43" s="280">
        <v>20</v>
      </c>
      <c r="F43" s="280">
        <v>27</v>
      </c>
    </row>
    <row r="44" spans="1:6">
      <c r="A44" s="162" t="s">
        <v>36</v>
      </c>
      <c r="B44" s="280"/>
      <c r="C44" s="280"/>
      <c r="D44" s="280"/>
      <c r="E44" s="280">
        <v>14</v>
      </c>
      <c r="F44" s="280">
        <v>14</v>
      </c>
    </row>
    <row r="45" spans="1:6">
      <c r="A45" s="162" t="s">
        <v>33</v>
      </c>
      <c r="B45" s="280">
        <v>6</v>
      </c>
      <c r="C45" s="280">
        <v>3</v>
      </c>
      <c r="D45" s="280">
        <v>7</v>
      </c>
      <c r="E45" s="280">
        <v>38</v>
      </c>
      <c r="F45" s="280">
        <v>54</v>
      </c>
    </row>
    <row r="46" spans="1:6">
      <c r="A46" s="162" t="s">
        <v>612</v>
      </c>
      <c r="B46" s="280"/>
      <c r="C46" s="280">
        <v>1</v>
      </c>
      <c r="D46" s="280">
        <v>2</v>
      </c>
      <c r="E46" s="280">
        <v>3</v>
      </c>
      <c r="F46" s="280">
        <v>6</v>
      </c>
    </row>
    <row r="47" spans="1:6">
      <c r="A47" s="162" t="s">
        <v>878</v>
      </c>
      <c r="B47" s="280">
        <v>3</v>
      </c>
      <c r="C47" s="280">
        <v>3</v>
      </c>
      <c r="D47" s="280">
        <v>3</v>
      </c>
      <c r="E47" s="280">
        <v>2</v>
      </c>
      <c r="F47" s="280">
        <v>11</v>
      </c>
    </row>
    <row r="48" spans="1:6">
      <c r="A48" s="162" t="s">
        <v>1101</v>
      </c>
      <c r="B48" s="280">
        <v>16</v>
      </c>
      <c r="C48" s="280">
        <v>26</v>
      </c>
      <c r="D48" s="280">
        <v>16</v>
      </c>
      <c r="E48" s="280">
        <v>126</v>
      </c>
      <c r="F48" s="280">
        <v>184</v>
      </c>
    </row>
    <row r="52" spans="1:6">
      <c r="A52" s="285" t="s">
        <v>1103</v>
      </c>
      <c r="B52" s="285" t="s">
        <v>1247</v>
      </c>
    </row>
    <row r="53" spans="1:6">
      <c r="A53" s="285" t="s">
        <v>1099</v>
      </c>
      <c r="B53" t="s">
        <v>766</v>
      </c>
      <c r="C53" t="s">
        <v>764</v>
      </c>
      <c r="D53" t="s">
        <v>767</v>
      </c>
      <c r="E53" t="s">
        <v>765</v>
      </c>
      <c r="F53" t="s">
        <v>1101</v>
      </c>
    </row>
    <row r="54" spans="1:6">
      <c r="A54" s="162" t="s">
        <v>37</v>
      </c>
      <c r="B54" s="379"/>
      <c r="C54" s="379">
        <v>503016.81</v>
      </c>
      <c r="D54" s="379"/>
      <c r="E54" s="379">
        <v>620434.05000000005</v>
      </c>
      <c r="F54" s="379">
        <v>1123450.8600000001</v>
      </c>
    </row>
    <row r="55" spans="1:6">
      <c r="A55" s="162" t="s">
        <v>34</v>
      </c>
      <c r="B55" s="379">
        <v>308110.02</v>
      </c>
      <c r="C55" s="379">
        <v>421896.42</v>
      </c>
      <c r="D55" s="379">
        <v>99295.44</v>
      </c>
      <c r="E55" s="379">
        <v>3242256.68</v>
      </c>
      <c r="F55" s="379">
        <v>4071558.56</v>
      </c>
    </row>
    <row r="56" spans="1:6">
      <c r="A56" s="162" t="s">
        <v>38</v>
      </c>
      <c r="B56" s="379">
        <v>37915.03</v>
      </c>
      <c r="C56" s="379">
        <v>439615.99</v>
      </c>
      <c r="D56" s="379">
        <v>85964.07</v>
      </c>
      <c r="E56" s="379">
        <v>2108362.0499999998</v>
      </c>
      <c r="F56" s="379">
        <v>2671857.1399999997</v>
      </c>
    </row>
    <row r="57" spans="1:6">
      <c r="A57" s="162" t="s">
        <v>35</v>
      </c>
      <c r="B57" s="379">
        <v>191682.96</v>
      </c>
      <c r="C57" s="379">
        <v>361204.02999999997</v>
      </c>
      <c r="D57" s="379">
        <v>141926.87</v>
      </c>
      <c r="E57" s="379">
        <v>2953891.6399999992</v>
      </c>
      <c r="F57" s="379">
        <v>3648705.4999999991</v>
      </c>
    </row>
    <row r="58" spans="1:6">
      <c r="A58" s="162" t="s">
        <v>36</v>
      </c>
      <c r="B58" s="379"/>
      <c r="C58" s="379"/>
      <c r="D58" s="379"/>
      <c r="E58" s="379">
        <v>1935507.8</v>
      </c>
      <c r="F58" s="379">
        <v>1935507.8</v>
      </c>
    </row>
    <row r="59" spans="1:6">
      <c r="A59" s="162" t="s">
        <v>33</v>
      </c>
      <c r="B59" s="379">
        <v>651065.45000000007</v>
      </c>
      <c r="C59" s="379">
        <v>401428.05</v>
      </c>
      <c r="D59" s="379">
        <v>812007.09</v>
      </c>
      <c r="E59" s="379">
        <v>5895230.4699999988</v>
      </c>
      <c r="F59" s="379">
        <v>7759731.0599999987</v>
      </c>
    </row>
    <row r="60" spans="1:6">
      <c r="A60" s="162" t="s">
        <v>612</v>
      </c>
      <c r="B60" s="379"/>
      <c r="C60" s="379">
        <v>97922.6</v>
      </c>
      <c r="D60" s="379">
        <v>198914.52000000002</v>
      </c>
      <c r="E60" s="379">
        <v>234262.5</v>
      </c>
      <c r="F60" s="379">
        <v>531099.62</v>
      </c>
    </row>
    <row r="61" spans="1:6">
      <c r="A61" s="162" t="s">
        <v>878</v>
      </c>
      <c r="B61" s="379">
        <v>419250.36000000004</v>
      </c>
      <c r="C61" s="379">
        <v>261696.42</v>
      </c>
      <c r="D61" s="379">
        <v>331902.51</v>
      </c>
      <c r="E61" s="379">
        <v>234192.58999999997</v>
      </c>
      <c r="F61" s="379">
        <v>1247041.8799999999</v>
      </c>
    </row>
    <row r="62" spans="1:6">
      <c r="A62" s="162" t="s">
        <v>1101</v>
      </c>
      <c r="B62" s="379">
        <v>1608023.82</v>
      </c>
      <c r="C62" s="379">
        <v>2486780.3199999998</v>
      </c>
      <c r="D62" s="379">
        <v>1670010.5</v>
      </c>
      <c r="E62" s="379">
        <v>17224137.779999997</v>
      </c>
      <c r="F62" s="379">
        <v>22988952.419999998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5"/>
  <dimension ref="A1:Q61"/>
  <sheetViews>
    <sheetView workbookViewId="0">
      <selection activeCell="M57" sqref="M57:M58"/>
    </sheetView>
  </sheetViews>
  <sheetFormatPr defaultRowHeight="15"/>
  <cols>
    <col min="1" max="1" width="17.85546875" customWidth="1"/>
    <col min="2" max="2" width="14.5703125" bestFit="1" customWidth="1"/>
    <col min="3" max="4" width="18.140625" customWidth="1"/>
    <col min="5" max="5" width="18" bestFit="1" customWidth="1"/>
    <col min="6" max="6" width="14.42578125" customWidth="1"/>
    <col min="7" max="7" width="17.42578125" customWidth="1"/>
    <col min="8" max="8" width="14.85546875" bestFit="1" customWidth="1"/>
    <col min="9" max="9" width="18" bestFit="1" customWidth="1"/>
    <col min="10" max="10" width="14.85546875" bestFit="1" customWidth="1"/>
    <col min="11" max="11" width="14.28515625" bestFit="1" customWidth="1"/>
    <col min="12" max="12" width="14.28515625" customWidth="1"/>
    <col min="13" max="13" width="13.28515625" bestFit="1" customWidth="1"/>
    <col min="14" max="14" width="16.5703125" bestFit="1" customWidth="1"/>
    <col min="15" max="15" width="15.140625" customWidth="1"/>
    <col min="16" max="16" width="16.28515625" bestFit="1" customWidth="1"/>
    <col min="17" max="17" width="17.5703125" customWidth="1"/>
  </cols>
  <sheetData>
    <row r="1" spans="1:17">
      <c r="A1" s="558" t="s">
        <v>598</v>
      </c>
      <c r="B1" s="558"/>
      <c r="C1" s="558"/>
      <c r="D1" s="558"/>
      <c r="E1" s="558" t="s">
        <v>1197</v>
      </c>
      <c r="F1" s="558"/>
      <c r="G1" s="558" t="s">
        <v>1196</v>
      </c>
      <c r="H1" s="558"/>
      <c r="I1" s="558"/>
      <c r="J1" s="558"/>
      <c r="K1" s="558"/>
      <c r="L1" s="558"/>
      <c r="M1" s="558" t="s">
        <v>17</v>
      </c>
      <c r="N1" s="558"/>
      <c r="O1" s="558"/>
      <c r="P1" s="558" t="s">
        <v>1195</v>
      </c>
      <c r="Q1" s="558"/>
    </row>
    <row r="2" spans="1:17" s="5" customFormat="1" ht="60">
      <c r="A2" s="357" t="s">
        <v>598</v>
      </c>
      <c r="B2" s="357" t="s">
        <v>1180</v>
      </c>
      <c r="C2" s="357" t="s">
        <v>1181</v>
      </c>
      <c r="D2" s="358" t="s">
        <v>1182</v>
      </c>
      <c r="E2" s="357" t="s">
        <v>1183</v>
      </c>
      <c r="F2" s="357" t="s">
        <v>1184</v>
      </c>
      <c r="G2" s="357" t="s">
        <v>1185</v>
      </c>
      <c r="H2" s="357" t="s">
        <v>1188</v>
      </c>
      <c r="I2" s="357" t="s">
        <v>1186</v>
      </c>
      <c r="J2" s="357" t="s">
        <v>1187</v>
      </c>
      <c r="K2" s="358" t="s">
        <v>1189</v>
      </c>
      <c r="L2" s="358" t="s">
        <v>1190</v>
      </c>
      <c r="M2" s="357" t="s">
        <v>1191</v>
      </c>
      <c r="N2" s="357" t="s">
        <v>1193</v>
      </c>
      <c r="O2" s="358" t="s">
        <v>1192</v>
      </c>
      <c r="P2" s="357" t="s">
        <v>1194</v>
      </c>
      <c r="Q2" s="358" t="s">
        <v>1207</v>
      </c>
    </row>
    <row r="3" spans="1:17">
      <c r="A3" s="359" t="s">
        <v>882</v>
      </c>
      <c r="B3" s="360" t="s">
        <v>1198</v>
      </c>
      <c r="C3" s="360">
        <v>206</v>
      </c>
      <c r="D3" s="361" t="s">
        <v>1199</v>
      </c>
      <c r="E3" s="360"/>
      <c r="F3" s="360"/>
      <c r="G3" s="360">
        <f>Estoque!E2</f>
        <v>191</v>
      </c>
      <c r="H3" s="362">
        <f>G3/C3</f>
        <v>0.92718446601941751</v>
      </c>
      <c r="I3" s="360">
        <f>C3-G3</f>
        <v>15</v>
      </c>
      <c r="J3" s="362">
        <f>I3/C3</f>
        <v>7.281553398058252E-2</v>
      </c>
      <c r="K3" s="363">
        <f>Estoque!G2</f>
        <v>2541693.2081500003</v>
      </c>
      <c r="L3" s="363">
        <f>Vendas!Y10</f>
        <v>0</v>
      </c>
      <c r="M3" s="364">
        <f>Recebíveis!R22</f>
        <v>72</v>
      </c>
      <c r="N3" s="363">
        <f>Recebíveis!S22</f>
        <v>6742881.5599999977</v>
      </c>
      <c r="O3" s="363">
        <f>K3+N3</f>
        <v>9284574.768149998</v>
      </c>
      <c r="P3" s="363">
        <f>Recebíveis!Q22</f>
        <v>7906230.120000001</v>
      </c>
      <c r="Q3" s="365">
        <f>LTV!T30</f>
        <v>0.56075413821645348</v>
      </c>
    </row>
    <row r="4" spans="1:17">
      <c r="A4" s="359" t="s">
        <v>886</v>
      </c>
      <c r="B4" s="360" t="s">
        <v>1198</v>
      </c>
      <c r="C4" s="360">
        <v>57</v>
      </c>
      <c r="D4" s="366" t="s">
        <v>1203</v>
      </c>
      <c r="E4" s="360"/>
      <c r="F4" s="360"/>
      <c r="G4" s="360">
        <f>Estoque!E3</f>
        <v>54</v>
      </c>
      <c r="H4" s="362">
        <f t="shared" ref="H4:H10" si="0">G4/C4</f>
        <v>0.94736842105263153</v>
      </c>
      <c r="I4" s="360">
        <f t="shared" ref="I4:I10" si="1">C4-G4</f>
        <v>3</v>
      </c>
      <c r="J4" s="362">
        <f t="shared" ref="J4:J10" si="2">I4/C4</f>
        <v>5.2631578947368418E-2</v>
      </c>
      <c r="K4" s="363">
        <f>Estoque!G3</f>
        <v>550724.36475000007</v>
      </c>
      <c r="L4" s="363">
        <f>Vendas!Y11</f>
        <v>0</v>
      </c>
      <c r="M4" s="364">
        <f>Recebíveis!R23</f>
        <v>25</v>
      </c>
      <c r="N4" s="363">
        <f>Recebíveis!S23</f>
        <v>2182447.36</v>
      </c>
      <c r="O4" s="363">
        <f t="shared" ref="O4:O10" si="3">K4+N4</f>
        <v>2733171.7247500001</v>
      </c>
      <c r="P4" s="363">
        <f>Recebíveis!Q23</f>
        <v>2537820.7000000002</v>
      </c>
      <c r="Q4" s="365">
        <f>LTV!T29</f>
        <v>0.50583108850392866</v>
      </c>
    </row>
    <row r="5" spans="1:17">
      <c r="A5" s="359" t="s">
        <v>883</v>
      </c>
      <c r="B5" s="360" t="s">
        <v>1198</v>
      </c>
      <c r="C5" s="360">
        <v>205</v>
      </c>
      <c r="D5" s="366" t="s">
        <v>1200</v>
      </c>
      <c r="E5" s="360"/>
      <c r="F5" s="360"/>
      <c r="G5" s="360">
        <f>Estoque!E5</f>
        <v>191</v>
      </c>
      <c r="H5" s="362">
        <f t="shared" si="0"/>
        <v>0.93170731707317078</v>
      </c>
      <c r="I5" s="360">
        <f t="shared" si="1"/>
        <v>14</v>
      </c>
      <c r="J5" s="362">
        <f t="shared" si="2"/>
        <v>6.8292682926829273E-2</v>
      </c>
      <c r="K5" s="363">
        <f>Estoque!G5</f>
        <v>2221812.6260000002</v>
      </c>
      <c r="L5" s="363">
        <f>Vendas!Y12</f>
        <v>0</v>
      </c>
      <c r="M5" s="364">
        <f>Recebíveis!R24</f>
        <v>47</v>
      </c>
      <c r="N5" s="363">
        <f>Recebíveis!S24</f>
        <v>5555226.580000001</v>
      </c>
      <c r="O5" s="363">
        <f t="shared" si="3"/>
        <v>7777039.2060000012</v>
      </c>
      <c r="P5" s="363">
        <f>Recebíveis!Q24</f>
        <v>5436885.7900000019</v>
      </c>
      <c r="Q5" s="365" t="e">
        <f>LTV!T32</f>
        <v>#DIV/0!</v>
      </c>
    </row>
    <row r="6" spans="1:17" ht="30">
      <c r="A6" s="359" t="s">
        <v>887</v>
      </c>
      <c r="B6" s="360" t="s">
        <v>1198</v>
      </c>
      <c r="C6" s="360">
        <v>125</v>
      </c>
      <c r="D6" s="366" t="s">
        <v>1204</v>
      </c>
      <c r="E6" s="360"/>
      <c r="F6" s="360"/>
      <c r="G6" s="360">
        <f>Estoque!E6</f>
        <v>120</v>
      </c>
      <c r="H6" s="362">
        <f t="shared" si="0"/>
        <v>0.96</v>
      </c>
      <c r="I6" s="360">
        <f t="shared" si="1"/>
        <v>5</v>
      </c>
      <c r="J6" s="362">
        <f t="shared" si="2"/>
        <v>0.04</v>
      </c>
      <c r="K6" s="363">
        <f>Estoque!G6</f>
        <v>800000</v>
      </c>
      <c r="L6" s="363">
        <f>Vendas!Y13</f>
        <v>0</v>
      </c>
      <c r="M6" s="364">
        <f>Recebíveis!R25</f>
        <v>58</v>
      </c>
      <c r="N6" s="363">
        <f>Recebíveis!S25</f>
        <v>5290215.0600000015</v>
      </c>
      <c r="O6" s="363">
        <f t="shared" si="3"/>
        <v>6090215.0600000015</v>
      </c>
      <c r="P6" s="363">
        <f>Recebíveis!Q25</f>
        <v>5354481.5000000009</v>
      </c>
      <c r="Q6" s="365">
        <f>LTV!T31</f>
        <v>0.56833713765213212</v>
      </c>
    </row>
    <row r="7" spans="1:17">
      <c r="A7" s="359" t="s">
        <v>884</v>
      </c>
      <c r="B7" s="360" t="s">
        <v>1198</v>
      </c>
      <c r="C7" s="360">
        <v>258</v>
      </c>
      <c r="D7" s="366" t="s">
        <v>1201</v>
      </c>
      <c r="E7" s="360"/>
      <c r="F7" s="360"/>
      <c r="G7" s="360">
        <f>Estoque!E8</f>
        <v>250</v>
      </c>
      <c r="H7" s="362">
        <f t="shared" si="0"/>
        <v>0.96899224806201545</v>
      </c>
      <c r="I7" s="360">
        <f t="shared" si="1"/>
        <v>8</v>
      </c>
      <c r="J7" s="362">
        <f t="shared" si="2"/>
        <v>3.1007751937984496E-2</v>
      </c>
      <c r="K7" s="363">
        <f>Estoque!G8</f>
        <v>1386822.2201228475</v>
      </c>
      <c r="L7" s="363">
        <f>Vendas!Y14</f>
        <v>0</v>
      </c>
      <c r="M7" s="364">
        <f>Recebíveis!R26</f>
        <v>135</v>
      </c>
      <c r="N7" s="363">
        <f>Recebíveis!S26</f>
        <v>17069747.990000002</v>
      </c>
      <c r="O7" s="363">
        <f t="shared" si="3"/>
        <v>18456570.21012285</v>
      </c>
      <c r="P7" s="363">
        <f>Recebíveis!Q26</f>
        <v>19038381.999999993</v>
      </c>
      <c r="Q7" s="365">
        <v>1.02</v>
      </c>
    </row>
    <row r="8" spans="1:17">
      <c r="A8" s="359" t="s">
        <v>888</v>
      </c>
      <c r="B8" s="360" t="s">
        <v>1198</v>
      </c>
      <c r="C8" s="360">
        <v>92</v>
      </c>
      <c r="D8" s="366" t="s">
        <v>1205</v>
      </c>
      <c r="E8" s="360"/>
      <c r="F8" s="360"/>
      <c r="G8" s="360">
        <f>Estoque!E9</f>
        <v>87</v>
      </c>
      <c r="H8" s="362">
        <f t="shared" si="0"/>
        <v>0.94565217391304346</v>
      </c>
      <c r="I8" s="360">
        <f t="shared" si="1"/>
        <v>5</v>
      </c>
      <c r="J8" s="362">
        <f t="shared" si="2"/>
        <v>5.434782608695652E-2</v>
      </c>
      <c r="K8" s="363">
        <f>Estoque!G9</f>
        <v>887766.48425196856</v>
      </c>
      <c r="L8" s="363">
        <f>Vendas!Y15</f>
        <v>0</v>
      </c>
      <c r="M8" s="364">
        <f>Recebíveis!R27</f>
        <v>43</v>
      </c>
      <c r="N8" s="363">
        <f>Recebíveis!S27</f>
        <v>4647841.5599999996</v>
      </c>
      <c r="O8" s="363">
        <f t="shared" si="3"/>
        <v>5535608.0442519682</v>
      </c>
      <c r="P8" s="363">
        <f>Recebíveis!Q27</f>
        <v>5177688.8000000007</v>
      </c>
      <c r="Q8" s="365">
        <f>LTV!T33</f>
        <v>0.67680370337853357</v>
      </c>
    </row>
    <row r="9" spans="1:17">
      <c r="A9" s="359" t="s">
        <v>885</v>
      </c>
      <c r="B9" s="360" t="s">
        <v>1198</v>
      </c>
      <c r="C9" s="360">
        <v>168</v>
      </c>
      <c r="D9" s="366" t="s">
        <v>1202</v>
      </c>
      <c r="E9" s="360"/>
      <c r="F9" s="360"/>
      <c r="G9" s="360">
        <f>Estoque!E11</f>
        <v>118</v>
      </c>
      <c r="H9" s="362">
        <f t="shared" si="0"/>
        <v>0.70238095238095233</v>
      </c>
      <c r="I9" s="360">
        <f t="shared" si="1"/>
        <v>50</v>
      </c>
      <c r="J9" s="362">
        <f t="shared" si="2"/>
        <v>0.29761904761904762</v>
      </c>
      <c r="K9" s="363">
        <f>Estoque!G11</f>
        <v>8526354.5915724989</v>
      </c>
      <c r="L9" s="363">
        <f>Vendas!Y16</f>
        <v>0</v>
      </c>
      <c r="M9" s="364">
        <f>Recebíveis!R28</f>
        <v>98</v>
      </c>
      <c r="N9" s="363">
        <f>Recebíveis!S28</f>
        <v>10751278.699999996</v>
      </c>
      <c r="O9" s="363">
        <f t="shared" si="3"/>
        <v>19277633.291572496</v>
      </c>
      <c r="P9" s="363">
        <f>Recebíveis!Q28</f>
        <v>13585345.869999995</v>
      </c>
      <c r="Q9" s="365">
        <f>LTV!T36</f>
        <v>0.79981336922737667</v>
      </c>
    </row>
    <row r="10" spans="1:17">
      <c r="A10" s="359" t="s">
        <v>889</v>
      </c>
      <c r="B10" s="360" t="s">
        <v>1198</v>
      </c>
      <c r="C10" s="360">
        <v>71</v>
      </c>
      <c r="D10" s="366" t="s">
        <v>1206</v>
      </c>
      <c r="E10" s="360"/>
      <c r="F10" s="360"/>
      <c r="G10" s="360">
        <f>Estoque!E12</f>
        <v>42</v>
      </c>
      <c r="H10" s="362">
        <f t="shared" si="0"/>
        <v>0.59154929577464788</v>
      </c>
      <c r="I10" s="360">
        <f t="shared" si="1"/>
        <v>29</v>
      </c>
      <c r="J10" s="362">
        <f t="shared" si="2"/>
        <v>0.40845070422535212</v>
      </c>
      <c r="K10" s="363">
        <f>Estoque!G12</f>
        <v>4200334.2223213995</v>
      </c>
      <c r="L10" s="363">
        <f>Vendas!Y17</f>
        <v>0</v>
      </c>
      <c r="M10" s="364">
        <f>Recebíveis!R29</f>
        <v>38</v>
      </c>
      <c r="N10" s="363">
        <f>Recebíveis!S29</f>
        <v>3974221.71</v>
      </c>
      <c r="O10" s="363">
        <f t="shared" si="3"/>
        <v>8174555.9323213995</v>
      </c>
      <c r="P10" s="363">
        <f>Recebíveis!Q29</f>
        <v>4468312.8100000005</v>
      </c>
      <c r="Q10" s="365">
        <f>LTV!T35</f>
        <v>0.69625166031804342</v>
      </c>
    </row>
    <row r="11" spans="1:17">
      <c r="A11" s="360"/>
      <c r="B11" s="360"/>
      <c r="C11" s="360">
        <f>SUM(C3:C10)</f>
        <v>1182</v>
      </c>
      <c r="D11" s="360"/>
      <c r="E11" s="360"/>
      <c r="F11" s="360"/>
      <c r="G11" s="360">
        <f>SUM(G3:G10)</f>
        <v>1053</v>
      </c>
      <c r="H11" s="360"/>
      <c r="I11" s="360">
        <f t="shared" ref="I11" si="4">SUM(I3:I10)</f>
        <v>129</v>
      </c>
      <c r="J11" s="360"/>
      <c r="K11" s="363">
        <f>SUM(K3:K10)</f>
        <v>21115507.717168715</v>
      </c>
      <c r="L11" s="363">
        <f>SUM(L3:L10)</f>
        <v>0</v>
      </c>
      <c r="M11" s="367">
        <f>SUM(M3:M10)</f>
        <v>516</v>
      </c>
      <c r="N11" s="367">
        <f t="shared" ref="N11:O11" si="5">SUM(N3:N10)</f>
        <v>56213860.520000003</v>
      </c>
      <c r="O11" s="367">
        <f t="shared" si="5"/>
        <v>77329368.237168729</v>
      </c>
      <c r="P11" s="363">
        <f>SUM(P3:P10)</f>
        <v>63505147.589999996</v>
      </c>
      <c r="Q11" s="360"/>
    </row>
    <row r="15" spans="1:17" ht="60">
      <c r="A15" s="368" t="s">
        <v>1208</v>
      </c>
      <c r="B15" s="368" t="s">
        <v>1209</v>
      </c>
      <c r="C15" s="368" t="s">
        <v>1210</v>
      </c>
      <c r="D15" s="368" t="s">
        <v>1211</v>
      </c>
      <c r="E15" s="368" t="s">
        <v>1212</v>
      </c>
      <c r="F15" s="368" t="s">
        <v>1213</v>
      </c>
      <c r="G15" s="368" t="s">
        <v>1214</v>
      </c>
    </row>
    <row r="16" spans="1:17">
      <c r="A16" s="359" t="s">
        <v>882</v>
      </c>
      <c r="B16" s="360">
        <f>Recebíveis!R22</f>
        <v>72</v>
      </c>
      <c r="C16" s="360">
        <f>B16-D16</f>
        <v>57</v>
      </c>
      <c r="D16" s="360">
        <f>Inadimplencia!V25</f>
        <v>15</v>
      </c>
      <c r="E16" s="363">
        <f>SUM(Recebíveis!T22:U22)</f>
        <v>4880733.6899999995</v>
      </c>
      <c r="F16" s="363">
        <f>Recebíveis!V22</f>
        <v>1862147.8699999999</v>
      </c>
      <c r="G16" s="363">
        <f>SUM(E16:F16)</f>
        <v>6742881.5599999996</v>
      </c>
    </row>
    <row r="17" spans="1:7">
      <c r="A17" s="359" t="s">
        <v>886</v>
      </c>
      <c r="B17" s="360">
        <f>Recebíveis!R23</f>
        <v>25</v>
      </c>
      <c r="C17" s="360">
        <f t="shared" ref="C17:C23" si="6">B17-D17</f>
        <v>23</v>
      </c>
      <c r="D17" s="360">
        <f>Inadimplencia!W25</f>
        <v>2</v>
      </c>
      <c r="E17" s="363">
        <f>SUM(Recebíveis!T23:U23)</f>
        <v>1943926.9000000001</v>
      </c>
      <c r="F17" s="363">
        <f>Recebíveis!V23</f>
        <v>238520.46</v>
      </c>
      <c r="G17" s="363">
        <f t="shared" ref="G17:G23" si="7">SUM(E17:F17)</f>
        <v>2182447.3600000003</v>
      </c>
    </row>
    <row r="18" spans="1:7">
      <c r="A18" s="359" t="s">
        <v>883</v>
      </c>
      <c r="B18" s="360">
        <f>Recebíveis!R24</f>
        <v>47</v>
      </c>
      <c r="C18" s="360">
        <f t="shared" si="6"/>
        <v>39</v>
      </c>
      <c r="D18" s="360">
        <f>Inadimplencia!X25</f>
        <v>8</v>
      </c>
      <c r="E18" s="363">
        <f>SUM(Recebíveis!T24:U24)</f>
        <v>3897430.2800000003</v>
      </c>
      <c r="F18" s="363">
        <f>Recebíveis!V24</f>
        <v>1657796.3000000003</v>
      </c>
      <c r="G18" s="363">
        <f t="shared" si="7"/>
        <v>5555226.5800000001</v>
      </c>
    </row>
    <row r="19" spans="1:7">
      <c r="A19" s="359" t="s">
        <v>887</v>
      </c>
      <c r="B19" s="360">
        <f>Recebíveis!R25</f>
        <v>58</v>
      </c>
      <c r="C19" s="360">
        <f t="shared" si="6"/>
        <v>43</v>
      </c>
      <c r="D19" s="360">
        <f>Inadimplencia!Y25</f>
        <v>15</v>
      </c>
      <c r="E19" s="363">
        <f>SUM(Recebíveis!T25:U25)</f>
        <v>3218442.5200000005</v>
      </c>
      <c r="F19" s="363">
        <f>Recebíveis!V25</f>
        <v>2071772.5399999998</v>
      </c>
      <c r="G19" s="363">
        <f t="shared" si="7"/>
        <v>5290215.0600000005</v>
      </c>
    </row>
    <row r="20" spans="1:7">
      <c r="A20" s="359" t="s">
        <v>884</v>
      </c>
      <c r="B20" s="360">
        <f>Recebíveis!R26</f>
        <v>135</v>
      </c>
      <c r="C20" s="360">
        <f t="shared" si="6"/>
        <v>110</v>
      </c>
      <c r="D20" s="360">
        <f>Inadimplencia!Z25</f>
        <v>25</v>
      </c>
      <c r="E20" s="363">
        <f>SUM(Recebíveis!T26:U26)</f>
        <v>12578089.560000004</v>
      </c>
      <c r="F20" s="363">
        <f>Recebíveis!V26</f>
        <v>4491658.43</v>
      </c>
      <c r="G20" s="363">
        <f t="shared" si="7"/>
        <v>17069747.990000002</v>
      </c>
    </row>
    <row r="21" spans="1:7">
      <c r="A21" s="359" t="s">
        <v>888</v>
      </c>
      <c r="B21" s="360">
        <f>Recebíveis!R27</f>
        <v>43</v>
      </c>
      <c r="C21" s="360">
        <f t="shared" si="6"/>
        <v>33</v>
      </c>
      <c r="D21" s="360">
        <f>Inadimplencia!AA25</f>
        <v>10</v>
      </c>
      <c r="E21" s="363">
        <f>SUM(Recebíveis!T27:U27)</f>
        <v>2980145.7</v>
      </c>
      <c r="F21" s="363">
        <f>Recebíveis!V27</f>
        <v>1667695.8600000003</v>
      </c>
      <c r="G21" s="363">
        <f t="shared" si="7"/>
        <v>4647841.5600000005</v>
      </c>
    </row>
    <row r="22" spans="1:7">
      <c r="A22" s="359" t="s">
        <v>885</v>
      </c>
      <c r="B22" s="360">
        <f>Recebíveis!R28</f>
        <v>98</v>
      </c>
      <c r="C22" s="360">
        <f t="shared" si="6"/>
        <v>96</v>
      </c>
      <c r="D22" s="360">
        <f>Inadimplencia!AB25</f>
        <v>2</v>
      </c>
      <c r="E22" s="363">
        <f>SUM(Recebíveis!T28:U28)</f>
        <v>10512430.149999999</v>
      </c>
      <c r="F22" s="363">
        <f>Recebíveis!V28</f>
        <v>238848.55</v>
      </c>
      <c r="G22" s="363">
        <f t="shared" si="7"/>
        <v>10751278.699999999</v>
      </c>
    </row>
    <row r="23" spans="1:7">
      <c r="A23" s="359" t="s">
        <v>889</v>
      </c>
      <c r="B23" s="360">
        <f>Recebíveis!R29</f>
        <v>38</v>
      </c>
      <c r="C23" s="360">
        <f t="shared" si="6"/>
        <v>37</v>
      </c>
      <c r="D23" s="360">
        <f>Inadimplencia!AC25</f>
        <v>1</v>
      </c>
      <c r="E23" s="363">
        <f>SUM(Recebíveis!T29:U29)</f>
        <v>3870947.8500000006</v>
      </c>
      <c r="F23" s="363">
        <f>Recebíveis!V29</f>
        <v>103273.86</v>
      </c>
      <c r="G23" s="363">
        <f t="shared" si="7"/>
        <v>3974221.7100000004</v>
      </c>
    </row>
    <row r="24" spans="1:7">
      <c r="A24" s="360"/>
      <c r="B24" s="360">
        <f>SUM(B16:B23)</f>
        <v>516</v>
      </c>
      <c r="C24" s="360">
        <f t="shared" ref="C24:G24" si="8">SUM(C16:C23)</f>
        <v>438</v>
      </c>
      <c r="D24" s="360">
        <f t="shared" si="8"/>
        <v>78</v>
      </c>
      <c r="E24" s="369">
        <f t="shared" si="8"/>
        <v>43882146.649999999</v>
      </c>
      <c r="F24" s="369">
        <f t="shared" si="8"/>
        <v>12331713.870000001</v>
      </c>
      <c r="G24" s="369">
        <f t="shared" si="8"/>
        <v>56213860.520000003</v>
      </c>
    </row>
    <row r="26" spans="1:7" s="356" customFormat="1"/>
    <row r="27" spans="1:7">
      <c r="A27" t="s">
        <v>576</v>
      </c>
    </row>
    <row r="28" spans="1:7">
      <c r="A28" s="368" t="s">
        <v>1208</v>
      </c>
      <c r="B28" s="360" t="s">
        <v>1215</v>
      </c>
      <c r="C28" s="360" t="s">
        <v>1216</v>
      </c>
      <c r="D28" s="360" t="s">
        <v>1217</v>
      </c>
      <c r="E28" s="360" t="s">
        <v>1218</v>
      </c>
      <c r="F28" s="360" t="s">
        <v>1219</v>
      </c>
      <c r="G28" s="360" t="s">
        <v>1220</v>
      </c>
    </row>
    <row r="29" spans="1:7">
      <c r="A29" s="359" t="s">
        <v>882</v>
      </c>
      <c r="B29" s="360">
        <v>0</v>
      </c>
      <c r="C29" s="360">
        <v>1</v>
      </c>
      <c r="D29" s="360">
        <v>1</v>
      </c>
      <c r="E29" s="360">
        <v>0</v>
      </c>
      <c r="F29" s="360">
        <v>0</v>
      </c>
      <c r="G29" s="360">
        <v>0</v>
      </c>
    </row>
    <row r="30" spans="1:7">
      <c r="A30" s="359" t="s">
        <v>886</v>
      </c>
      <c r="B30" s="360">
        <v>0</v>
      </c>
      <c r="C30" s="360">
        <v>0</v>
      </c>
      <c r="D30" s="360">
        <v>1</v>
      </c>
      <c r="E30" s="360">
        <v>0</v>
      </c>
      <c r="F30" s="360">
        <v>0</v>
      </c>
      <c r="G30" s="360">
        <v>0</v>
      </c>
    </row>
    <row r="31" spans="1:7">
      <c r="A31" s="359" t="s">
        <v>883</v>
      </c>
      <c r="B31" s="360">
        <v>1</v>
      </c>
      <c r="C31" s="360">
        <v>2</v>
      </c>
      <c r="D31" s="360">
        <v>0</v>
      </c>
      <c r="E31" s="360">
        <v>0</v>
      </c>
      <c r="F31" s="360">
        <v>0</v>
      </c>
      <c r="G31" s="360">
        <v>0</v>
      </c>
    </row>
    <row r="32" spans="1:7">
      <c r="A32" s="359" t="s">
        <v>887</v>
      </c>
      <c r="B32" s="360">
        <v>0</v>
      </c>
      <c r="C32" s="360">
        <v>2</v>
      </c>
      <c r="D32" s="360">
        <v>0</v>
      </c>
      <c r="E32" s="360">
        <v>0</v>
      </c>
      <c r="F32" s="360">
        <v>2</v>
      </c>
      <c r="G32" s="360">
        <v>2</v>
      </c>
    </row>
    <row r="33" spans="1:13">
      <c r="A33" s="359" t="s">
        <v>884</v>
      </c>
      <c r="B33" s="360">
        <v>2</v>
      </c>
      <c r="C33" s="360">
        <v>2</v>
      </c>
      <c r="D33" s="360">
        <v>1</v>
      </c>
      <c r="E33" s="360">
        <v>0</v>
      </c>
      <c r="F33" s="360">
        <v>0</v>
      </c>
      <c r="G33" s="360">
        <v>4</v>
      </c>
    </row>
    <row r="34" spans="1:13">
      <c r="A34" s="359" t="s">
        <v>888</v>
      </c>
      <c r="B34" s="360">
        <v>1</v>
      </c>
      <c r="C34" s="360">
        <v>0</v>
      </c>
      <c r="D34" s="360">
        <v>1</v>
      </c>
      <c r="E34" s="360">
        <v>0</v>
      </c>
      <c r="F34" s="360">
        <v>0</v>
      </c>
      <c r="G34" s="360">
        <v>0</v>
      </c>
    </row>
    <row r="35" spans="1:13">
      <c r="A35" s="359" t="s">
        <v>885</v>
      </c>
      <c r="B35" s="360">
        <v>2</v>
      </c>
      <c r="C35" s="360">
        <v>4</v>
      </c>
      <c r="D35" s="360">
        <v>3</v>
      </c>
      <c r="E35" s="360">
        <v>0</v>
      </c>
      <c r="F35" s="360">
        <v>1</v>
      </c>
      <c r="G35" s="360">
        <v>6</v>
      </c>
    </row>
    <row r="36" spans="1:13">
      <c r="A36" s="359" t="s">
        <v>889</v>
      </c>
      <c r="B36" s="360">
        <v>0</v>
      </c>
      <c r="C36" s="360">
        <v>0</v>
      </c>
      <c r="D36" s="360">
        <v>0</v>
      </c>
      <c r="E36" s="360">
        <v>0</v>
      </c>
      <c r="F36" s="360">
        <v>0</v>
      </c>
      <c r="G36" s="360">
        <v>1</v>
      </c>
    </row>
    <row r="37" spans="1:13">
      <c r="A37" s="360"/>
      <c r="B37" s="360">
        <f>SUM(B29:B36)</f>
        <v>6</v>
      </c>
      <c r="C37" s="360">
        <f>SUM(C29:C36)</f>
        <v>11</v>
      </c>
      <c r="D37" s="360">
        <f>SUM(D29:D36)</f>
        <v>7</v>
      </c>
      <c r="E37" s="360">
        <f t="shared" ref="E37:G37" si="9">SUM(E29:E36)</f>
        <v>0</v>
      </c>
      <c r="F37" s="360">
        <f t="shared" si="9"/>
        <v>3</v>
      </c>
      <c r="G37" s="360">
        <f t="shared" si="9"/>
        <v>13</v>
      </c>
    </row>
    <row r="39" spans="1:13">
      <c r="A39" s="360"/>
      <c r="B39" s="559">
        <v>43831</v>
      </c>
      <c r="C39" s="560"/>
      <c r="D39" s="559">
        <v>43862</v>
      </c>
      <c r="E39" s="560"/>
      <c r="F39" s="559">
        <v>43891</v>
      </c>
      <c r="G39" s="560"/>
      <c r="H39" s="559">
        <v>43922</v>
      </c>
      <c r="I39" s="560"/>
      <c r="J39" s="559">
        <v>43952</v>
      </c>
      <c r="K39" s="560"/>
      <c r="L39" s="559">
        <v>43983</v>
      </c>
      <c r="M39" s="560"/>
    </row>
    <row r="40" spans="1:13">
      <c r="A40" s="368" t="s">
        <v>1208</v>
      </c>
      <c r="B40" s="360" t="s">
        <v>917</v>
      </c>
      <c r="C40" s="360" t="s">
        <v>1221</v>
      </c>
      <c r="D40" s="360" t="s">
        <v>917</v>
      </c>
      <c r="E40" s="360" t="s">
        <v>1221</v>
      </c>
      <c r="F40" s="360" t="s">
        <v>917</v>
      </c>
      <c r="G40" s="360" t="s">
        <v>1221</v>
      </c>
      <c r="H40" s="360" t="s">
        <v>917</v>
      </c>
      <c r="I40" s="360" t="s">
        <v>1221</v>
      </c>
      <c r="J40" s="360" t="s">
        <v>917</v>
      </c>
      <c r="K40" s="360" t="s">
        <v>1221</v>
      </c>
      <c r="L40" s="360" t="s">
        <v>917</v>
      </c>
      <c r="M40" s="360" t="s">
        <v>1221</v>
      </c>
    </row>
    <row r="41" spans="1:13">
      <c r="A41" s="371" t="s">
        <v>882</v>
      </c>
      <c r="B41" s="195">
        <v>79</v>
      </c>
      <c r="C41" s="195">
        <v>14</v>
      </c>
      <c r="D41" s="195">
        <v>79</v>
      </c>
      <c r="E41" s="195">
        <v>14</v>
      </c>
      <c r="F41" s="195">
        <v>78</v>
      </c>
      <c r="G41" s="195">
        <v>14</v>
      </c>
      <c r="H41" s="195">
        <v>78</v>
      </c>
      <c r="I41" s="195">
        <v>15</v>
      </c>
      <c r="J41" s="195">
        <v>77</v>
      </c>
      <c r="K41" s="195">
        <v>16</v>
      </c>
      <c r="L41" s="195">
        <v>77</v>
      </c>
      <c r="M41" s="195">
        <v>21</v>
      </c>
    </row>
    <row r="42" spans="1:13">
      <c r="A42" s="371" t="s">
        <v>886</v>
      </c>
      <c r="B42" s="195">
        <v>33</v>
      </c>
      <c r="C42" s="195">
        <v>4</v>
      </c>
      <c r="D42" s="195">
        <v>31</v>
      </c>
      <c r="E42" s="195">
        <v>4</v>
      </c>
      <c r="F42" s="195">
        <v>32</v>
      </c>
      <c r="G42" s="195">
        <v>4</v>
      </c>
      <c r="H42" s="195">
        <v>32</v>
      </c>
      <c r="I42" s="195">
        <v>4</v>
      </c>
      <c r="J42" s="195">
        <v>32</v>
      </c>
      <c r="K42" s="195">
        <v>4</v>
      </c>
      <c r="L42" s="195">
        <v>30</v>
      </c>
      <c r="M42" s="195">
        <v>7</v>
      </c>
    </row>
    <row r="43" spans="1:13">
      <c r="A43" s="371" t="s">
        <v>883</v>
      </c>
      <c r="B43" s="195">
        <v>66</v>
      </c>
      <c r="C43" s="195">
        <v>16</v>
      </c>
      <c r="D43" s="195">
        <v>68</v>
      </c>
      <c r="E43" s="195">
        <v>16</v>
      </c>
      <c r="F43" s="195">
        <v>68</v>
      </c>
      <c r="G43" s="195">
        <v>17</v>
      </c>
      <c r="H43" s="195">
        <v>68</v>
      </c>
      <c r="I43" s="195">
        <v>19</v>
      </c>
      <c r="J43" s="195">
        <v>66</v>
      </c>
      <c r="K43" s="195">
        <v>19</v>
      </c>
      <c r="L43" s="195">
        <v>64</v>
      </c>
      <c r="M43" s="195">
        <v>18</v>
      </c>
    </row>
    <row r="44" spans="1:13">
      <c r="A44" s="371" t="s">
        <v>887</v>
      </c>
      <c r="B44" s="195">
        <v>66</v>
      </c>
      <c r="C44" s="195">
        <v>12</v>
      </c>
      <c r="D44" s="195">
        <v>65</v>
      </c>
      <c r="E44" s="195">
        <v>11</v>
      </c>
      <c r="F44" s="195">
        <v>64</v>
      </c>
      <c r="G44" s="195">
        <v>12</v>
      </c>
      <c r="H44" s="195">
        <v>63</v>
      </c>
      <c r="I44" s="195">
        <v>11</v>
      </c>
      <c r="J44" s="195">
        <v>65</v>
      </c>
      <c r="K44" s="195">
        <v>10</v>
      </c>
      <c r="L44" s="195">
        <v>66</v>
      </c>
      <c r="M44" s="195">
        <v>12</v>
      </c>
    </row>
    <row r="45" spans="1:13">
      <c r="A45" s="371" t="s">
        <v>884</v>
      </c>
      <c r="B45" s="195">
        <v>139</v>
      </c>
      <c r="C45" s="195">
        <v>29</v>
      </c>
      <c r="D45" s="195">
        <v>139</v>
      </c>
      <c r="E45" s="195">
        <v>29</v>
      </c>
      <c r="F45" s="195">
        <v>140</v>
      </c>
      <c r="G45" s="195">
        <v>30</v>
      </c>
      <c r="H45" s="195">
        <v>138</v>
      </c>
      <c r="I45" s="195">
        <v>32</v>
      </c>
      <c r="J45" s="195">
        <v>136</v>
      </c>
      <c r="K45" s="195">
        <v>33</v>
      </c>
      <c r="L45" s="195">
        <v>136</v>
      </c>
      <c r="M45" s="195">
        <v>38</v>
      </c>
    </row>
    <row r="46" spans="1:13">
      <c r="A46" s="371" t="s">
        <v>888</v>
      </c>
      <c r="B46" s="195">
        <v>40</v>
      </c>
      <c r="C46" s="195">
        <v>8</v>
      </c>
      <c r="D46" s="195">
        <v>38</v>
      </c>
      <c r="E46" s="195">
        <v>7</v>
      </c>
      <c r="F46" s="195">
        <v>39</v>
      </c>
      <c r="G46" s="195">
        <v>7</v>
      </c>
      <c r="H46" s="195">
        <v>39</v>
      </c>
      <c r="I46" s="195">
        <v>7</v>
      </c>
      <c r="J46" s="195">
        <v>38</v>
      </c>
      <c r="K46" s="195">
        <v>7</v>
      </c>
      <c r="L46" s="195">
        <v>38</v>
      </c>
      <c r="M46" s="195">
        <v>11</v>
      </c>
    </row>
    <row r="47" spans="1:13">
      <c r="A47" s="371" t="s">
        <v>885</v>
      </c>
      <c r="B47" s="195">
        <v>26</v>
      </c>
      <c r="C47" s="195">
        <v>1</v>
      </c>
      <c r="D47" s="195">
        <v>28</v>
      </c>
      <c r="E47" s="195">
        <v>0</v>
      </c>
      <c r="F47" s="195">
        <v>31</v>
      </c>
      <c r="G47" s="195">
        <v>1</v>
      </c>
      <c r="H47" s="195">
        <v>31</v>
      </c>
      <c r="I47" s="195">
        <v>1</v>
      </c>
      <c r="J47" s="195">
        <v>32</v>
      </c>
      <c r="K47" s="195">
        <v>2</v>
      </c>
      <c r="L47" s="195">
        <v>37</v>
      </c>
      <c r="M47" s="195">
        <v>3</v>
      </c>
    </row>
    <row r="48" spans="1:13">
      <c r="A48" s="371" t="s">
        <v>889</v>
      </c>
      <c r="B48" s="195">
        <v>24</v>
      </c>
      <c r="C48" s="195">
        <v>0</v>
      </c>
      <c r="D48" s="195">
        <v>24</v>
      </c>
      <c r="E48" s="195">
        <v>0</v>
      </c>
      <c r="F48" s="195">
        <v>24</v>
      </c>
      <c r="G48" s="195">
        <v>0</v>
      </c>
      <c r="H48" s="195">
        <v>24</v>
      </c>
      <c r="I48" s="195">
        <v>0</v>
      </c>
      <c r="J48" s="195">
        <v>24</v>
      </c>
      <c r="K48" s="195">
        <v>0</v>
      </c>
      <c r="L48" s="195">
        <v>25</v>
      </c>
      <c r="M48" s="195">
        <v>0</v>
      </c>
    </row>
    <row r="49" spans="1:13">
      <c r="A49" s="195"/>
      <c r="B49" s="195">
        <f>SUM(B41:B48)</f>
        <v>473</v>
      </c>
      <c r="C49" s="195">
        <f t="shared" ref="C49:M49" si="10">SUM(C41:C48)</f>
        <v>84</v>
      </c>
      <c r="D49" s="195">
        <f t="shared" si="10"/>
        <v>472</v>
      </c>
      <c r="E49" s="195">
        <f t="shared" si="10"/>
        <v>81</v>
      </c>
      <c r="F49" s="195">
        <f t="shared" si="10"/>
        <v>476</v>
      </c>
      <c r="G49" s="195">
        <f t="shared" si="10"/>
        <v>85</v>
      </c>
      <c r="H49" s="195">
        <f t="shared" si="10"/>
        <v>473</v>
      </c>
      <c r="I49" s="195">
        <f t="shared" si="10"/>
        <v>89</v>
      </c>
      <c r="J49" s="195">
        <f t="shared" si="10"/>
        <v>470</v>
      </c>
      <c r="K49" s="195">
        <f t="shared" si="10"/>
        <v>91</v>
      </c>
      <c r="L49" s="195">
        <f>SUM(L41:L48)</f>
        <v>473</v>
      </c>
      <c r="M49" s="195">
        <f t="shared" si="10"/>
        <v>110</v>
      </c>
    </row>
    <row r="51" spans="1:13">
      <c r="A51" s="360"/>
      <c r="B51" s="559">
        <v>43831</v>
      </c>
      <c r="C51" s="560"/>
      <c r="D51" s="559">
        <v>43862</v>
      </c>
      <c r="E51" s="560"/>
      <c r="F51" s="559">
        <v>43891</v>
      </c>
      <c r="G51" s="560"/>
      <c r="H51" s="559">
        <v>43922</v>
      </c>
      <c r="I51" s="560"/>
      <c r="J51" s="559">
        <v>43952</v>
      </c>
      <c r="K51" s="560"/>
      <c r="L51" s="559">
        <v>43983</v>
      </c>
      <c r="M51" s="560"/>
    </row>
    <row r="52" spans="1:13">
      <c r="A52" s="368" t="s">
        <v>1208</v>
      </c>
      <c r="B52" s="360" t="s">
        <v>1222</v>
      </c>
      <c r="C52" s="360" t="s">
        <v>1223</v>
      </c>
      <c r="D52" s="360" t="s">
        <v>1222</v>
      </c>
      <c r="E52" s="360" t="s">
        <v>1223</v>
      </c>
      <c r="F52" s="360" t="s">
        <v>1222</v>
      </c>
      <c r="G52" s="360" t="s">
        <v>1223</v>
      </c>
      <c r="H52" s="360" t="s">
        <v>1222</v>
      </c>
      <c r="I52" s="360" t="s">
        <v>1223</v>
      </c>
      <c r="J52" s="360" t="s">
        <v>1222</v>
      </c>
      <c r="K52" s="360" t="s">
        <v>1223</v>
      </c>
      <c r="L52" s="360" t="s">
        <v>1222</v>
      </c>
      <c r="M52" s="360" t="s">
        <v>1223</v>
      </c>
    </row>
    <row r="53" spans="1:13">
      <c r="A53" s="359" t="s">
        <v>882</v>
      </c>
      <c r="B53" s="370">
        <v>7734259.7699999996</v>
      </c>
      <c r="C53" s="370">
        <v>2348890.7200000002</v>
      </c>
      <c r="D53" s="370">
        <v>7841204.9800000004</v>
      </c>
      <c r="E53" s="370">
        <v>2403246.2400000002</v>
      </c>
      <c r="F53" s="370">
        <v>7799279.4900000002</v>
      </c>
      <c r="G53" s="370">
        <v>2421946.4300000002</v>
      </c>
      <c r="H53" s="370">
        <v>7819891.2199999997</v>
      </c>
      <c r="I53" s="370">
        <v>2555041.7400000002</v>
      </c>
      <c r="J53" s="370">
        <v>7712945.5300000003</v>
      </c>
      <c r="K53" s="370">
        <v>2695231.99</v>
      </c>
      <c r="L53" s="369">
        <v>7656248.0599999987</v>
      </c>
      <c r="M53" s="369">
        <v>3139651.68</v>
      </c>
    </row>
    <row r="54" spans="1:13">
      <c r="A54" s="359" t="s">
        <v>886</v>
      </c>
      <c r="B54" s="370">
        <v>2632286.5699999998</v>
      </c>
      <c r="C54" s="370">
        <v>414217.48</v>
      </c>
      <c r="D54" s="370">
        <v>2639196.09</v>
      </c>
      <c r="E54" s="370">
        <v>423182.23</v>
      </c>
      <c r="F54" s="370">
        <v>2670211.33</v>
      </c>
      <c r="G54" s="370">
        <v>428406.29</v>
      </c>
      <c r="H54" s="370">
        <v>2668041.4300000002</v>
      </c>
      <c r="I54" s="370">
        <v>433826.03</v>
      </c>
      <c r="J54" s="370">
        <v>2622190.5099999998</v>
      </c>
      <c r="K54" s="370">
        <v>438556.67</v>
      </c>
      <c r="L54" s="369">
        <v>2485223.4099999997</v>
      </c>
      <c r="M54" s="369">
        <v>616312.30000000005</v>
      </c>
    </row>
    <row r="55" spans="1:13">
      <c r="A55" s="359" t="s">
        <v>883</v>
      </c>
      <c r="B55" s="370">
        <v>7023702.7199999997</v>
      </c>
      <c r="C55" s="370">
        <v>2466994.29</v>
      </c>
      <c r="D55" s="370">
        <v>7340999.6600000001</v>
      </c>
      <c r="E55" s="370">
        <v>2524978.88</v>
      </c>
      <c r="F55" s="370">
        <v>7290076.6600000001</v>
      </c>
      <c r="G55" s="370">
        <v>2609877.08</v>
      </c>
      <c r="H55" s="370">
        <v>7295204.4800000004</v>
      </c>
      <c r="I55" s="370">
        <v>2802016.89</v>
      </c>
      <c r="J55" s="370">
        <v>7125405.79</v>
      </c>
      <c r="K55" s="370">
        <v>2825491.36</v>
      </c>
      <c r="L55" s="369">
        <v>6906124.29</v>
      </c>
      <c r="M55" s="369">
        <v>2717606.3000000007</v>
      </c>
    </row>
    <row r="56" spans="1:13">
      <c r="A56" s="359" t="s">
        <v>887</v>
      </c>
      <c r="B56" s="370">
        <v>5473793.0999999996</v>
      </c>
      <c r="C56" s="370">
        <v>1401188.58</v>
      </c>
      <c r="D56" s="370">
        <v>5706848.0899999999</v>
      </c>
      <c r="E56" s="370">
        <v>1419667.15</v>
      </c>
      <c r="F56" s="370">
        <v>5596457.2999999998</v>
      </c>
      <c r="G56" s="370">
        <v>1517695.25</v>
      </c>
      <c r="H56" s="370">
        <v>5608727.4199999999</v>
      </c>
      <c r="I56" s="370">
        <v>1460652.16</v>
      </c>
      <c r="J56" s="370">
        <v>5826411.5</v>
      </c>
      <c r="K56" s="370">
        <v>1367959.74</v>
      </c>
      <c r="L56" s="369">
        <v>5890058.8299999982</v>
      </c>
      <c r="M56" s="369">
        <v>1573733.12</v>
      </c>
    </row>
    <row r="57" spans="1:13">
      <c r="A57" s="359" t="s">
        <v>884</v>
      </c>
      <c r="B57" s="370">
        <v>16448006.210000001</v>
      </c>
      <c r="C57" s="370">
        <v>4941515.91</v>
      </c>
      <c r="D57" s="370">
        <v>16548389.619999999</v>
      </c>
      <c r="E57" s="370">
        <v>4969567.08</v>
      </c>
      <c r="F57" s="370">
        <v>16521584.73</v>
      </c>
      <c r="G57" s="370">
        <v>5082943.53</v>
      </c>
      <c r="H57" s="370">
        <v>16502778.189999999</v>
      </c>
      <c r="I57" s="370">
        <v>5389687.4400000004</v>
      </c>
      <c r="J57" s="370">
        <v>16290719.92</v>
      </c>
      <c r="K57" s="370">
        <v>5483785.7400000002</v>
      </c>
      <c r="L57" s="369">
        <v>16425222.200000003</v>
      </c>
      <c r="M57" s="369">
        <v>6126148.799999998</v>
      </c>
    </row>
    <row r="58" spans="1:13">
      <c r="A58" s="359" t="s">
        <v>888</v>
      </c>
      <c r="B58" s="370">
        <v>3979451.15</v>
      </c>
      <c r="C58" s="370">
        <v>1084312.3400000001</v>
      </c>
      <c r="D58" s="370">
        <v>3912099.99</v>
      </c>
      <c r="E58" s="370">
        <v>1015925.76</v>
      </c>
      <c r="F58" s="370">
        <v>3971386.09</v>
      </c>
      <c r="G58" s="370">
        <v>1017581.94</v>
      </c>
      <c r="H58" s="370">
        <v>3975834.66</v>
      </c>
      <c r="I58" s="370">
        <v>1030074.86</v>
      </c>
      <c r="J58" s="370">
        <v>3848905.09</v>
      </c>
      <c r="K58" s="370">
        <v>1056645.3700000001</v>
      </c>
      <c r="L58" s="369">
        <v>3823871.71</v>
      </c>
      <c r="M58" s="369">
        <v>1577866.1199999996</v>
      </c>
    </row>
    <row r="59" spans="1:13">
      <c r="A59" s="359" t="s">
        <v>885</v>
      </c>
      <c r="B59" s="370">
        <v>2522217.25</v>
      </c>
      <c r="C59" s="370">
        <v>123950.63</v>
      </c>
      <c r="D59" s="370">
        <v>2763275.05</v>
      </c>
      <c r="E59" s="195" t="s">
        <v>1224</v>
      </c>
      <c r="F59" s="370">
        <v>3079515.58</v>
      </c>
      <c r="G59" s="370">
        <v>129924.45</v>
      </c>
      <c r="H59" s="370">
        <v>3057430.67</v>
      </c>
      <c r="I59" s="370">
        <v>131555.48000000001</v>
      </c>
      <c r="J59" s="370">
        <v>3194191.99</v>
      </c>
      <c r="K59" s="370">
        <v>240161.09</v>
      </c>
      <c r="L59" s="369">
        <v>3623502.4799999995</v>
      </c>
      <c r="M59" s="369">
        <v>342117.51</v>
      </c>
    </row>
    <row r="60" spans="1:13">
      <c r="A60" s="359" t="s">
        <v>889</v>
      </c>
      <c r="B60" s="370">
        <v>2432508.7000000002</v>
      </c>
      <c r="C60" s="360">
        <v>0</v>
      </c>
      <c r="D60" s="370">
        <v>2439567.64</v>
      </c>
      <c r="E60" s="195" t="s">
        <v>1224</v>
      </c>
      <c r="F60" s="370">
        <v>2412075.98</v>
      </c>
      <c r="G60" s="360" t="s">
        <v>1224</v>
      </c>
      <c r="H60" s="370">
        <v>2422815.77</v>
      </c>
      <c r="I60" s="360" t="s">
        <v>1225</v>
      </c>
      <c r="J60" s="370">
        <v>2386749.16</v>
      </c>
      <c r="K60" s="360" t="s">
        <v>1225</v>
      </c>
      <c r="L60" s="369">
        <v>2463001.9900000002</v>
      </c>
      <c r="M60" s="369">
        <v>0</v>
      </c>
    </row>
    <row r="61" spans="1:13">
      <c r="B61" s="168">
        <f>SUM(B53:B60)</f>
        <v>48246225.469999999</v>
      </c>
      <c r="C61" s="168">
        <f>SUM(C53:C60)</f>
        <v>12781069.950000001</v>
      </c>
      <c r="D61" s="168">
        <f>SUM(D53:D60)</f>
        <v>49191581.119999997</v>
      </c>
      <c r="E61" s="168">
        <f>SUM(E53:E60)</f>
        <v>12756567.34</v>
      </c>
      <c r="F61" s="168">
        <f>SUM(F53:F60)</f>
        <v>49340587.160000004</v>
      </c>
      <c r="G61" s="168">
        <f t="shared" ref="G61:M61" si="11">SUM(G53:G60)</f>
        <v>13208374.970000001</v>
      </c>
      <c r="H61" s="168">
        <f t="shared" si="11"/>
        <v>49350723.840000011</v>
      </c>
      <c r="I61" s="168">
        <f t="shared" si="11"/>
        <v>13802854.600000001</v>
      </c>
      <c r="J61" s="168">
        <f t="shared" si="11"/>
        <v>49007519.49000001</v>
      </c>
      <c r="K61" s="168">
        <f t="shared" si="11"/>
        <v>14107831.960000001</v>
      </c>
      <c r="L61" s="168">
        <f t="shared" si="11"/>
        <v>49273252.969999999</v>
      </c>
      <c r="M61" s="168">
        <f t="shared" si="11"/>
        <v>16093435.829999998</v>
      </c>
    </row>
  </sheetData>
  <mergeCells count="17">
    <mergeCell ref="L39:M39"/>
    <mergeCell ref="B51:C51"/>
    <mergeCell ref="D51:E51"/>
    <mergeCell ref="F51:G51"/>
    <mergeCell ref="H51:I51"/>
    <mergeCell ref="J51:K51"/>
    <mergeCell ref="L51:M51"/>
    <mergeCell ref="B39:C39"/>
    <mergeCell ref="D39:E39"/>
    <mergeCell ref="F39:G39"/>
    <mergeCell ref="H39:I39"/>
    <mergeCell ref="J39:K39"/>
    <mergeCell ref="P1:Q1"/>
    <mergeCell ref="M1:O1"/>
    <mergeCell ref="G1:L1"/>
    <mergeCell ref="E1:F1"/>
    <mergeCell ref="A1:D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6"/>
  <dimension ref="A1:G529"/>
  <sheetViews>
    <sheetView topLeftCell="A52" zoomScale="80" zoomScaleNormal="80" workbookViewId="0">
      <selection activeCell="A2" sqref="A2:A74"/>
    </sheetView>
  </sheetViews>
  <sheetFormatPr defaultColWidth="8.85546875" defaultRowHeight="15"/>
  <cols>
    <col min="2" max="2" width="45.28515625" bestFit="1" customWidth="1"/>
    <col min="3" max="3" width="8" bestFit="1" customWidth="1"/>
    <col min="4" max="4" width="8.28515625" bestFit="1" customWidth="1"/>
    <col min="5" max="5" width="46.42578125" bestFit="1" customWidth="1"/>
    <col min="6" max="6" width="38.140625" bestFit="1" customWidth="1"/>
    <col min="7" max="7" width="13.7109375" customWidth="1"/>
  </cols>
  <sheetData>
    <row r="1" spans="1:7" ht="30">
      <c r="B1" s="1" t="s">
        <v>3</v>
      </c>
      <c r="C1" s="2" t="s">
        <v>22</v>
      </c>
      <c r="D1" s="2" t="s">
        <v>23</v>
      </c>
      <c r="E1" s="351" t="s">
        <v>6</v>
      </c>
      <c r="F1" s="4" t="s">
        <v>32</v>
      </c>
      <c r="G1" s="4" t="s">
        <v>652</v>
      </c>
    </row>
    <row r="2" spans="1:7">
      <c r="A2" t="str">
        <f>CONCATENATE(B2,C2,D2)</f>
        <v>LONDRINA [ETAPA 01 - CONDOMINIO ARAÇARI]XXV - A26</v>
      </c>
      <c r="B2" s="348" t="s">
        <v>34</v>
      </c>
      <c r="C2" s="224" t="s">
        <v>1076</v>
      </c>
      <c r="D2" s="225">
        <v>26</v>
      </c>
      <c r="E2" s="392" t="s">
        <v>178</v>
      </c>
      <c r="F2" s="233" t="s">
        <v>1095</v>
      </c>
      <c r="G2" s="222">
        <v>26820.81</v>
      </c>
    </row>
    <row r="3" spans="1:7">
      <c r="A3" t="str">
        <f t="shared" ref="A3:A66" si="0">CONCATENATE(B3,C3,D3)</f>
        <v>LONDRINA [ETAPA 02 - AREAS EXTERNAS G2 - G6]XVIII - A1</v>
      </c>
      <c r="B3" s="348" t="s">
        <v>38</v>
      </c>
      <c r="C3" s="224" t="s">
        <v>1077</v>
      </c>
      <c r="D3" s="225">
        <v>1</v>
      </c>
      <c r="E3" s="221" t="s">
        <v>375</v>
      </c>
      <c r="F3" s="233" t="s">
        <v>1279</v>
      </c>
      <c r="G3" s="222">
        <v>121133.83</v>
      </c>
    </row>
    <row r="4" spans="1:7">
      <c r="A4" t="str">
        <f t="shared" si="0"/>
        <v>LONDRINA [ETAPA 02 - CONDOMINIO TANGARA]XXXII23</v>
      </c>
      <c r="B4" s="227" t="s">
        <v>35</v>
      </c>
      <c r="C4" s="224" t="s">
        <v>518</v>
      </c>
      <c r="D4" s="225">
        <v>23</v>
      </c>
      <c r="E4" s="392" t="s">
        <v>158</v>
      </c>
      <c r="F4" s="233" t="s">
        <v>1040</v>
      </c>
      <c r="G4" s="222">
        <v>143969.94</v>
      </c>
    </row>
    <row r="5" spans="1:7">
      <c r="A5" t="str">
        <f t="shared" si="0"/>
        <v>LONDRINA [ETAPA 02 - AREAS EXTERNAS G2 - G6]VIII19</v>
      </c>
      <c r="B5" s="348" t="s">
        <v>38</v>
      </c>
      <c r="C5" s="224" t="s">
        <v>533</v>
      </c>
      <c r="D5" s="225">
        <v>19</v>
      </c>
      <c r="E5" s="221" t="s">
        <v>94</v>
      </c>
      <c r="F5" s="233" t="s">
        <v>1007</v>
      </c>
      <c r="G5" s="222">
        <v>170927.74</v>
      </c>
    </row>
    <row r="6" spans="1:7">
      <c r="A6" t="str">
        <f t="shared" si="0"/>
        <v>LONDRINA [ETAPA 02 - AREAS EXTERNAS G2 - G6]XII14</v>
      </c>
      <c r="B6" s="348" t="s">
        <v>38</v>
      </c>
      <c r="C6" s="224" t="s">
        <v>510</v>
      </c>
      <c r="D6" s="225">
        <v>14</v>
      </c>
      <c r="E6" s="392" t="s">
        <v>75</v>
      </c>
      <c r="F6" s="233" t="s">
        <v>835</v>
      </c>
      <c r="G6" s="222">
        <v>50000</v>
      </c>
    </row>
    <row r="7" spans="1:7">
      <c r="A7" t="str">
        <f t="shared" si="0"/>
        <v>LONDRINA [ETAPA 02 - CONDOMINIO TANGARA]XXXII4</v>
      </c>
      <c r="B7" s="348" t="s">
        <v>35</v>
      </c>
      <c r="C7" s="224" t="s">
        <v>518</v>
      </c>
      <c r="D7" s="225">
        <v>4</v>
      </c>
      <c r="E7" s="221" t="s">
        <v>349</v>
      </c>
      <c r="F7" s="233" t="s">
        <v>1007</v>
      </c>
      <c r="G7" s="222">
        <v>110347.23</v>
      </c>
    </row>
    <row r="8" spans="1:7">
      <c r="A8" t="str">
        <f t="shared" si="0"/>
        <v>LONDRINA [ETAPA 03 - CONDOMINIO ARANGUA]XXXVIII41</v>
      </c>
      <c r="B8" s="348" t="s">
        <v>33</v>
      </c>
      <c r="C8" s="224" t="s">
        <v>531</v>
      </c>
      <c r="D8" s="225">
        <v>41</v>
      </c>
      <c r="E8" s="221" t="s">
        <v>174</v>
      </c>
      <c r="F8" s="233" t="s">
        <v>1007</v>
      </c>
      <c r="G8" s="222">
        <v>137991.62</v>
      </c>
    </row>
    <row r="9" spans="1:7">
      <c r="A9" t="str">
        <f t="shared" si="0"/>
        <v>LONDRINA [ETAPA 02 - CONDOMINIO TANGARA]XXX28</v>
      </c>
      <c r="B9" s="348" t="s">
        <v>35</v>
      </c>
      <c r="C9" s="224" t="s">
        <v>517</v>
      </c>
      <c r="D9" s="225">
        <v>28</v>
      </c>
      <c r="E9" s="221" t="s">
        <v>266</v>
      </c>
      <c r="F9" s="233" t="s">
        <v>1007</v>
      </c>
      <c r="G9" s="222">
        <v>64816.94</v>
      </c>
    </row>
    <row r="10" spans="1:7">
      <c r="A10" t="str">
        <f t="shared" si="0"/>
        <v>LONDRINA [ETAPA 01 - CONDOMINIO ARAÇARI]XXI30</v>
      </c>
      <c r="B10" s="348" t="s">
        <v>34</v>
      </c>
      <c r="C10" s="224" t="s">
        <v>505</v>
      </c>
      <c r="D10" s="225">
        <v>30</v>
      </c>
      <c r="E10" s="392" t="s">
        <v>82</v>
      </c>
      <c r="F10" s="233" t="s">
        <v>835</v>
      </c>
      <c r="G10" s="222">
        <v>65496.06</v>
      </c>
    </row>
    <row r="11" spans="1:7">
      <c r="A11" t="str">
        <f t="shared" si="0"/>
        <v>LONDRINA [ETAPA 01 - CONDOMINIO ARAÇARI]XXV - A15</v>
      </c>
      <c r="B11" s="348" t="s">
        <v>34</v>
      </c>
      <c r="C11" s="224" t="s">
        <v>1076</v>
      </c>
      <c r="D11" s="225">
        <v>15</v>
      </c>
      <c r="E11" s="392" t="s">
        <v>71</v>
      </c>
      <c r="F11" s="233" t="s">
        <v>835</v>
      </c>
      <c r="G11" s="222">
        <v>71698.31</v>
      </c>
    </row>
    <row r="12" spans="1:7">
      <c r="A12" t="str">
        <f t="shared" si="0"/>
        <v>LONDRINA [ETAPA 02 - CONDOMINIO TANGARA]XXXIII25</v>
      </c>
      <c r="B12" s="348" t="s">
        <v>35</v>
      </c>
      <c r="C12" s="224" t="s">
        <v>519</v>
      </c>
      <c r="D12" s="225">
        <v>25</v>
      </c>
      <c r="E12" s="221" t="s">
        <v>260</v>
      </c>
      <c r="F12" s="233" t="s">
        <v>1007</v>
      </c>
      <c r="G12" s="222">
        <v>69612.160000000003</v>
      </c>
    </row>
    <row r="13" spans="1:7">
      <c r="A13" t="str">
        <f t="shared" si="0"/>
        <v>LONDRINA [ETAPA 02 - CONDOMINIO TANGARA]XXVIII12</v>
      </c>
      <c r="B13" s="348" t="s">
        <v>35</v>
      </c>
      <c r="C13" s="224" t="s">
        <v>516</v>
      </c>
      <c r="D13" s="225">
        <v>12</v>
      </c>
      <c r="E13" s="392" t="s">
        <v>402</v>
      </c>
      <c r="F13" s="233" t="s">
        <v>835</v>
      </c>
      <c r="G13" s="222">
        <v>77076.960000000006</v>
      </c>
    </row>
    <row r="14" spans="1:7">
      <c r="A14" t="str">
        <f t="shared" si="0"/>
        <v>LONDRINA [ETAPA 01 - CONDOMINIO ARAÇARI]XXV - A27</v>
      </c>
      <c r="B14" s="348" t="s">
        <v>34</v>
      </c>
      <c r="C14" s="224" t="s">
        <v>1076</v>
      </c>
      <c r="D14" s="225">
        <v>27</v>
      </c>
      <c r="E14" s="221" t="s">
        <v>266</v>
      </c>
      <c r="F14" s="233" t="s">
        <v>1007</v>
      </c>
      <c r="G14" s="222">
        <v>69549.25</v>
      </c>
    </row>
    <row r="15" spans="1:7">
      <c r="A15" t="str">
        <f t="shared" si="0"/>
        <v>LONDRINA [ETAPA 01 - CONDOMINIO ARAÇARI]XXV - A28</v>
      </c>
      <c r="B15" s="348" t="s">
        <v>34</v>
      </c>
      <c r="C15" s="224" t="s">
        <v>1076</v>
      </c>
      <c r="D15" s="225">
        <v>28</v>
      </c>
      <c r="E15" s="221" t="s">
        <v>266</v>
      </c>
      <c r="F15" s="233" t="s">
        <v>1007</v>
      </c>
      <c r="G15" s="222">
        <v>77781.52</v>
      </c>
    </row>
    <row r="16" spans="1:7">
      <c r="A16" t="str">
        <f t="shared" si="0"/>
        <v>LONDRINA [ETAPA 03 - CONDOMINIO ARANGUA]XXXIX31</v>
      </c>
      <c r="B16" s="348" t="s">
        <v>33</v>
      </c>
      <c r="C16" s="224" t="s">
        <v>527</v>
      </c>
      <c r="D16" s="225">
        <v>31</v>
      </c>
      <c r="E16" s="221" t="s">
        <v>277</v>
      </c>
      <c r="F16" s="233" t="s">
        <v>1008</v>
      </c>
      <c r="G16" s="222">
        <v>95064.1</v>
      </c>
    </row>
    <row r="17" spans="1:7">
      <c r="A17" t="str">
        <f t="shared" si="0"/>
        <v>LONDRINA [ETAPA 03 - CONDOMINIO ARANGUA]XL9</v>
      </c>
      <c r="B17" s="348" t="s">
        <v>33</v>
      </c>
      <c r="C17" s="224" t="s">
        <v>523</v>
      </c>
      <c r="D17" s="225">
        <v>9</v>
      </c>
      <c r="E17" s="392" t="s">
        <v>70</v>
      </c>
      <c r="F17" s="233" t="s">
        <v>835</v>
      </c>
      <c r="G17" s="222">
        <v>256103.93</v>
      </c>
    </row>
    <row r="18" spans="1:7">
      <c r="A18" t="str">
        <f t="shared" si="0"/>
        <v>LONDRINA [ETAPA 03 - CONDOMINIO ARANGUA]XL10</v>
      </c>
      <c r="B18" s="348" t="s">
        <v>33</v>
      </c>
      <c r="C18" s="224" t="s">
        <v>523</v>
      </c>
      <c r="D18" s="225">
        <v>10</v>
      </c>
      <c r="E18" s="392" t="s">
        <v>70</v>
      </c>
      <c r="F18" s="233" t="s">
        <v>835</v>
      </c>
      <c r="G18" s="222" t="s">
        <v>1067</v>
      </c>
    </row>
    <row r="19" spans="1:7">
      <c r="A19" t="str">
        <f t="shared" si="0"/>
        <v>LONDRINA [ETAPA 03 - CONDOMINIO ARANGUA]XL11</v>
      </c>
      <c r="B19" s="348" t="s">
        <v>33</v>
      </c>
      <c r="C19" s="224" t="s">
        <v>523</v>
      </c>
      <c r="D19" s="225">
        <v>11</v>
      </c>
      <c r="E19" s="392" t="s">
        <v>70</v>
      </c>
      <c r="F19" s="233" t="s">
        <v>835</v>
      </c>
      <c r="G19" s="222" t="s">
        <v>1067</v>
      </c>
    </row>
    <row r="20" spans="1:7">
      <c r="A20" t="str">
        <f t="shared" si="0"/>
        <v>LONDRINA [ETAPA 03 - CONDOMINIO ARANGUA]XXXV2</v>
      </c>
      <c r="B20" s="348" t="s">
        <v>33</v>
      </c>
      <c r="C20" s="224" t="s">
        <v>528</v>
      </c>
      <c r="D20" s="225">
        <v>2</v>
      </c>
      <c r="E20" s="221" t="s">
        <v>439</v>
      </c>
      <c r="F20" s="233" t="s">
        <v>1008</v>
      </c>
      <c r="G20" s="222">
        <v>65336</v>
      </c>
    </row>
    <row r="21" spans="1:7">
      <c r="A21" t="str">
        <f t="shared" si="0"/>
        <v>LONDRINA [ETAPA 01 - CONDOMINIO ARAÇARI]XXI1</v>
      </c>
      <c r="B21" s="348" t="s">
        <v>34</v>
      </c>
      <c r="C21" s="224" t="s">
        <v>505</v>
      </c>
      <c r="D21" s="225">
        <v>1</v>
      </c>
      <c r="E21" s="221" t="s">
        <v>222</v>
      </c>
      <c r="F21" s="233" t="s">
        <v>1041</v>
      </c>
      <c r="G21" s="222">
        <v>137577.57</v>
      </c>
    </row>
    <row r="22" spans="1:7">
      <c r="A22" t="str">
        <f t="shared" si="0"/>
        <v>LONDRINA [ETAPA 03 - CONDOMINIO ARANGUA]XXXVIII6</v>
      </c>
      <c r="B22" s="348" t="s">
        <v>33</v>
      </c>
      <c r="C22" s="224" t="s">
        <v>531</v>
      </c>
      <c r="D22" s="225">
        <v>6</v>
      </c>
      <c r="E22" s="392" t="s">
        <v>194</v>
      </c>
      <c r="F22" s="233" t="s">
        <v>835</v>
      </c>
      <c r="G22" s="222">
        <v>29748.43</v>
      </c>
    </row>
    <row r="23" spans="1:7">
      <c r="A23" t="str">
        <f t="shared" si="0"/>
        <v>LONDRINA [ETAPA 01 - CONDOMINIO ARAÇARI]XXV26</v>
      </c>
      <c r="B23" s="348" t="s">
        <v>34</v>
      </c>
      <c r="C23" s="224" t="s">
        <v>509</v>
      </c>
      <c r="D23" s="225">
        <v>26</v>
      </c>
      <c r="E23" s="221" t="s">
        <v>366</v>
      </c>
      <c r="F23" s="233" t="s">
        <v>1280</v>
      </c>
      <c r="G23" s="222">
        <v>39230.69</v>
      </c>
    </row>
    <row r="24" spans="1:7">
      <c r="A24" t="str">
        <f t="shared" si="0"/>
        <v>LONDRINA [ETAPA 02 - CONDOMINIO TANGARA]XXX1</v>
      </c>
      <c r="B24" s="348" t="s">
        <v>35</v>
      </c>
      <c r="C24" s="224" t="s">
        <v>517</v>
      </c>
      <c r="D24" s="225">
        <v>1</v>
      </c>
      <c r="E24" s="392" t="s">
        <v>219</v>
      </c>
      <c r="F24" s="233" t="s">
        <v>835</v>
      </c>
      <c r="G24" s="222">
        <v>96246.03</v>
      </c>
    </row>
    <row r="25" spans="1:7">
      <c r="A25" t="str">
        <f t="shared" si="0"/>
        <v>LONDRINA [ETAPA 03 - AREAS EXTERNAS G3 - G7]XIII13</v>
      </c>
      <c r="B25" s="348" t="s">
        <v>36</v>
      </c>
      <c r="C25" s="224" t="s">
        <v>521</v>
      </c>
      <c r="D25" s="225">
        <v>13</v>
      </c>
      <c r="E25" s="221" t="s">
        <v>404</v>
      </c>
      <c r="F25" s="233" t="s">
        <v>1007</v>
      </c>
      <c r="G25" s="222">
        <v>57013.43</v>
      </c>
    </row>
    <row r="26" spans="1:7">
      <c r="A26" t="str">
        <f t="shared" si="0"/>
        <v>LONDRINA [ETAPA 03 - AREAS EXTERNAS G3 - G7]XIII14</v>
      </c>
      <c r="B26" s="348" t="s">
        <v>36</v>
      </c>
      <c r="C26" s="224" t="s">
        <v>521</v>
      </c>
      <c r="D26" s="225">
        <v>14</v>
      </c>
      <c r="E26" s="221" t="s">
        <v>404</v>
      </c>
      <c r="F26" s="233" t="s">
        <v>1007</v>
      </c>
      <c r="G26" s="222">
        <v>57013.43</v>
      </c>
    </row>
    <row r="27" spans="1:7">
      <c r="A27" t="str">
        <f t="shared" si="0"/>
        <v>LONDRINA [ETAPA 03 - CONDOMINIO ARANGUA]XXXVII15</v>
      </c>
      <c r="B27" s="348" t="s">
        <v>33</v>
      </c>
      <c r="C27" s="224" t="s">
        <v>530</v>
      </c>
      <c r="D27" s="225">
        <v>15</v>
      </c>
      <c r="E27" s="221" t="s">
        <v>401</v>
      </c>
      <c r="F27" s="233" t="s">
        <v>1008</v>
      </c>
      <c r="G27" s="279">
        <v>24333.8</v>
      </c>
    </row>
    <row r="28" spans="1:7">
      <c r="A28" t="str">
        <f t="shared" si="0"/>
        <v>LONDRINA [ETAPA 03 - CONDOMINIO ARANGUA]XXXVII16</v>
      </c>
      <c r="B28" s="348" t="s">
        <v>33</v>
      </c>
      <c r="C28" s="224" t="s">
        <v>530</v>
      </c>
      <c r="D28" s="225">
        <v>16</v>
      </c>
      <c r="E28" s="221" t="s">
        <v>401</v>
      </c>
      <c r="F28" s="233" t="s">
        <v>1008</v>
      </c>
      <c r="G28" s="355">
        <v>24274.16</v>
      </c>
    </row>
    <row r="29" spans="1:7">
      <c r="A29" t="str">
        <f t="shared" si="0"/>
        <v>LONDRINA [ETAPA 03 - CONDOMINIO ARANGUA]XLII11</v>
      </c>
      <c r="B29" s="348" t="s">
        <v>33</v>
      </c>
      <c r="C29" s="224" t="s">
        <v>525</v>
      </c>
      <c r="D29" s="225">
        <v>11</v>
      </c>
      <c r="E29" s="392" t="s">
        <v>124</v>
      </c>
      <c r="F29" s="233" t="s">
        <v>1095</v>
      </c>
      <c r="G29" s="222">
        <v>57534.61</v>
      </c>
    </row>
    <row r="30" spans="1:7">
      <c r="A30" t="str">
        <f t="shared" si="0"/>
        <v>LONDRINA [ETAPA 03 - CONDOMINIO ARANGUA]XXXVIII19</v>
      </c>
      <c r="B30" s="348" t="s">
        <v>33</v>
      </c>
      <c r="C30" s="224" t="s">
        <v>531</v>
      </c>
      <c r="D30" s="225">
        <v>19</v>
      </c>
      <c r="E30" s="392" t="s">
        <v>390</v>
      </c>
      <c r="F30" s="233" t="s">
        <v>835</v>
      </c>
      <c r="G30" s="222">
        <v>15000</v>
      </c>
    </row>
    <row r="31" spans="1:7">
      <c r="A31" t="str">
        <f t="shared" si="0"/>
        <v>LONDRINA [ETAPA 02 - CONDOMINIO TANGARA]XXIX41</v>
      </c>
      <c r="B31" s="348" t="s">
        <v>35</v>
      </c>
      <c r="C31" s="224" t="s">
        <v>513</v>
      </c>
      <c r="D31" s="225">
        <v>41</v>
      </c>
      <c r="E31" s="392" t="s">
        <v>85</v>
      </c>
      <c r="F31" s="233" t="s">
        <v>835</v>
      </c>
      <c r="G31" s="222">
        <v>73574.710000000006</v>
      </c>
    </row>
    <row r="32" spans="1:7">
      <c r="A32" t="str">
        <f t="shared" si="0"/>
        <v>LONDRINA [ETAPA 01 - CONDOMINIO ARAÇARI]XXIV10</v>
      </c>
      <c r="B32" s="348" t="s">
        <v>34</v>
      </c>
      <c r="C32" s="224" t="s">
        <v>508</v>
      </c>
      <c r="D32" s="225">
        <v>10</v>
      </c>
      <c r="E32" s="392" t="s">
        <v>1126</v>
      </c>
      <c r="F32" s="233" t="s">
        <v>835</v>
      </c>
      <c r="G32" s="222">
        <v>76053.23</v>
      </c>
    </row>
    <row r="33" spans="1:7">
      <c r="A33" t="str">
        <f t="shared" si="0"/>
        <v>LONDRINA [ETAPA 01 - CONDOMINIO ARAÇARI]XXV4</v>
      </c>
      <c r="B33" s="348" t="s">
        <v>34</v>
      </c>
      <c r="C33" s="224" t="s">
        <v>509</v>
      </c>
      <c r="D33" s="225">
        <v>4</v>
      </c>
      <c r="E33" s="221" t="s">
        <v>210</v>
      </c>
      <c r="F33" s="233" t="s">
        <v>1007</v>
      </c>
      <c r="G33" s="222">
        <v>57970.94</v>
      </c>
    </row>
    <row r="34" spans="1:7">
      <c r="A34" t="str">
        <f t="shared" si="0"/>
        <v>LONDRINA [ETAPA 03 - AREAS EXTERNAS G3 - G7]XVI12</v>
      </c>
      <c r="B34" s="348" t="s">
        <v>36</v>
      </c>
      <c r="C34" s="224" t="s">
        <v>522</v>
      </c>
      <c r="D34" s="225">
        <v>12</v>
      </c>
      <c r="E34" s="392" t="s">
        <v>53</v>
      </c>
      <c r="F34" s="233" t="s">
        <v>835</v>
      </c>
      <c r="G34" s="222">
        <v>43077.27</v>
      </c>
    </row>
    <row r="35" spans="1:7">
      <c r="A35" t="str">
        <f t="shared" si="0"/>
        <v>LONDRINA [ETAPA 01 - AREAS EXTERNAS G1 - G5]VII24</v>
      </c>
      <c r="B35" s="348" t="s">
        <v>37</v>
      </c>
      <c r="C35" s="224" t="s">
        <v>532</v>
      </c>
      <c r="D35" s="225">
        <v>24</v>
      </c>
      <c r="E35" s="392" t="s">
        <v>466</v>
      </c>
      <c r="F35" s="233" t="s">
        <v>835</v>
      </c>
      <c r="G35" s="222">
        <v>70481.47</v>
      </c>
    </row>
    <row r="36" spans="1:7">
      <c r="A36" t="str">
        <f t="shared" si="0"/>
        <v>LONDRINA [ETAPA 02 - AREAS EXTERNAS G2 - G6]XII15</v>
      </c>
      <c r="B36" s="348" t="s">
        <v>38</v>
      </c>
      <c r="C36" s="224" t="s">
        <v>510</v>
      </c>
      <c r="D36" s="225">
        <v>15</v>
      </c>
      <c r="E36" s="392" t="s">
        <v>95</v>
      </c>
      <c r="F36" s="233" t="s">
        <v>835</v>
      </c>
      <c r="G36" s="222">
        <v>60261.36</v>
      </c>
    </row>
    <row r="37" spans="1:7">
      <c r="A37" t="str">
        <f t="shared" si="0"/>
        <v>LONDRINA [ETAPA 03 - CONDOMINIO ARANGUA]XXXIX38</v>
      </c>
      <c r="B37" s="348" t="s">
        <v>33</v>
      </c>
      <c r="C37" s="224" t="s">
        <v>527</v>
      </c>
      <c r="D37" s="225">
        <v>38</v>
      </c>
      <c r="E37" s="392" t="s">
        <v>89</v>
      </c>
      <c r="F37" s="233" t="s">
        <v>835</v>
      </c>
      <c r="G37" s="222">
        <v>117809.88</v>
      </c>
    </row>
    <row r="38" spans="1:7">
      <c r="A38" t="str">
        <f t="shared" si="0"/>
        <v>LONDRINA [ETAPA 02 - AREAS EXTERNAS G2 - G6]XII11</v>
      </c>
      <c r="B38" s="348" t="s">
        <v>38</v>
      </c>
      <c r="C38" s="224" t="s">
        <v>510</v>
      </c>
      <c r="D38" s="225">
        <v>11</v>
      </c>
      <c r="E38" s="392" t="s">
        <v>460</v>
      </c>
      <c r="F38" s="233" t="s">
        <v>1095</v>
      </c>
      <c r="G38" s="222">
        <v>65605.37</v>
      </c>
    </row>
    <row r="39" spans="1:7">
      <c r="A39" t="str">
        <f t="shared" si="0"/>
        <v>LONDRINA [ETAPA 03 - CONDOMINIO ARANGUA]XXXIX5</v>
      </c>
      <c r="B39" s="348" t="s">
        <v>33</v>
      </c>
      <c r="C39" s="224" t="s">
        <v>527</v>
      </c>
      <c r="D39" s="225">
        <v>5</v>
      </c>
      <c r="E39" s="221" t="s">
        <v>230</v>
      </c>
      <c r="F39" s="233" t="s">
        <v>1008</v>
      </c>
      <c r="G39" s="222">
        <v>28829.64</v>
      </c>
    </row>
    <row r="40" spans="1:7">
      <c r="A40" t="str">
        <f t="shared" si="0"/>
        <v>LONDRINA [ETAPA 01 - CONDOMINIO ARAÇARI]XXII17</v>
      </c>
      <c r="B40" s="348" t="s">
        <v>34</v>
      </c>
      <c r="C40" s="224" t="s">
        <v>506</v>
      </c>
      <c r="D40" s="225">
        <v>17</v>
      </c>
      <c r="E40" s="392" t="s">
        <v>339</v>
      </c>
      <c r="F40" s="233" t="s">
        <v>835</v>
      </c>
      <c r="G40" s="222">
        <v>158124.54</v>
      </c>
    </row>
    <row r="41" spans="1:7">
      <c r="A41" t="str">
        <f t="shared" si="0"/>
        <v>LONDRINA [ETAPA 01 - CONDOMINIO ARAÇARI]XXII18</v>
      </c>
      <c r="B41" s="348" t="s">
        <v>34</v>
      </c>
      <c r="C41" s="224" t="s">
        <v>506</v>
      </c>
      <c r="D41" s="225">
        <v>18</v>
      </c>
      <c r="E41" s="392" t="s">
        <v>339</v>
      </c>
      <c r="F41" s="233" t="s">
        <v>835</v>
      </c>
      <c r="G41" s="222">
        <v>0</v>
      </c>
    </row>
    <row r="42" spans="1:7">
      <c r="A42" t="str">
        <f t="shared" si="0"/>
        <v>LONDRINA [ETAPA 02 - CONDOMINIO TANGARA]XXVII7</v>
      </c>
      <c r="B42" s="348" t="s">
        <v>35</v>
      </c>
      <c r="C42" s="224" t="s">
        <v>515</v>
      </c>
      <c r="D42" s="225">
        <v>7</v>
      </c>
      <c r="E42" s="392" t="s">
        <v>641</v>
      </c>
      <c r="F42" s="233" t="s">
        <v>835</v>
      </c>
      <c r="G42" s="222">
        <v>159797.9</v>
      </c>
    </row>
    <row r="43" spans="1:7">
      <c r="A43" t="str">
        <f t="shared" si="0"/>
        <v>LONDRINA [ETAPA 03 - AREAS EXTERNAS G3 - G7]XIII3</v>
      </c>
      <c r="B43" s="348" t="s">
        <v>36</v>
      </c>
      <c r="C43" s="224" t="s">
        <v>521</v>
      </c>
      <c r="D43" s="225">
        <v>3</v>
      </c>
      <c r="E43" s="221" t="s">
        <v>351</v>
      </c>
      <c r="F43" s="233" t="s">
        <v>1007</v>
      </c>
      <c r="G43" s="222">
        <v>24357.08</v>
      </c>
    </row>
    <row r="44" spans="1:7">
      <c r="A44" t="str">
        <f t="shared" si="0"/>
        <v>LONDRINA [ETAPA 02 - CONDOMINIO TANGARA]XXVII8</v>
      </c>
      <c r="B44" s="348" t="s">
        <v>35</v>
      </c>
      <c r="C44" s="224" t="s">
        <v>515</v>
      </c>
      <c r="D44" s="225">
        <v>8</v>
      </c>
      <c r="E44" s="392" t="s">
        <v>224</v>
      </c>
      <c r="F44" s="233" t="s">
        <v>835</v>
      </c>
      <c r="G44" s="222" t="s">
        <v>1067</v>
      </c>
    </row>
    <row r="45" spans="1:7">
      <c r="A45" t="str">
        <f t="shared" si="0"/>
        <v>LONDRINA [ETAPA 02 - CONDOMINIO TANGARA]XXXIV8</v>
      </c>
      <c r="B45" s="348" t="s">
        <v>35</v>
      </c>
      <c r="C45" s="224" t="s">
        <v>520</v>
      </c>
      <c r="D45" s="225">
        <v>8</v>
      </c>
      <c r="E45" s="392" t="s">
        <v>346</v>
      </c>
      <c r="F45" s="233" t="s">
        <v>1134</v>
      </c>
      <c r="G45" s="222">
        <v>180728.83</v>
      </c>
    </row>
    <row r="46" spans="1:7">
      <c r="A46" t="str">
        <f t="shared" si="0"/>
        <v>LONDRINA [ETAPA 02 - CONDOMINIO TANGARA]XXX43</v>
      </c>
      <c r="B46" s="348" t="s">
        <v>35</v>
      </c>
      <c r="C46" s="224" t="s">
        <v>517</v>
      </c>
      <c r="D46" s="225">
        <v>43</v>
      </c>
      <c r="E46" s="221" t="s">
        <v>196</v>
      </c>
      <c r="F46" s="233" t="s">
        <v>1007</v>
      </c>
      <c r="G46" s="222">
        <v>48038.78</v>
      </c>
    </row>
    <row r="47" spans="1:7">
      <c r="A47" t="str">
        <f t="shared" si="0"/>
        <v>LONDRINA [ETAPA 03 - CONDOMINIO ARANGUA]XLII4</v>
      </c>
      <c r="B47" s="348" t="s">
        <v>33</v>
      </c>
      <c r="C47" s="224" t="s">
        <v>525</v>
      </c>
      <c r="D47" s="225">
        <v>4</v>
      </c>
      <c r="E47" s="392" t="s">
        <v>763</v>
      </c>
      <c r="F47" s="233" t="s">
        <v>835</v>
      </c>
      <c r="G47" s="222">
        <v>139930.04999999999</v>
      </c>
    </row>
    <row r="48" spans="1:7">
      <c r="A48" t="str">
        <f t="shared" si="0"/>
        <v>LONDRINA [ETAPA 02 - AREAS EXTERNAS G2 - G6]XV3</v>
      </c>
      <c r="B48" s="348" t="s">
        <v>38</v>
      </c>
      <c r="C48" s="224" t="s">
        <v>511</v>
      </c>
      <c r="D48" s="225">
        <v>3</v>
      </c>
      <c r="E48" s="221" t="s">
        <v>382</v>
      </c>
      <c r="F48" s="233" t="s">
        <v>1007</v>
      </c>
      <c r="G48" s="222">
        <v>20427.580000000002</v>
      </c>
    </row>
    <row r="49" spans="1:7">
      <c r="A49" t="str">
        <f t="shared" si="0"/>
        <v>LONDRINA [ETAPA 01 - CONDOMINIO ARAÇARI]XXII33</v>
      </c>
      <c r="B49" s="348" t="s">
        <v>34</v>
      </c>
      <c r="C49" s="224" t="s">
        <v>506</v>
      </c>
      <c r="D49" s="225">
        <v>33</v>
      </c>
      <c r="E49" s="392" t="s">
        <v>348</v>
      </c>
      <c r="F49" s="233" t="s">
        <v>835</v>
      </c>
      <c r="G49" s="222">
        <v>99175.11</v>
      </c>
    </row>
    <row r="50" spans="1:7">
      <c r="A50" t="str">
        <f t="shared" si="0"/>
        <v>LONDRINA [ETAPA 03 - AREAS EXTERNAS G3 - G7]XVI19</v>
      </c>
      <c r="B50" s="348" t="s">
        <v>36</v>
      </c>
      <c r="C50" s="224" t="s">
        <v>522</v>
      </c>
      <c r="D50" s="225">
        <v>19</v>
      </c>
      <c r="E50" s="392" t="s">
        <v>248</v>
      </c>
      <c r="F50" s="233" t="s">
        <v>1133</v>
      </c>
      <c r="G50" s="222">
        <v>122479.96</v>
      </c>
    </row>
    <row r="51" spans="1:7">
      <c r="A51" t="str">
        <f t="shared" si="0"/>
        <v>LONDRINA [ETAPA 01 - AREAS EXTERNAS G1 - G5]VII18</v>
      </c>
      <c r="B51" s="348" t="s">
        <v>37</v>
      </c>
      <c r="C51" s="224" t="s">
        <v>532</v>
      </c>
      <c r="D51" s="225">
        <v>18</v>
      </c>
      <c r="E51" s="392" t="s">
        <v>458</v>
      </c>
      <c r="F51" s="233" t="s">
        <v>835</v>
      </c>
      <c r="G51" s="222">
        <v>124930.05</v>
      </c>
    </row>
    <row r="52" spans="1:7">
      <c r="A52" t="str">
        <f t="shared" si="0"/>
        <v>LONDRINA [ETAPA 01 - AREAS EXTERNAS G1 - G5]VII19</v>
      </c>
      <c r="B52" s="348" t="s">
        <v>37</v>
      </c>
      <c r="C52" s="224" t="s">
        <v>532</v>
      </c>
      <c r="D52" s="225">
        <v>19</v>
      </c>
      <c r="E52" s="392" t="s">
        <v>458</v>
      </c>
      <c r="F52" s="233" t="s">
        <v>835</v>
      </c>
      <c r="G52" s="222">
        <v>124930.05</v>
      </c>
    </row>
    <row r="53" spans="1:7">
      <c r="A53" t="str">
        <f t="shared" si="0"/>
        <v>LONDRINA [ETAPA 02 - AREAS EXTERNAS G2 - G6]XV11</v>
      </c>
      <c r="B53" s="348" t="s">
        <v>38</v>
      </c>
      <c r="C53" s="224" t="s">
        <v>511</v>
      </c>
      <c r="D53" s="225">
        <v>11</v>
      </c>
      <c r="E53" s="221" t="s">
        <v>272</v>
      </c>
      <c r="F53" s="233" t="s">
        <v>1112</v>
      </c>
      <c r="G53" s="222">
        <v>10859.44</v>
      </c>
    </row>
    <row r="54" spans="1:7">
      <c r="A54" t="str">
        <f t="shared" si="0"/>
        <v>LONDRINA [ETAPA 03 - CONDOMINIO ARANGUA]XXXVII11</v>
      </c>
      <c r="B54" s="348" t="s">
        <v>33</v>
      </c>
      <c r="C54" s="224" t="s">
        <v>530</v>
      </c>
      <c r="D54" s="225">
        <v>11</v>
      </c>
      <c r="E54" s="221" t="s">
        <v>407</v>
      </c>
      <c r="F54" s="233" t="s">
        <v>1157</v>
      </c>
      <c r="G54" s="222">
        <v>9221.7199999999993</v>
      </c>
    </row>
    <row r="55" spans="1:7">
      <c r="A55" t="str">
        <f t="shared" si="0"/>
        <v>LONDRINA [ETAPA 02 - CONDOMINIO TANGARA]XXXIV1</v>
      </c>
      <c r="B55" s="348" t="s">
        <v>35</v>
      </c>
      <c r="C55" s="224" t="s">
        <v>520</v>
      </c>
      <c r="D55" s="225">
        <v>1</v>
      </c>
      <c r="E55" s="392" t="s">
        <v>311</v>
      </c>
      <c r="F55" s="233" t="s">
        <v>1097</v>
      </c>
      <c r="G55" s="222">
        <v>98115.87</v>
      </c>
    </row>
    <row r="56" spans="1:7">
      <c r="A56" t="str">
        <f t="shared" si="0"/>
        <v>LONDRINA [ETAPA 01 - CONDOMINIO ARAÇARI]XXV2</v>
      </c>
      <c r="B56" s="348" t="s">
        <v>34</v>
      </c>
      <c r="C56" s="224" t="s">
        <v>509</v>
      </c>
      <c r="D56" s="225">
        <v>2</v>
      </c>
      <c r="E56" s="392" t="s">
        <v>399</v>
      </c>
      <c r="F56" s="233" t="s">
        <v>835</v>
      </c>
      <c r="G56" s="222">
        <v>86646.48</v>
      </c>
    </row>
    <row r="57" spans="1:7">
      <c r="A57" t="str">
        <f t="shared" si="0"/>
        <v>LONDRINA [ETAPA 03 - CONDOMINIO ARANGUA]XXXIX39</v>
      </c>
      <c r="B57" s="348" t="s">
        <v>33</v>
      </c>
      <c r="C57" s="224" t="s">
        <v>527</v>
      </c>
      <c r="D57" s="225">
        <v>39</v>
      </c>
      <c r="E57" s="221" t="s">
        <v>474</v>
      </c>
      <c r="F57" s="233" t="s">
        <v>1112</v>
      </c>
      <c r="G57" s="222">
        <v>8750.35</v>
      </c>
    </row>
    <row r="58" spans="1:7">
      <c r="A58" t="str">
        <f t="shared" si="0"/>
        <v>LONDRINA [ETAPA 02 - AREAS EXTERNAS G2 - G6]XVIII3</v>
      </c>
      <c r="B58" s="348" t="s">
        <v>38</v>
      </c>
      <c r="C58" s="224" t="s">
        <v>512</v>
      </c>
      <c r="D58" s="225">
        <v>3</v>
      </c>
      <c r="E58" s="221" t="s">
        <v>444</v>
      </c>
      <c r="F58" s="233" t="s">
        <v>1160</v>
      </c>
      <c r="G58" s="222">
        <v>12654.63</v>
      </c>
    </row>
    <row r="59" spans="1:7">
      <c r="A59" t="str">
        <f t="shared" si="0"/>
        <v>LONDRINA [ETAPA 03 - CONDOMINIO ARANGUA]XXXVIII14</v>
      </c>
      <c r="B59" s="348" t="s">
        <v>33</v>
      </c>
      <c r="C59" s="224" t="s">
        <v>531</v>
      </c>
      <c r="D59" s="225">
        <v>14</v>
      </c>
      <c r="E59" s="392" t="s">
        <v>98</v>
      </c>
      <c r="F59" s="233" t="s">
        <v>835</v>
      </c>
      <c r="G59" s="222">
        <v>88820.32</v>
      </c>
    </row>
    <row r="60" spans="1:7">
      <c r="A60" t="str">
        <f t="shared" si="0"/>
        <v>LONDRINA [ETAPA 03 - CONDOMINIO ARANGUA]XXXVIII15</v>
      </c>
      <c r="B60" s="348" t="s">
        <v>33</v>
      </c>
      <c r="C60" s="224" t="s">
        <v>531</v>
      </c>
      <c r="D60" s="225">
        <v>15</v>
      </c>
      <c r="E60" s="392" t="s">
        <v>106</v>
      </c>
      <c r="F60" s="233" t="s">
        <v>835</v>
      </c>
      <c r="G60" s="222">
        <v>290174.49</v>
      </c>
    </row>
    <row r="61" spans="1:7">
      <c r="A61" t="str">
        <f t="shared" si="0"/>
        <v>LONDRINA [ETAPA 03 - CONDOMINIO ARANGUA]XXXV16</v>
      </c>
      <c r="B61" s="348" t="s">
        <v>33</v>
      </c>
      <c r="C61" s="224" t="s">
        <v>528</v>
      </c>
      <c r="D61" s="225">
        <v>16</v>
      </c>
      <c r="E61" s="392" t="s">
        <v>231</v>
      </c>
      <c r="F61" s="233" t="s">
        <v>835</v>
      </c>
      <c r="G61" s="222"/>
    </row>
    <row r="62" spans="1:7">
      <c r="A62" t="str">
        <f t="shared" si="0"/>
        <v>LONDRINA [ETAPA 03 - CONDOMINIO ARANGUA]XXXVI12</v>
      </c>
      <c r="B62" s="348" t="s">
        <v>33</v>
      </c>
      <c r="C62" s="224" t="s">
        <v>529</v>
      </c>
      <c r="D62" s="225">
        <v>12</v>
      </c>
      <c r="E62" s="392" t="s">
        <v>317</v>
      </c>
      <c r="F62" s="233" t="s">
        <v>835</v>
      </c>
      <c r="G62" s="222"/>
    </row>
    <row r="63" spans="1:7">
      <c r="A63" t="str">
        <f t="shared" si="0"/>
        <v>LONDRINA [ETAPA 03 - CONDOMINIO ARANGUA]XXXVI11</v>
      </c>
      <c r="B63" s="348" t="s">
        <v>33</v>
      </c>
      <c r="C63" s="224" t="s">
        <v>529</v>
      </c>
      <c r="D63" s="225">
        <v>11</v>
      </c>
      <c r="E63" s="392" t="s">
        <v>310</v>
      </c>
      <c r="F63" s="233" t="s">
        <v>835</v>
      </c>
      <c r="G63" s="222"/>
    </row>
    <row r="64" spans="1:7">
      <c r="A64" t="str">
        <f t="shared" si="0"/>
        <v>LONDRINA [ETAPA 02 - CONDOMINIO TANGARA]XXX20</v>
      </c>
      <c r="B64" s="348" t="s">
        <v>35</v>
      </c>
      <c r="C64" s="224" t="s">
        <v>517</v>
      </c>
      <c r="D64" s="225">
        <v>20</v>
      </c>
      <c r="E64" s="221" t="s">
        <v>434</v>
      </c>
      <c r="F64" s="233" t="s">
        <v>1007</v>
      </c>
      <c r="G64" s="222">
        <v>4135.42</v>
      </c>
    </row>
    <row r="65" spans="1:7">
      <c r="A65" t="str">
        <f t="shared" si="0"/>
        <v>LONDRINA [ETAPA 02 - CONDOMINIO TANGARA]XXXIII21</v>
      </c>
      <c r="B65" s="348" t="s">
        <v>35</v>
      </c>
      <c r="C65" s="224" t="s">
        <v>519</v>
      </c>
      <c r="D65" s="225">
        <v>21</v>
      </c>
      <c r="E65" s="221" t="s">
        <v>789</v>
      </c>
      <c r="F65" s="233" t="s">
        <v>1278</v>
      </c>
      <c r="G65" s="222">
        <v>8943.3799999999992</v>
      </c>
    </row>
    <row r="66" spans="1:7">
      <c r="A66" t="str">
        <f t="shared" si="0"/>
        <v>LONDRINA [ETAPA 01 - CONDOMINIO ARAÇARI]XXI6</v>
      </c>
      <c r="B66" s="348" t="s">
        <v>34</v>
      </c>
      <c r="C66" s="224" t="s">
        <v>505</v>
      </c>
      <c r="D66" s="225">
        <v>6</v>
      </c>
      <c r="E66" s="392" t="s">
        <v>147</v>
      </c>
      <c r="F66" s="233" t="s">
        <v>1096</v>
      </c>
      <c r="G66" s="222">
        <v>8862.09</v>
      </c>
    </row>
    <row r="67" spans="1:7">
      <c r="A67" t="str">
        <f t="shared" ref="A67:A74" si="1">CONCATENATE(B67,C67,D67)</f>
        <v>LONDRINA [ETAPA 03 - CONDOMINIO ARANGUA]XXXV20</v>
      </c>
      <c r="B67" s="348" t="s">
        <v>33</v>
      </c>
      <c r="C67" s="224" t="s">
        <v>528</v>
      </c>
      <c r="D67" s="225">
        <v>20</v>
      </c>
      <c r="E67" s="392" t="s">
        <v>229</v>
      </c>
      <c r="F67" s="292" t="s">
        <v>1161</v>
      </c>
      <c r="G67" s="222">
        <v>45615.24</v>
      </c>
    </row>
    <row r="68" spans="1:7">
      <c r="A68" t="str">
        <f t="shared" si="1"/>
        <v>LONDRINA [ETAPA 03 - CONDOMINIO ARANGUA]XXXIX21</v>
      </c>
      <c r="B68" s="348" t="s">
        <v>33</v>
      </c>
      <c r="C68" s="224" t="s">
        <v>527</v>
      </c>
      <c r="D68" s="225">
        <v>21</v>
      </c>
      <c r="E68" s="221" t="s">
        <v>143</v>
      </c>
      <c r="F68" s="233" t="s">
        <v>1156</v>
      </c>
      <c r="G68" s="222">
        <v>2783.28</v>
      </c>
    </row>
    <row r="69" spans="1:7">
      <c r="A69" t="str">
        <f t="shared" si="1"/>
        <v>LONDRINA [ETAPA 03 - CONDOMINIO ARANGUA]XXXV24</v>
      </c>
      <c r="B69" s="348" t="s">
        <v>33</v>
      </c>
      <c r="C69" s="224" t="s">
        <v>528</v>
      </c>
      <c r="D69" s="225">
        <v>24</v>
      </c>
      <c r="E69" s="221" t="s">
        <v>1037</v>
      </c>
      <c r="F69" s="233" t="s">
        <v>1159</v>
      </c>
      <c r="G69" s="222">
        <v>3005.62</v>
      </c>
    </row>
    <row r="70" spans="1:7">
      <c r="A70" t="str">
        <f t="shared" si="1"/>
        <v>LONDRINA [ETAPA 02 - AREAS EXTERNAS G2 - G6]VIII34</v>
      </c>
      <c r="B70" s="348" t="s">
        <v>38</v>
      </c>
      <c r="C70" s="224" t="s">
        <v>533</v>
      </c>
      <c r="D70" s="225">
        <v>34</v>
      </c>
      <c r="E70" s="392" t="s">
        <v>280</v>
      </c>
      <c r="F70" s="233" t="s">
        <v>835</v>
      </c>
      <c r="G70" s="222">
        <v>30000</v>
      </c>
    </row>
    <row r="71" spans="1:7">
      <c r="A71" t="str">
        <f t="shared" si="1"/>
        <v>LONDRINA [ETAPA 03 - AREAS EXTERNAS G3 - G7]XIII17</v>
      </c>
      <c r="B71" s="348" t="s">
        <v>36</v>
      </c>
      <c r="C71" s="224" t="s">
        <v>521</v>
      </c>
      <c r="D71" s="225">
        <v>17</v>
      </c>
      <c r="E71" s="392" t="s">
        <v>269</v>
      </c>
      <c r="F71" s="233" t="s">
        <v>835</v>
      </c>
      <c r="G71" s="324">
        <v>38916.19</v>
      </c>
    </row>
    <row r="72" spans="1:7">
      <c r="A72" t="str">
        <f t="shared" si="1"/>
        <v>LONDRINA [ETAPA 02 - AREAS EXTERNAS G2 - G6]XVIII23</v>
      </c>
      <c r="B72" s="348" t="s">
        <v>38</v>
      </c>
      <c r="C72" s="224" t="s">
        <v>512</v>
      </c>
      <c r="D72" s="225">
        <v>23</v>
      </c>
      <c r="E72" s="221" t="s">
        <v>335</v>
      </c>
      <c r="F72" s="233" t="s">
        <v>1158</v>
      </c>
      <c r="G72" s="324">
        <v>168434.4</v>
      </c>
    </row>
    <row r="73" spans="1:7">
      <c r="A73" t="str">
        <f t="shared" si="1"/>
        <v>LONDRINA [ETAPA 01 - AREAS EXTERNAS G1 - G5]VII10</v>
      </c>
      <c r="B73" s="32" t="s">
        <v>37</v>
      </c>
      <c r="C73" s="33" t="s">
        <v>532</v>
      </c>
      <c r="D73" s="36">
        <v>10</v>
      </c>
      <c r="E73" s="393" t="s">
        <v>127</v>
      </c>
      <c r="F73" s="34" t="s">
        <v>835</v>
      </c>
      <c r="G73" s="40"/>
    </row>
    <row r="74" spans="1:7">
      <c r="A74" t="str">
        <f t="shared" si="1"/>
        <v>LONDRINA [ETAPA 02 - CONDOMINIO TANGARA]XXXIII15</v>
      </c>
      <c r="B74" s="32" t="s">
        <v>35</v>
      </c>
      <c r="C74" s="33" t="s">
        <v>519</v>
      </c>
      <c r="D74" s="36">
        <v>15</v>
      </c>
      <c r="E74" s="393" t="s">
        <v>218</v>
      </c>
      <c r="F74" s="34" t="s">
        <v>835</v>
      </c>
      <c r="G74" s="40"/>
    </row>
    <row r="75" spans="1:7">
      <c r="B75" s="32"/>
      <c r="C75" s="33"/>
      <c r="D75" s="36"/>
      <c r="E75" s="154"/>
      <c r="F75" s="34"/>
      <c r="G75" s="40"/>
    </row>
    <row r="76" spans="1:7">
      <c r="B76" s="32"/>
      <c r="C76" s="33"/>
      <c r="D76" s="36"/>
      <c r="E76" s="183"/>
      <c r="F76" s="34"/>
      <c r="G76" s="40"/>
    </row>
    <row r="77" spans="1:7">
      <c r="B77" s="32"/>
      <c r="C77" s="33"/>
      <c r="D77" s="36"/>
      <c r="E77" s="183"/>
      <c r="F77" s="34"/>
      <c r="G77" s="40"/>
    </row>
    <row r="78" spans="1:7">
      <c r="B78" s="32"/>
      <c r="C78" s="33"/>
      <c r="D78" s="36"/>
      <c r="E78" s="183"/>
      <c r="F78" s="34"/>
      <c r="G78" s="40"/>
    </row>
    <row r="79" spans="1:7">
      <c r="B79" s="32"/>
      <c r="C79" s="33"/>
      <c r="D79" s="36"/>
      <c r="E79" s="64"/>
      <c r="F79" s="34"/>
      <c r="G79" s="40"/>
    </row>
    <row r="80" spans="1:7">
      <c r="B80" s="32"/>
      <c r="C80" s="33"/>
      <c r="D80" s="36"/>
      <c r="E80" s="183"/>
      <c r="F80" s="34"/>
      <c r="G80" s="40"/>
    </row>
    <row r="81" spans="2:7">
      <c r="B81" s="15"/>
      <c r="C81" s="16"/>
      <c r="D81" s="46"/>
      <c r="E81" s="64"/>
      <c r="F81" s="15"/>
      <c r="G81" s="207"/>
    </row>
    <row r="82" spans="2:7">
      <c r="B82" s="15"/>
      <c r="C82" s="16"/>
      <c r="D82" s="46"/>
      <c r="E82" s="64"/>
      <c r="F82" s="15"/>
      <c r="G82" s="207"/>
    </row>
    <row r="83" spans="2:7">
      <c r="B83" s="32"/>
      <c r="C83" s="33"/>
      <c r="D83" s="36"/>
      <c r="E83" s="183"/>
      <c r="F83" s="34"/>
      <c r="G83" s="40"/>
    </row>
    <row r="84" spans="2:7">
      <c r="B84" s="32"/>
      <c r="C84" s="33"/>
      <c r="D84" s="36"/>
      <c r="E84" s="183"/>
      <c r="F84" s="34"/>
      <c r="G84" s="40"/>
    </row>
    <row r="85" spans="2:7">
      <c r="B85" s="32"/>
      <c r="C85" s="33"/>
      <c r="D85" s="36"/>
      <c r="E85" s="154"/>
      <c r="F85" s="34"/>
      <c r="G85" s="40"/>
    </row>
    <row r="86" spans="2:7">
      <c r="B86" s="32"/>
      <c r="C86" s="33"/>
      <c r="D86" s="36"/>
      <c r="E86" s="154"/>
      <c r="F86" s="34"/>
      <c r="G86" s="40"/>
    </row>
    <row r="87" spans="2:7">
      <c r="B87" s="32"/>
      <c r="C87" s="33"/>
      <c r="D87" s="36"/>
      <c r="E87" s="154"/>
      <c r="F87" s="34"/>
      <c r="G87" s="40"/>
    </row>
    <row r="88" spans="2:7">
      <c r="B88" s="32"/>
      <c r="C88" s="33"/>
      <c r="D88" s="36"/>
      <c r="E88" s="154"/>
      <c r="F88" s="34"/>
      <c r="G88" s="40"/>
    </row>
    <row r="89" spans="2:7">
      <c r="B89" s="32"/>
      <c r="C89" s="33"/>
      <c r="D89" s="36"/>
      <c r="E89" s="154"/>
      <c r="F89" s="34"/>
      <c r="G89" s="40"/>
    </row>
    <row r="90" spans="2:7">
      <c r="B90" s="32"/>
      <c r="C90" s="33"/>
      <c r="D90" s="36"/>
      <c r="E90" s="154"/>
      <c r="F90" s="34"/>
      <c r="G90" s="40"/>
    </row>
    <row r="91" spans="2:7">
      <c r="B91" s="32"/>
      <c r="C91" s="33"/>
      <c r="D91" s="36"/>
      <c r="E91" s="154"/>
      <c r="F91" s="34"/>
      <c r="G91" s="40"/>
    </row>
    <row r="92" spans="2:7">
      <c r="B92" s="32"/>
      <c r="C92" s="33"/>
      <c r="D92" s="36"/>
      <c r="E92" s="154"/>
      <c r="F92" s="34"/>
      <c r="G92" s="40"/>
    </row>
    <row r="93" spans="2:7">
      <c r="B93" s="32"/>
      <c r="C93" s="33"/>
      <c r="D93" s="36"/>
      <c r="E93" s="154"/>
      <c r="F93" s="34"/>
      <c r="G93" s="40"/>
    </row>
    <row r="94" spans="2:7">
      <c r="B94" s="32"/>
      <c r="C94" s="33"/>
      <c r="D94" s="36"/>
      <c r="E94" s="154"/>
      <c r="F94" s="34"/>
      <c r="G94" s="40"/>
    </row>
    <row r="95" spans="2:7">
      <c r="B95" s="15"/>
      <c r="C95" s="16"/>
      <c r="D95" s="46"/>
      <c r="E95" s="185"/>
      <c r="F95" s="15"/>
      <c r="G95" s="207"/>
    </row>
    <row r="96" spans="2:7">
      <c r="B96" s="15"/>
      <c r="C96" s="16"/>
      <c r="D96" s="46"/>
      <c r="E96" s="185"/>
      <c r="F96" s="15"/>
      <c r="G96" s="207"/>
    </row>
    <row r="97" spans="2:7">
      <c r="B97" s="15"/>
      <c r="C97" s="16"/>
      <c r="D97" s="46"/>
      <c r="E97" s="185"/>
      <c r="F97" s="15"/>
      <c r="G97" s="207"/>
    </row>
    <row r="98" spans="2:7">
      <c r="B98" s="32"/>
      <c r="C98" s="33"/>
      <c r="D98" s="36"/>
      <c r="E98" s="154"/>
      <c r="F98" s="34"/>
      <c r="G98" s="40"/>
    </row>
    <row r="99" spans="2:7">
      <c r="B99" s="32"/>
      <c r="C99" s="33"/>
      <c r="D99" s="36"/>
      <c r="E99" s="154"/>
      <c r="F99" s="34"/>
      <c r="G99" s="40"/>
    </row>
    <row r="100" spans="2:7">
      <c r="B100" s="32"/>
      <c r="C100" s="33"/>
      <c r="D100" s="36"/>
      <c r="E100" s="154"/>
      <c r="F100" s="34"/>
      <c r="G100" s="40"/>
    </row>
    <row r="101" spans="2:7">
      <c r="B101" s="32"/>
      <c r="C101" s="33"/>
      <c r="D101" s="36"/>
      <c r="E101" s="154"/>
      <c r="F101" s="34"/>
      <c r="G101" s="40"/>
    </row>
    <row r="102" spans="2:7">
      <c r="B102" s="32"/>
      <c r="C102" s="33"/>
      <c r="D102" s="36"/>
      <c r="E102" s="154"/>
      <c r="F102" s="34"/>
      <c r="G102" s="40"/>
    </row>
    <row r="103" spans="2:7">
      <c r="B103" s="32"/>
      <c r="C103" s="33"/>
      <c r="D103" s="36"/>
      <c r="E103" s="154"/>
      <c r="F103" s="34"/>
      <c r="G103" s="40"/>
    </row>
    <row r="104" spans="2:7">
      <c r="B104" s="32"/>
      <c r="C104" s="33"/>
      <c r="D104" s="36"/>
      <c r="E104" s="154"/>
      <c r="F104" s="34"/>
      <c r="G104" s="40"/>
    </row>
    <row r="105" spans="2:7">
      <c r="B105" s="32"/>
      <c r="C105" s="33"/>
      <c r="D105" s="36"/>
      <c r="E105" s="154"/>
      <c r="F105" s="34"/>
      <c r="G105" s="40"/>
    </row>
    <row r="106" spans="2:7">
      <c r="B106" s="32"/>
      <c r="C106" s="33"/>
      <c r="D106" s="36"/>
      <c r="E106" s="154"/>
      <c r="F106" s="34"/>
      <c r="G106" s="40"/>
    </row>
    <row r="107" spans="2:7">
      <c r="B107" s="15"/>
      <c r="C107" s="16"/>
      <c r="D107" s="46"/>
      <c r="E107" s="185"/>
      <c r="F107" s="15"/>
      <c r="G107" s="207"/>
    </row>
    <row r="108" spans="2:7">
      <c r="B108" s="32"/>
      <c r="C108" s="33"/>
      <c r="D108" s="36"/>
      <c r="E108" s="154"/>
      <c r="F108" s="34"/>
      <c r="G108" s="40"/>
    </row>
    <row r="109" spans="2:7">
      <c r="B109" s="32"/>
      <c r="C109" s="33"/>
      <c r="D109" s="36"/>
      <c r="E109" s="185"/>
      <c r="F109" s="34"/>
      <c r="G109" s="40"/>
    </row>
    <row r="110" spans="2:7">
      <c r="B110" s="32"/>
      <c r="C110" s="33"/>
      <c r="D110" s="36"/>
      <c r="E110" s="154"/>
      <c r="F110" s="34"/>
      <c r="G110" s="40"/>
    </row>
    <row r="111" spans="2:7">
      <c r="B111" s="32"/>
      <c r="C111" s="33"/>
      <c r="D111" s="36"/>
      <c r="E111" s="154"/>
      <c r="F111" s="34"/>
      <c r="G111" s="40"/>
    </row>
    <row r="112" spans="2:7">
      <c r="B112" s="32"/>
      <c r="C112" s="33"/>
      <c r="D112" s="36"/>
      <c r="E112" s="154"/>
      <c r="F112" s="34"/>
      <c r="G112" s="40"/>
    </row>
    <row r="113" spans="2:7">
      <c r="B113" s="32"/>
      <c r="C113" s="33"/>
      <c r="D113" s="36"/>
      <c r="E113" s="185"/>
      <c r="F113" s="34"/>
      <c r="G113" s="40"/>
    </row>
    <row r="114" spans="2:7">
      <c r="B114" s="32"/>
      <c r="C114" s="33"/>
      <c r="D114" s="36"/>
      <c r="E114" s="185"/>
      <c r="F114" s="34"/>
      <c r="G114" s="40"/>
    </row>
    <row r="115" spans="2:7">
      <c r="B115" s="15"/>
      <c r="C115" s="16"/>
      <c r="D115" s="46"/>
      <c r="E115" s="185"/>
      <c r="F115" s="15"/>
      <c r="G115" s="207"/>
    </row>
    <row r="116" spans="2:7">
      <c r="B116" s="32"/>
      <c r="C116" s="33"/>
      <c r="D116" s="36"/>
      <c r="E116" s="154"/>
      <c r="F116" s="34"/>
      <c r="G116" s="40"/>
    </row>
    <row r="117" spans="2:7">
      <c r="B117" s="32"/>
      <c r="C117" s="33"/>
      <c r="D117" s="36"/>
      <c r="E117" s="185"/>
      <c r="F117" s="34"/>
      <c r="G117" s="40"/>
    </row>
    <row r="118" spans="2:7">
      <c r="B118" s="32"/>
      <c r="C118" s="33"/>
      <c r="D118" s="36"/>
      <c r="E118" s="185"/>
      <c r="F118" s="34"/>
      <c r="G118" s="40"/>
    </row>
    <row r="119" spans="2:7">
      <c r="B119" s="15"/>
      <c r="C119" s="16"/>
      <c r="D119" s="46"/>
      <c r="E119" s="185"/>
      <c r="F119" s="15"/>
      <c r="G119" s="207"/>
    </row>
    <row r="120" spans="2:7">
      <c r="B120" s="15"/>
      <c r="C120" s="16"/>
      <c r="D120" s="46"/>
      <c r="E120" s="185"/>
      <c r="F120" s="15"/>
      <c r="G120" s="207"/>
    </row>
    <row r="121" spans="2:7">
      <c r="B121" s="15"/>
      <c r="C121" s="16"/>
      <c r="D121" s="46"/>
      <c r="E121" s="185"/>
      <c r="F121" s="15"/>
      <c r="G121" s="207"/>
    </row>
    <row r="122" spans="2:7">
      <c r="B122" s="87"/>
      <c r="C122" s="88"/>
      <c r="D122" s="89"/>
      <c r="E122" s="186"/>
      <c r="F122" s="90"/>
      <c r="G122" s="91"/>
    </row>
    <row r="123" spans="2:7">
      <c r="B123" s="32"/>
      <c r="C123" s="33"/>
      <c r="D123" s="36"/>
      <c r="E123" s="154"/>
      <c r="F123" s="34"/>
      <c r="G123" s="40"/>
    </row>
    <row r="124" spans="2:7">
      <c r="B124" s="82"/>
      <c r="C124" s="83"/>
      <c r="D124" s="265"/>
      <c r="E124" s="266"/>
      <c r="F124" s="82"/>
      <c r="G124" s="269"/>
    </row>
    <row r="125" spans="2:7">
      <c r="B125" s="15"/>
      <c r="C125" s="16"/>
      <c r="D125" s="46"/>
      <c r="E125" s="64"/>
      <c r="F125" s="15"/>
      <c r="G125" s="207"/>
    </row>
    <row r="126" spans="2:7">
      <c r="B126" s="15"/>
      <c r="C126" s="16"/>
      <c r="D126" s="46"/>
      <c r="E126" s="185"/>
      <c r="F126" s="15"/>
      <c r="G126" s="207"/>
    </row>
    <row r="127" spans="2:7">
      <c r="B127" s="15"/>
      <c r="C127" s="16"/>
      <c r="D127" s="46"/>
      <c r="E127" s="185"/>
      <c r="F127" s="15"/>
      <c r="G127" s="207"/>
    </row>
    <row r="128" spans="2:7">
      <c r="B128" s="32"/>
      <c r="C128" s="33"/>
      <c r="D128" s="36"/>
      <c r="E128" s="154"/>
      <c r="F128" s="34"/>
      <c r="G128" s="40"/>
    </row>
    <row r="129" spans="2:7">
      <c r="B129" s="87"/>
      <c r="C129" s="88"/>
      <c r="D129" s="89"/>
      <c r="E129" s="186"/>
      <c r="F129" s="90"/>
      <c r="G129" s="91"/>
    </row>
    <row r="130" spans="2:7">
      <c r="B130" s="32"/>
      <c r="C130" s="33"/>
      <c r="D130" s="36"/>
      <c r="E130" s="183"/>
      <c r="F130" s="34"/>
      <c r="G130" s="40"/>
    </row>
    <row r="131" spans="2:7">
      <c r="B131" s="32"/>
      <c r="C131" s="33"/>
      <c r="D131" s="36"/>
      <c r="E131" s="154"/>
      <c r="F131" s="34"/>
      <c r="G131" s="40"/>
    </row>
    <row r="132" spans="2:7">
      <c r="B132" s="15"/>
      <c r="C132" s="16"/>
      <c r="D132" s="46"/>
      <c r="E132" s="185"/>
      <c r="F132" s="15"/>
      <c r="G132" s="207"/>
    </row>
    <row r="133" spans="2:7">
      <c r="B133" s="15"/>
      <c r="C133" s="16"/>
      <c r="D133" s="46"/>
      <c r="E133" s="185"/>
      <c r="F133" s="15"/>
      <c r="G133" s="207"/>
    </row>
    <row r="134" spans="2:7">
      <c r="B134" s="82"/>
      <c r="C134" s="16"/>
      <c r="D134" s="46"/>
      <c r="E134" s="185"/>
      <c r="F134" s="15"/>
      <c r="G134" s="207"/>
    </row>
    <row r="135" spans="2:7">
      <c r="B135" s="32"/>
      <c r="C135" s="33"/>
      <c r="D135" s="36"/>
      <c r="E135" s="154"/>
      <c r="F135" s="34"/>
      <c r="G135" s="40"/>
    </row>
    <row r="136" spans="2:7">
      <c r="B136" s="32"/>
      <c r="C136" s="33"/>
      <c r="D136" s="36"/>
      <c r="E136" s="154"/>
      <c r="F136" s="34"/>
      <c r="G136" s="40"/>
    </row>
    <row r="137" spans="2:7">
      <c r="B137" s="32"/>
      <c r="C137" s="33"/>
      <c r="D137" s="36"/>
      <c r="E137" s="154"/>
      <c r="F137" s="34"/>
      <c r="G137" s="40"/>
    </row>
    <row r="138" spans="2:7">
      <c r="B138" s="32"/>
      <c r="C138" s="33"/>
      <c r="D138" s="36"/>
      <c r="E138" s="154"/>
      <c r="F138" s="34"/>
      <c r="G138" s="40"/>
    </row>
    <row r="139" spans="2:7">
      <c r="B139" s="32"/>
      <c r="C139" s="33"/>
      <c r="D139" s="36"/>
      <c r="E139" s="154"/>
      <c r="F139" s="34"/>
      <c r="G139" s="40"/>
    </row>
    <row r="140" spans="2:7">
      <c r="B140" s="32"/>
      <c r="C140" s="33"/>
      <c r="D140" s="36"/>
      <c r="E140" s="154"/>
      <c r="F140" s="34"/>
      <c r="G140" s="40"/>
    </row>
    <row r="141" spans="2:7">
      <c r="B141" s="32"/>
      <c r="C141" s="33"/>
      <c r="D141" s="36"/>
      <c r="E141" s="183"/>
      <c r="F141" s="34"/>
      <c r="G141" s="40"/>
    </row>
    <row r="142" spans="2:7">
      <c r="B142" s="32"/>
      <c r="C142" s="33"/>
      <c r="D142" s="36"/>
      <c r="E142" s="183"/>
      <c r="F142" s="34"/>
      <c r="G142" s="40"/>
    </row>
    <row r="143" spans="2:7">
      <c r="B143" s="32"/>
      <c r="C143" s="33"/>
      <c r="D143" s="36"/>
      <c r="E143" s="183"/>
      <c r="F143" s="34"/>
      <c r="G143" s="40"/>
    </row>
    <row r="144" spans="2:7">
      <c r="B144" s="32"/>
      <c r="C144" s="33"/>
      <c r="D144" s="36"/>
      <c r="E144" s="183"/>
      <c r="F144" s="34"/>
      <c r="G144" s="40"/>
    </row>
    <row r="145" spans="2:7">
      <c r="B145" s="32"/>
      <c r="C145" s="33"/>
      <c r="D145" s="36"/>
      <c r="E145" s="183"/>
      <c r="F145" s="34"/>
      <c r="G145" s="40"/>
    </row>
    <row r="146" spans="2:7">
      <c r="B146" s="32"/>
      <c r="C146" s="33"/>
      <c r="D146" s="36"/>
      <c r="E146" s="154"/>
      <c r="F146" s="34"/>
      <c r="G146" s="40"/>
    </row>
    <row r="147" spans="2:7">
      <c r="B147" s="32"/>
      <c r="C147" s="33"/>
      <c r="D147" s="36"/>
      <c r="E147" s="183"/>
      <c r="F147" s="34"/>
      <c r="G147" s="40"/>
    </row>
    <row r="148" spans="2:7">
      <c r="B148" s="32"/>
      <c r="C148" s="33"/>
      <c r="D148" s="36"/>
      <c r="E148" s="183"/>
      <c r="F148" s="34"/>
      <c r="G148" s="40"/>
    </row>
    <row r="149" spans="2:7">
      <c r="B149" s="32"/>
      <c r="C149" s="33"/>
      <c r="D149" s="36"/>
      <c r="E149" s="183"/>
      <c r="F149" s="34"/>
      <c r="G149" s="40"/>
    </row>
    <row r="150" spans="2:7">
      <c r="B150" s="32"/>
      <c r="C150" s="33"/>
      <c r="D150" s="36"/>
      <c r="E150" s="154"/>
      <c r="F150" s="34"/>
      <c r="G150" s="40"/>
    </row>
    <row r="151" spans="2:7">
      <c r="B151" s="32"/>
      <c r="C151" s="33"/>
      <c r="D151" s="36"/>
      <c r="E151" s="154"/>
      <c r="F151" s="34"/>
      <c r="G151" s="40"/>
    </row>
    <row r="152" spans="2:7">
      <c r="B152" s="15"/>
      <c r="C152" s="16"/>
      <c r="D152" s="46"/>
      <c r="E152" s="64"/>
      <c r="F152" s="15"/>
      <c r="G152" s="207"/>
    </row>
    <row r="153" spans="2:7">
      <c r="B153" s="32"/>
      <c r="C153" s="33"/>
      <c r="D153" s="36"/>
      <c r="E153" s="154"/>
      <c r="F153" s="34"/>
      <c r="G153" s="40"/>
    </row>
    <row r="154" spans="2:7">
      <c r="B154" s="15"/>
      <c r="C154" s="16"/>
      <c r="D154" s="46"/>
      <c r="E154" s="64"/>
      <c r="F154" s="15"/>
      <c r="G154" s="207"/>
    </row>
    <row r="155" spans="2:7">
      <c r="B155" s="32"/>
      <c r="C155" s="33"/>
      <c r="D155" s="36"/>
      <c r="E155" s="185"/>
      <c r="F155" s="34"/>
      <c r="G155" s="40"/>
    </row>
    <row r="156" spans="2:7">
      <c r="B156" s="32"/>
      <c r="C156" s="33"/>
      <c r="D156" s="36"/>
      <c r="E156" s="154"/>
      <c r="F156" s="34"/>
      <c r="G156" s="40"/>
    </row>
    <row r="157" spans="2:7">
      <c r="B157" s="15"/>
      <c r="C157" s="16"/>
      <c r="D157" s="46"/>
      <c r="E157" s="185"/>
      <c r="F157" s="15"/>
      <c r="G157" s="207"/>
    </row>
    <row r="158" spans="2:7">
      <c r="B158" s="15"/>
      <c r="C158" s="16"/>
      <c r="D158" s="46"/>
      <c r="E158" s="185"/>
      <c r="F158" s="15"/>
      <c r="G158" s="207"/>
    </row>
    <row r="159" spans="2:7">
      <c r="B159" s="32"/>
      <c r="C159" s="33"/>
      <c r="D159" s="36"/>
      <c r="E159" s="185"/>
      <c r="F159" s="34"/>
      <c r="G159" s="40"/>
    </row>
    <row r="160" spans="2:7">
      <c r="B160" s="32"/>
      <c r="C160" s="33"/>
      <c r="D160" s="36"/>
      <c r="E160" s="154"/>
      <c r="F160" s="34"/>
      <c r="G160" s="40"/>
    </row>
    <row r="161" spans="2:7">
      <c r="B161" s="32"/>
      <c r="C161" s="33"/>
      <c r="D161" s="36"/>
      <c r="E161" s="154"/>
      <c r="F161" s="34"/>
      <c r="G161" s="40"/>
    </row>
    <row r="162" spans="2:7">
      <c r="B162" s="32"/>
      <c r="C162" s="33"/>
      <c r="D162" s="36"/>
      <c r="E162" s="154"/>
      <c r="F162" s="34"/>
      <c r="G162" s="40"/>
    </row>
    <row r="163" spans="2:7">
      <c r="B163" s="32"/>
      <c r="C163" s="33"/>
      <c r="D163" s="36"/>
      <c r="E163" s="185"/>
      <c r="F163" s="34"/>
      <c r="G163" s="40"/>
    </row>
    <row r="164" spans="2:7">
      <c r="B164" s="32"/>
      <c r="C164" s="33"/>
      <c r="D164" s="36"/>
      <c r="E164" s="154"/>
      <c r="F164" s="34"/>
      <c r="G164" s="40"/>
    </row>
    <row r="165" spans="2:7">
      <c r="B165" s="32"/>
      <c r="C165" s="33"/>
      <c r="D165" s="36"/>
      <c r="E165" s="154"/>
      <c r="F165" s="34"/>
      <c r="G165" s="40"/>
    </row>
    <row r="166" spans="2:7">
      <c r="B166" s="32"/>
      <c r="C166" s="33"/>
      <c r="D166" s="36"/>
      <c r="E166" s="154"/>
      <c r="F166" s="34"/>
      <c r="G166" s="40"/>
    </row>
    <row r="167" spans="2:7">
      <c r="B167" s="32"/>
      <c r="C167" s="33"/>
      <c r="D167" s="36"/>
      <c r="E167" s="154"/>
      <c r="F167" s="34"/>
      <c r="G167" s="40"/>
    </row>
    <row r="168" spans="2:7">
      <c r="B168" s="32"/>
      <c r="C168" s="33"/>
      <c r="D168" s="36"/>
      <c r="E168" s="154"/>
      <c r="F168" s="34"/>
      <c r="G168" s="40"/>
    </row>
    <row r="169" spans="2:7">
      <c r="B169" s="32"/>
      <c r="C169" s="33"/>
      <c r="D169" s="36"/>
      <c r="E169" s="183"/>
      <c r="F169" s="34"/>
      <c r="G169" s="40"/>
    </row>
    <row r="170" spans="2:7">
      <c r="B170" s="32"/>
      <c r="C170" s="33"/>
      <c r="D170" s="36"/>
      <c r="E170" s="154"/>
      <c r="F170" s="34"/>
      <c r="G170" s="40"/>
    </row>
    <row r="171" spans="2:7">
      <c r="B171" s="32"/>
      <c r="C171" s="33"/>
      <c r="D171" s="36"/>
      <c r="E171" s="154"/>
      <c r="F171" s="34"/>
      <c r="G171" s="40"/>
    </row>
    <row r="172" spans="2:7">
      <c r="B172" s="32"/>
      <c r="C172" s="33"/>
      <c r="D172" s="36"/>
      <c r="E172" s="154"/>
      <c r="F172" s="34"/>
      <c r="G172" s="40"/>
    </row>
    <row r="173" spans="2:7">
      <c r="B173" s="32"/>
      <c r="C173" s="33"/>
      <c r="D173" s="36"/>
      <c r="E173" s="183"/>
      <c r="F173" s="34"/>
      <c r="G173" s="40"/>
    </row>
    <row r="174" spans="2:7">
      <c r="B174" s="32"/>
      <c r="C174" s="33"/>
      <c r="D174" s="36"/>
      <c r="E174" s="154"/>
      <c r="F174" s="34"/>
      <c r="G174" s="40"/>
    </row>
    <row r="175" spans="2:7">
      <c r="B175" s="32"/>
      <c r="C175" s="33"/>
      <c r="D175" s="36"/>
      <c r="E175" s="183"/>
      <c r="F175" s="34"/>
      <c r="G175" s="40"/>
    </row>
    <row r="176" spans="2:7">
      <c r="B176" s="32"/>
      <c r="C176" s="33"/>
      <c r="D176" s="36"/>
      <c r="E176" s="154"/>
      <c r="F176" s="34"/>
      <c r="G176" s="40"/>
    </row>
    <row r="177" spans="2:7">
      <c r="B177" s="32"/>
      <c r="C177" s="33"/>
      <c r="D177" s="36"/>
      <c r="E177" s="154"/>
      <c r="F177" s="34"/>
      <c r="G177" s="40"/>
    </row>
    <row r="178" spans="2:7">
      <c r="B178" s="15"/>
      <c r="C178" s="16"/>
      <c r="D178" s="46"/>
      <c r="E178" s="185"/>
      <c r="F178" s="15"/>
      <c r="G178" s="207"/>
    </row>
    <row r="179" spans="2:7">
      <c r="B179" s="32"/>
      <c r="C179" s="33"/>
      <c r="D179" s="36"/>
      <c r="E179" s="183"/>
      <c r="F179" s="34"/>
      <c r="G179" s="40"/>
    </row>
    <row r="180" spans="2:7">
      <c r="B180" s="32"/>
      <c r="C180" s="33"/>
      <c r="D180" s="36"/>
      <c r="E180" s="183"/>
      <c r="F180" s="34"/>
      <c r="G180" s="40"/>
    </row>
    <row r="181" spans="2:7">
      <c r="B181" s="32"/>
      <c r="C181" s="33"/>
      <c r="D181" s="36"/>
      <c r="E181" s="183"/>
      <c r="F181" s="34"/>
      <c r="G181" s="40"/>
    </row>
    <row r="182" spans="2:7">
      <c r="B182" s="32"/>
      <c r="C182" s="33"/>
      <c r="D182" s="36"/>
      <c r="E182" s="154"/>
      <c r="F182" s="34"/>
      <c r="G182" s="40"/>
    </row>
    <row r="183" spans="2:7">
      <c r="B183" s="32"/>
      <c r="C183" s="33"/>
      <c r="D183" s="36"/>
      <c r="E183" s="154"/>
      <c r="F183" s="34"/>
      <c r="G183" s="40"/>
    </row>
    <row r="184" spans="2:7">
      <c r="B184" s="32"/>
      <c r="C184" s="33"/>
      <c r="D184" s="36"/>
      <c r="E184" s="154"/>
      <c r="F184" s="34"/>
      <c r="G184" s="40"/>
    </row>
    <row r="185" spans="2:7">
      <c r="B185" s="32"/>
      <c r="C185" s="33"/>
      <c r="D185" s="36"/>
      <c r="E185" s="154"/>
      <c r="F185" s="34"/>
      <c r="G185" s="40"/>
    </row>
    <row r="186" spans="2:7">
      <c r="B186" s="32"/>
      <c r="C186" s="33"/>
      <c r="D186" s="36"/>
      <c r="E186" s="154"/>
      <c r="F186" s="34"/>
      <c r="G186" s="40"/>
    </row>
    <row r="187" spans="2:7">
      <c r="B187" s="32"/>
      <c r="C187" s="33"/>
      <c r="D187" s="36"/>
      <c r="E187" s="154"/>
      <c r="F187" s="34"/>
      <c r="G187" s="40"/>
    </row>
    <row r="188" spans="2:7">
      <c r="B188" s="32"/>
      <c r="C188" s="33"/>
      <c r="D188" s="36"/>
      <c r="E188" s="154"/>
      <c r="F188" s="34"/>
      <c r="G188" s="40"/>
    </row>
    <row r="189" spans="2:7">
      <c r="B189" s="32"/>
      <c r="C189" s="33"/>
      <c r="D189" s="36"/>
      <c r="E189" s="154"/>
      <c r="F189" s="34"/>
      <c r="G189" s="40"/>
    </row>
    <row r="190" spans="2:7">
      <c r="B190" s="32"/>
      <c r="C190" s="33"/>
      <c r="D190" s="36"/>
      <c r="E190" s="154"/>
      <c r="F190" s="34"/>
      <c r="G190" s="40"/>
    </row>
    <row r="191" spans="2:7">
      <c r="B191" s="32"/>
      <c r="C191" s="33"/>
      <c r="D191" s="36"/>
      <c r="E191" s="154"/>
      <c r="F191" s="34"/>
      <c r="G191" s="40"/>
    </row>
    <row r="192" spans="2:7">
      <c r="B192" s="32"/>
      <c r="C192" s="33"/>
      <c r="D192" s="36"/>
      <c r="E192" s="154"/>
      <c r="F192" s="34"/>
      <c r="G192" s="40"/>
    </row>
    <row r="193" spans="2:7">
      <c r="B193" s="32"/>
      <c r="C193" s="33"/>
      <c r="D193" s="36"/>
      <c r="E193" s="154"/>
      <c r="F193" s="34"/>
      <c r="G193" s="40"/>
    </row>
    <row r="194" spans="2:7">
      <c r="B194" s="32"/>
      <c r="C194" s="33"/>
      <c r="D194" s="36"/>
      <c r="E194" s="154"/>
      <c r="F194" s="34"/>
      <c r="G194" s="40"/>
    </row>
    <row r="195" spans="2:7">
      <c r="B195" s="32"/>
      <c r="C195" s="33"/>
      <c r="D195" s="36"/>
      <c r="E195" s="185"/>
      <c r="F195" s="34"/>
      <c r="G195" s="40"/>
    </row>
    <row r="196" spans="2:7">
      <c r="B196" s="32"/>
      <c r="C196" s="33"/>
      <c r="D196" s="36"/>
      <c r="E196" s="154"/>
      <c r="F196" s="34"/>
      <c r="G196" s="40"/>
    </row>
    <row r="197" spans="2:7">
      <c r="B197" s="32"/>
      <c r="C197" s="33"/>
      <c r="D197" s="36"/>
      <c r="E197" s="154"/>
      <c r="F197" s="34"/>
      <c r="G197" s="40"/>
    </row>
    <row r="198" spans="2:7">
      <c r="B198" s="32"/>
      <c r="C198" s="33"/>
      <c r="D198" s="36"/>
      <c r="E198" s="183"/>
      <c r="F198" s="34"/>
      <c r="G198" s="40"/>
    </row>
    <row r="199" spans="2:7">
      <c r="B199" s="32"/>
      <c r="C199" s="33"/>
      <c r="D199" s="36"/>
      <c r="E199" s="154"/>
      <c r="F199" s="34"/>
      <c r="G199" s="40"/>
    </row>
    <row r="200" spans="2:7">
      <c r="B200" s="32"/>
      <c r="C200" s="33"/>
      <c r="D200" s="36"/>
      <c r="E200" s="154"/>
      <c r="F200" s="34"/>
      <c r="G200" s="40"/>
    </row>
    <row r="201" spans="2:7">
      <c r="B201" s="32"/>
      <c r="C201" s="33"/>
      <c r="D201" s="36"/>
      <c r="E201" s="154"/>
      <c r="F201" s="34"/>
      <c r="G201" s="40"/>
    </row>
    <row r="202" spans="2:7">
      <c r="B202" s="32"/>
      <c r="C202" s="33"/>
      <c r="D202" s="36"/>
      <c r="E202" s="183"/>
      <c r="F202" s="34"/>
      <c r="G202" s="40"/>
    </row>
    <row r="203" spans="2:7">
      <c r="B203" s="32"/>
      <c r="C203" s="33"/>
      <c r="D203" s="36"/>
      <c r="E203" s="154"/>
      <c r="F203" s="34"/>
      <c r="G203" s="40"/>
    </row>
    <row r="204" spans="2:7">
      <c r="B204" s="114"/>
      <c r="C204" s="264"/>
      <c r="D204" s="116"/>
      <c r="E204" s="183"/>
      <c r="F204" s="267"/>
      <c r="G204" s="268"/>
    </row>
    <row r="205" spans="2:7">
      <c r="B205" s="115"/>
      <c r="C205" s="264"/>
      <c r="D205" s="116"/>
      <c r="E205" s="183"/>
      <c r="F205" s="267"/>
      <c r="G205" s="268"/>
    </row>
    <row r="206" spans="2:7">
      <c r="B206" s="114"/>
      <c r="C206" s="264"/>
      <c r="D206" s="116"/>
      <c r="E206" s="183"/>
      <c r="F206" s="267"/>
      <c r="G206" s="268"/>
    </row>
    <row r="207" spans="2:7">
      <c r="B207" s="114"/>
      <c r="C207" s="264"/>
      <c r="D207" s="116"/>
      <c r="E207" s="183"/>
      <c r="F207" s="267"/>
      <c r="G207" s="268"/>
    </row>
    <row r="208" spans="2:7">
      <c r="B208" s="114"/>
      <c r="C208" s="264"/>
      <c r="D208" s="116"/>
      <c r="E208" s="183"/>
      <c r="F208" s="267"/>
      <c r="G208" s="268"/>
    </row>
    <row r="209" spans="2:7">
      <c r="B209" s="114"/>
      <c r="C209" s="264"/>
      <c r="D209" s="116"/>
      <c r="E209" s="183"/>
      <c r="F209" s="267"/>
      <c r="G209" s="268"/>
    </row>
    <row r="210" spans="2:7">
      <c r="B210" s="114"/>
      <c r="C210" s="264"/>
      <c r="D210" s="116"/>
      <c r="E210" s="183"/>
      <c r="F210" s="267"/>
      <c r="G210" s="268"/>
    </row>
    <row r="211" spans="2:7">
      <c r="B211" s="114"/>
      <c r="C211" s="264"/>
      <c r="D211" s="116"/>
      <c r="E211" s="183"/>
      <c r="F211" s="267"/>
      <c r="G211" s="268"/>
    </row>
    <row r="212" spans="2:7">
      <c r="B212" s="114"/>
      <c r="C212" s="264"/>
      <c r="D212" s="116"/>
      <c r="E212" s="183"/>
      <c r="F212" s="267"/>
      <c r="G212" s="268"/>
    </row>
    <row r="213" spans="2:7">
      <c r="B213" s="114"/>
      <c r="C213" s="264"/>
      <c r="D213" s="116"/>
      <c r="E213" s="183"/>
      <c r="F213" s="267"/>
      <c r="G213" s="268"/>
    </row>
    <row r="214" spans="2:7">
      <c r="B214" s="114"/>
      <c r="C214" s="264"/>
      <c r="D214" s="116"/>
      <c r="E214" s="183"/>
      <c r="F214" s="267"/>
      <c r="G214" s="268"/>
    </row>
    <row r="215" spans="2:7">
      <c r="B215" s="114"/>
      <c r="C215" s="264"/>
      <c r="D215" s="116"/>
      <c r="E215" s="183"/>
      <c r="F215" s="267"/>
      <c r="G215" s="268"/>
    </row>
    <row r="216" spans="2:7">
      <c r="B216" s="114"/>
      <c r="C216" s="264"/>
      <c r="D216" s="116"/>
      <c r="E216" s="183"/>
      <c r="F216" s="267"/>
      <c r="G216" s="268"/>
    </row>
    <row r="217" spans="2:7">
      <c r="B217" s="41"/>
      <c r="C217" s="42"/>
      <c r="D217" s="45"/>
      <c r="E217" s="64"/>
      <c r="F217" s="41"/>
      <c r="G217" s="204"/>
    </row>
    <row r="218" spans="2:7">
      <c r="B218" s="41"/>
      <c r="C218" s="42"/>
      <c r="D218" s="45"/>
      <c r="E218" s="64"/>
      <c r="F218" s="41"/>
      <c r="G218" s="204"/>
    </row>
    <row r="219" spans="2:7">
      <c r="B219" s="114"/>
      <c r="C219" s="264"/>
      <c r="D219" s="116"/>
      <c r="E219" s="183"/>
      <c r="F219" s="267"/>
      <c r="G219" s="268"/>
    </row>
    <row r="220" spans="2:7">
      <c r="B220" s="114"/>
      <c r="C220" s="264"/>
      <c r="D220" s="116"/>
      <c r="E220" s="183"/>
      <c r="F220" s="267"/>
      <c r="G220" s="268"/>
    </row>
    <row r="221" spans="2:7">
      <c r="B221" s="114"/>
      <c r="C221" s="264"/>
      <c r="D221" s="116"/>
      <c r="E221" s="183"/>
      <c r="F221" s="267"/>
      <c r="G221" s="268"/>
    </row>
    <row r="222" spans="2:7">
      <c r="B222" s="114"/>
      <c r="C222" s="264"/>
      <c r="D222" s="116"/>
      <c r="E222" s="183"/>
      <c r="F222" s="267"/>
      <c r="G222" s="268"/>
    </row>
    <row r="223" spans="2:7">
      <c r="B223" s="114"/>
      <c r="C223" s="264"/>
      <c r="D223" s="116"/>
      <c r="E223" s="183"/>
      <c r="F223" s="267"/>
      <c r="G223" s="268"/>
    </row>
    <row r="224" spans="2:7">
      <c r="B224" s="114"/>
      <c r="C224" s="264"/>
      <c r="D224" s="116"/>
      <c r="E224" s="183"/>
      <c r="F224" s="267"/>
      <c r="G224" s="268"/>
    </row>
    <row r="225" spans="2:7">
      <c r="B225" s="114"/>
      <c r="C225" s="264"/>
      <c r="D225" s="116"/>
      <c r="E225" s="183"/>
      <c r="F225" s="267"/>
      <c r="G225" s="268"/>
    </row>
    <row r="226" spans="2:7">
      <c r="B226" s="114"/>
      <c r="C226" s="264"/>
      <c r="D226" s="116"/>
      <c r="E226" s="183"/>
      <c r="F226" s="267"/>
      <c r="G226" s="268"/>
    </row>
    <row r="227" spans="2:7">
      <c r="B227" s="114"/>
      <c r="C227" s="264"/>
      <c r="D227" s="116"/>
      <c r="E227" s="183"/>
      <c r="F227" s="267"/>
      <c r="G227" s="268"/>
    </row>
    <row r="228" spans="2:7">
      <c r="B228" s="114"/>
      <c r="C228" s="264"/>
      <c r="D228" s="116"/>
      <c r="E228" s="183"/>
      <c r="F228" s="267"/>
      <c r="G228" s="268"/>
    </row>
    <row r="229" spans="2:7">
      <c r="B229" s="114"/>
      <c r="C229" s="264"/>
      <c r="D229" s="116"/>
      <c r="E229" s="183"/>
      <c r="F229" s="267"/>
      <c r="G229" s="268"/>
    </row>
    <row r="230" spans="2:7">
      <c r="B230" s="114"/>
      <c r="C230" s="264"/>
      <c r="D230" s="116"/>
      <c r="E230" s="183"/>
      <c r="F230" s="267"/>
      <c r="G230" s="268"/>
    </row>
    <row r="231" spans="2:7">
      <c r="B231" s="114"/>
      <c r="C231" s="264"/>
      <c r="D231" s="116"/>
      <c r="E231" s="183"/>
      <c r="F231" s="267"/>
      <c r="G231" s="268"/>
    </row>
    <row r="232" spans="2:7">
      <c r="B232" s="114"/>
      <c r="C232" s="264"/>
      <c r="D232" s="116"/>
      <c r="E232" s="183"/>
      <c r="F232" s="267"/>
      <c r="G232" s="268"/>
    </row>
    <row r="233" spans="2:7">
      <c r="B233" s="114"/>
      <c r="C233" s="264"/>
      <c r="D233" s="116"/>
      <c r="E233" s="183"/>
      <c r="F233" s="267"/>
      <c r="G233" s="268"/>
    </row>
    <row r="234" spans="2:7">
      <c r="B234" s="114"/>
      <c r="C234" s="264"/>
      <c r="D234" s="116"/>
      <c r="E234" s="183"/>
      <c r="F234" s="267"/>
      <c r="G234" s="268"/>
    </row>
    <row r="235" spans="2:7">
      <c r="B235" s="114"/>
      <c r="C235" s="264"/>
      <c r="D235" s="116"/>
      <c r="E235" s="183"/>
      <c r="F235" s="267"/>
      <c r="G235" s="268"/>
    </row>
    <row r="236" spans="2:7">
      <c r="B236" s="114"/>
      <c r="C236" s="264"/>
      <c r="D236" s="116"/>
      <c r="E236" s="183"/>
      <c r="F236" s="267"/>
      <c r="G236" s="268"/>
    </row>
    <row r="237" spans="2:7">
      <c r="B237" s="41"/>
      <c r="C237" s="42"/>
      <c r="D237" s="45"/>
      <c r="E237" s="64"/>
      <c r="F237" s="41"/>
      <c r="G237" s="204"/>
    </row>
    <row r="238" spans="2:7">
      <c r="B238" s="114"/>
      <c r="C238" s="264"/>
      <c r="D238" s="116"/>
      <c r="E238" s="183"/>
      <c r="F238" s="267"/>
      <c r="G238" s="268"/>
    </row>
    <row r="239" spans="2:7">
      <c r="B239" s="114"/>
      <c r="C239" s="264"/>
      <c r="D239" s="116"/>
      <c r="E239" s="183"/>
      <c r="F239" s="267"/>
      <c r="G239" s="268"/>
    </row>
    <row r="240" spans="2:7">
      <c r="B240" s="114"/>
      <c r="C240" s="264"/>
      <c r="D240" s="116"/>
      <c r="E240" s="183"/>
      <c r="F240" s="267"/>
      <c r="G240" s="268"/>
    </row>
    <row r="241" spans="2:7">
      <c r="B241" s="114"/>
      <c r="C241" s="264"/>
      <c r="D241" s="116"/>
      <c r="E241" s="183"/>
      <c r="F241" s="267"/>
      <c r="G241" s="268"/>
    </row>
    <row r="242" spans="2:7">
      <c r="B242" s="114"/>
      <c r="C242" s="264"/>
      <c r="D242" s="116"/>
      <c r="E242" s="183"/>
      <c r="F242" s="267"/>
      <c r="G242" s="268"/>
    </row>
    <row r="243" spans="2:7">
      <c r="B243" s="114"/>
      <c r="C243" s="264"/>
      <c r="D243" s="116"/>
      <c r="E243" s="183"/>
      <c r="F243" s="267"/>
      <c r="G243" s="268"/>
    </row>
    <row r="244" spans="2:7">
      <c r="B244" s="114"/>
      <c r="C244" s="264"/>
      <c r="D244" s="116"/>
      <c r="E244" s="183"/>
      <c r="F244" s="267"/>
      <c r="G244" s="268"/>
    </row>
    <row r="245" spans="2:7">
      <c r="B245" s="114"/>
      <c r="C245" s="264"/>
      <c r="D245" s="116"/>
      <c r="E245" s="183"/>
      <c r="F245" s="267"/>
      <c r="G245" s="268"/>
    </row>
    <row r="246" spans="2:7">
      <c r="B246" s="114"/>
      <c r="C246" s="264"/>
      <c r="D246" s="116"/>
      <c r="E246" s="183"/>
      <c r="F246" s="267"/>
      <c r="G246" s="268"/>
    </row>
    <row r="247" spans="2:7">
      <c r="B247" s="114"/>
      <c r="C247" s="264"/>
      <c r="D247" s="116"/>
      <c r="E247" s="183"/>
      <c r="F247" s="267"/>
      <c r="G247" s="268"/>
    </row>
    <row r="248" spans="2:7">
      <c r="B248" s="114"/>
      <c r="C248" s="264"/>
      <c r="D248" s="116"/>
      <c r="E248" s="183"/>
      <c r="F248" s="267"/>
      <c r="G248" s="268"/>
    </row>
    <row r="249" spans="2:7">
      <c r="B249" s="114"/>
      <c r="C249" s="264"/>
      <c r="D249" s="116"/>
      <c r="E249" s="183"/>
      <c r="F249" s="267"/>
      <c r="G249" s="268"/>
    </row>
    <row r="250" spans="2:7">
      <c r="B250" s="114"/>
      <c r="C250" s="264"/>
      <c r="D250" s="116"/>
      <c r="E250" s="183"/>
      <c r="F250" s="267"/>
      <c r="G250" s="268"/>
    </row>
    <row r="251" spans="2:7">
      <c r="B251" s="114"/>
      <c r="C251" s="264"/>
      <c r="D251" s="116"/>
      <c r="E251" s="183"/>
      <c r="F251" s="267"/>
      <c r="G251" s="268"/>
    </row>
    <row r="252" spans="2:7">
      <c r="B252" s="114"/>
      <c r="C252" s="264"/>
      <c r="D252" s="116"/>
      <c r="E252" s="183"/>
      <c r="F252" s="267"/>
      <c r="G252" s="268"/>
    </row>
    <row r="253" spans="2:7">
      <c r="B253" s="114"/>
      <c r="C253" s="264"/>
      <c r="D253" s="116"/>
      <c r="E253" s="183"/>
      <c r="F253" s="267"/>
      <c r="G253" s="268"/>
    </row>
    <row r="254" spans="2:7">
      <c r="B254" s="114"/>
      <c r="C254" s="264"/>
      <c r="D254" s="116"/>
      <c r="E254" s="183"/>
      <c r="F254" s="267"/>
      <c r="G254" s="268"/>
    </row>
    <row r="255" spans="2:7">
      <c r="B255" s="114"/>
      <c r="C255" s="264"/>
      <c r="D255" s="116"/>
      <c r="E255" s="183"/>
      <c r="F255" s="267"/>
      <c r="G255" s="268"/>
    </row>
    <row r="256" spans="2:7">
      <c r="B256" s="114"/>
      <c r="C256" s="264"/>
      <c r="D256" s="116"/>
      <c r="E256" s="183"/>
      <c r="F256" s="267"/>
      <c r="G256" s="268"/>
    </row>
    <row r="257" spans="2:7">
      <c r="B257" s="114"/>
      <c r="C257" s="264"/>
      <c r="D257" s="116"/>
      <c r="E257" s="183"/>
      <c r="F257" s="34"/>
      <c r="G257" s="268"/>
    </row>
    <row r="258" spans="2:7">
      <c r="B258" s="114"/>
      <c r="C258" s="264"/>
      <c r="D258" s="116"/>
      <c r="E258" s="183"/>
      <c r="F258" s="267"/>
      <c r="G258" s="268"/>
    </row>
    <row r="259" spans="2:7">
      <c r="B259" s="114"/>
      <c r="C259" s="264"/>
      <c r="D259" s="116"/>
      <c r="E259" s="64"/>
      <c r="F259" s="267"/>
      <c r="G259" s="268"/>
    </row>
    <row r="260" spans="2:7">
      <c r="B260" s="114"/>
      <c r="C260" s="264"/>
      <c r="D260" s="116"/>
      <c r="E260" s="64"/>
      <c r="F260" s="267"/>
      <c r="G260" s="268"/>
    </row>
    <row r="261" spans="2:7">
      <c r="B261" s="114"/>
      <c r="C261" s="264"/>
      <c r="D261" s="116"/>
      <c r="E261" s="64"/>
      <c r="F261" s="267"/>
      <c r="G261" s="268"/>
    </row>
    <row r="262" spans="2:7">
      <c r="B262" s="114"/>
      <c r="C262" s="264"/>
      <c r="D262" s="116"/>
      <c r="E262" s="64"/>
      <c r="F262" s="267"/>
      <c r="G262" s="268"/>
    </row>
    <row r="263" spans="2:7">
      <c r="B263" s="114"/>
      <c r="C263" s="264"/>
      <c r="D263" s="116"/>
      <c r="E263" s="183"/>
      <c r="F263" s="267"/>
      <c r="G263" s="268"/>
    </row>
    <row r="264" spans="2:7">
      <c r="B264" s="114"/>
      <c r="C264" s="264"/>
      <c r="D264" s="116"/>
      <c r="E264" s="183"/>
      <c r="F264" s="267"/>
      <c r="G264" s="268"/>
    </row>
    <row r="265" spans="2:7">
      <c r="B265" s="114"/>
      <c r="C265" s="264"/>
      <c r="D265" s="116"/>
      <c r="E265" s="183"/>
      <c r="F265" s="267"/>
      <c r="G265" s="268"/>
    </row>
    <row r="266" spans="2:7">
      <c r="B266" s="114"/>
      <c r="C266" s="264"/>
      <c r="D266" s="116"/>
      <c r="E266" s="183"/>
      <c r="F266" s="267"/>
      <c r="G266" s="268"/>
    </row>
    <row r="267" spans="2:7">
      <c r="B267" s="114"/>
      <c r="C267" s="264"/>
      <c r="D267" s="116"/>
      <c r="E267" s="183"/>
      <c r="F267" s="267"/>
      <c r="G267" s="268"/>
    </row>
    <row r="268" spans="2:7">
      <c r="B268" s="114"/>
      <c r="C268" s="264"/>
      <c r="D268" s="116"/>
      <c r="E268" s="183"/>
      <c r="F268" s="267"/>
      <c r="G268" s="268"/>
    </row>
    <row r="269" spans="2:7">
      <c r="B269" s="114"/>
      <c r="C269" s="264"/>
      <c r="D269" s="116"/>
      <c r="E269" s="183"/>
      <c r="F269" s="267"/>
      <c r="G269" s="268"/>
    </row>
    <row r="270" spans="2:7">
      <c r="B270" s="114"/>
      <c r="C270" s="264"/>
      <c r="D270" s="116"/>
      <c r="E270" s="183"/>
      <c r="F270" s="267"/>
      <c r="G270" s="268"/>
    </row>
    <row r="271" spans="2:7">
      <c r="B271" s="93"/>
      <c r="C271" s="94"/>
      <c r="D271" s="95"/>
      <c r="E271" s="182"/>
      <c r="F271" s="93"/>
      <c r="G271" s="205"/>
    </row>
    <row r="272" spans="2:7">
      <c r="B272" s="114"/>
      <c r="C272" s="264"/>
      <c r="D272" s="116"/>
      <c r="E272" s="183"/>
      <c r="F272" s="267"/>
      <c r="G272" s="268"/>
    </row>
    <row r="273" spans="2:7">
      <c r="B273" s="114"/>
      <c r="C273" s="264"/>
      <c r="D273" s="116"/>
      <c r="E273" s="183"/>
      <c r="F273" s="267"/>
      <c r="G273" s="268"/>
    </row>
    <row r="274" spans="2:7">
      <c r="B274" s="114"/>
      <c r="C274" s="264"/>
      <c r="D274" s="116"/>
      <c r="E274" s="183"/>
      <c r="F274" s="267"/>
      <c r="G274" s="268"/>
    </row>
    <row r="275" spans="2:7">
      <c r="B275" s="114"/>
      <c r="C275" s="264"/>
      <c r="D275" s="116"/>
      <c r="E275" s="183"/>
      <c r="F275" s="267"/>
      <c r="G275" s="268"/>
    </row>
    <row r="276" spans="2:7">
      <c r="B276" s="114"/>
      <c r="C276" s="264"/>
      <c r="D276" s="116"/>
      <c r="E276" s="183"/>
      <c r="F276" s="267"/>
      <c r="G276" s="268"/>
    </row>
    <row r="277" spans="2:7">
      <c r="B277" s="114"/>
      <c r="C277" s="264"/>
      <c r="D277" s="116"/>
      <c r="E277" s="183"/>
      <c r="F277" s="267"/>
      <c r="G277" s="268"/>
    </row>
    <row r="278" spans="2:7">
      <c r="B278" s="114"/>
      <c r="C278" s="264"/>
      <c r="D278" s="116"/>
      <c r="E278" s="183"/>
      <c r="F278" s="267"/>
      <c r="G278" s="268"/>
    </row>
    <row r="279" spans="2:7">
      <c r="B279" s="114"/>
      <c r="C279" s="264"/>
      <c r="D279" s="116"/>
      <c r="E279" s="183"/>
      <c r="F279" s="267"/>
      <c r="G279" s="268"/>
    </row>
    <row r="280" spans="2:7">
      <c r="B280" s="114"/>
      <c r="C280" s="264"/>
      <c r="D280" s="116"/>
      <c r="E280" s="183"/>
      <c r="F280" s="267"/>
      <c r="G280" s="268"/>
    </row>
    <row r="281" spans="2:7">
      <c r="B281" s="114"/>
      <c r="C281" s="264"/>
      <c r="D281" s="116"/>
      <c r="E281" s="183"/>
      <c r="F281" s="267"/>
      <c r="G281" s="268"/>
    </row>
    <row r="282" spans="2:7">
      <c r="B282" s="114"/>
      <c r="C282" s="33"/>
      <c r="D282" s="36"/>
      <c r="E282" s="154"/>
      <c r="F282" s="34"/>
      <c r="G282" s="40"/>
    </row>
    <row r="283" spans="2:7">
      <c r="B283" s="114"/>
      <c r="C283" s="33"/>
      <c r="D283" s="116"/>
      <c r="E283" s="183"/>
      <c r="F283" s="267"/>
      <c r="G283" s="268"/>
    </row>
    <row r="284" spans="2:7">
      <c r="B284" s="114"/>
      <c r="C284" s="33"/>
      <c r="D284" s="36"/>
      <c r="E284" s="154"/>
      <c r="F284" s="34"/>
      <c r="G284" s="40"/>
    </row>
    <row r="285" spans="2:7">
      <c r="B285" s="114"/>
      <c r="C285" s="33"/>
      <c r="D285" s="36"/>
      <c r="E285" s="154"/>
      <c r="F285" s="267"/>
      <c r="G285" s="268"/>
    </row>
    <row r="286" spans="2:7">
      <c r="B286" s="114"/>
      <c r="C286" s="33"/>
      <c r="D286" s="36"/>
      <c r="E286" s="154"/>
      <c r="F286" s="34"/>
      <c r="G286" s="40"/>
    </row>
    <row r="287" spans="2:7">
      <c r="B287" s="114"/>
      <c r="C287" s="33"/>
      <c r="D287" s="36"/>
      <c r="E287" s="183"/>
      <c r="F287" s="267"/>
      <c r="G287" s="268"/>
    </row>
    <row r="288" spans="2:7">
      <c r="B288" s="114"/>
      <c r="C288" s="264"/>
      <c r="D288" s="116"/>
      <c r="E288" s="183"/>
      <c r="F288" s="267"/>
      <c r="G288" s="268"/>
    </row>
    <row r="289" spans="2:7">
      <c r="B289" s="114"/>
      <c r="C289" s="264"/>
      <c r="D289" s="116"/>
      <c r="E289" s="183"/>
      <c r="F289" s="267"/>
      <c r="G289" s="268"/>
    </row>
    <row r="290" spans="2:7">
      <c r="B290" s="114"/>
      <c r="C290" s="264"/>
      <c r="D290" s="116"/>
      <c r="E290" s="64"/>
      <c r="F290" s="267"/>
      <c r="G290" s="268"/>
    </row>
    <row r="291" spans="2:7">
      <c r="B291" s="41"/>
      <c r="C291" s="42"/>
      <c r="D291" s="45"/>
      <c r="E291" s="64"/>
      <c r="F291" s="41"/>
      <c r="G291" s="204"/>
    </row>
    <row r="292" spans="2:7">
      <c r="B292" s="41"/>
      <c r="C292" s="42"/>
      <c r="D292" s="45"/>
      <c r="E292" s="64"/>
      <c r="F292" s="41"/>
      <c r="G292" s="204"/>
    </row>
    <row r="293" spans="2:7">
      <c r="B293" s="41"/>
      <c r="C293" s="42"/>
      <c r="D293" s="45"/>
      <c r="E293" s="64"/>
      <c r="F293" s="41"/>
      <c r="G293" s="208"/>
    </row>
    <row r="294" spans="2:7">
      <c r="B294" s="41"/>
      <c r="C294" s="42"/>
      <c r="D294" s="45"/>
      <c r="E294" s="64"/>
      <c r="F294" s="41"/>
      <c r="G294" s="208"/>
    </row>
    <row r="295" spans="2:7">
      <c r="B295" s="41"/>
      <c r="C295" s="42"/>
      <c r="D295" s="45"/>
      <c r="E295" s="64"/>
      <c r="F295" s="41"/>
      <c r="G295" s="208"/>
    </row>
    <row r="296" spans="2:7">
      <c r="B296" s="41"/>
      <c r="C296" s="42"/>
      <c r="D296" s="45"/>
      <c r="E296" s="64"/>
      <c r="F296" s="41"/>
      <c r="G296" s="208"/>
    </row>
    <row r="297" spans="2:7">
      <c r="B297" s="41"/>
      <c r="C297" s="42"/>
      <c r="D297" s="45"/>
      <c r="E297" s="64"/>
      <c r="F297" s="41"/>
      <c r="G297" s="208"/>
    </row>
    <row r="298" spans="2:7">
      <c r="B298" s="41"/>
      <c r="C298" s="42"/>
      <c r="D298" s="45"/>
      <c r="E298" s="64"/>
      <c r="F298" s="41"/>
      <c r="G298" s="208"/>
    </row>
    <row r="299" spans="2:7">
      <c r="B299" s="41"/>
      <c r="C299" s="42"/>
      <c r="D299" s="45"/>
      <c r="E299" s="64"/>
      <c r="F299" s="41"/>
      <c r="G299" s="208"/>
    </row>
    <row r="300" spans="2:7">
      <c r="B300" s="41"/>
      <c r="C300" s="42"/>
      <c r="D300" s="45"/>
      <c r="E300" s="64"/>
      <c r="F300" s="41"/>
      <c r="G300" s="208"/>
    </row>
    <row r="301" spans="2:7">
      <c r="B301" s="41"/>
      <c r="C301" s="42"/>
      <c r="D301" s="45"/>
      <c r="E301" s="64"/>
      <c r="F301" s="41"/>
      <c r="G301" s="208"/>
    </row>
    <row r="302" spans="2:7">
      <c r="B302" s="41"/>
      <c r="C302" s="42"/>
      <c r="D302" s="45"/>
      <c r="E302" s="64"/>
      <c r="F302" s="41"/>
      <c r="G302" s="208"/>
    </row>
    <row r="303" spans="2:7">
      <c r="B303" s="41"/>
      <c r="C303" s="42"/>
      <c r="D303" s="45"/>
      <c r="E303" s="64"/>
      <c r="F303" s="41"/>
      <c r="G303" s="208"/>
    </row>
    <row r="304" spans="2:7">
      <c r="B304" s="41"/>
      <c r="C304" s="42"/>
      <c r="D304" s="45"/>
      <c r="E304" s="64"/>
      <c r="F304" s="41"/>
      <c r="G304" s="208"/>
    </row>
    <row r="305" spans="2:7">
      <c r="B305" s="41"/>
      <c r="C305" s="42"/>
      <c r="D305" s="45"/>
      <c r="E305" s="64"/>
      <c r="F305" s="41"/>
      <c r="G305" s="208"/>
    </row>
    <row r="306" spans="2:7">
      <c r="B306" s="41"/>
      <c r="C306" s="42"/>
      <c r="D306" s="45"/>
      <c r="E306" s="64"/>
      <c r="F306" s="41"/>
      <c r="G306" s="208"/>
    </row>
    <row r="307" spans="2:7">
      <c r="B307" s="41"/>
      <c r="C307" s="42"/>
      <c r="D307" s="45"/>
      <c r="E307" s="64"/>
      <c r="F307" s="41"/>
      <c r="G307" s="208"/>
    </row>
    <row r="308" spans="2:7">
      <c r="B308" s="41"/>
      <c r="C308" s="42"/>
      <c r="D308" s="45"/>
      <c r="E308" s="64"/>
      <c r="F308" s="41"/>
      <c r="G308" s="208"/>
    </row>
    <row r="309" spans="2:7">
      <c r="B309" s="41"/>
      <c r="C309" s="42"/>
      <c r="D309" s="45"/>
      <c r="E309" s="64"/>
      <c r="F309" s="41"/>
      <c r="G309" s="208"/>
    </row>
    <row r="310" spans="2:7">
      <c r="B310" s="41"/>
      <c r="C310" s="42"/>
      <c r="D310" s="45"/>
      <c r="E310" s="64"/>
      <c r="F310" s="41"/>
      <c r="G310" s="208"/>
    </row>
    <row r="311" spans="2:7">
      <c r="B311" s="41"/>
      <c r="C311" s="42"/>
      <c r="D311" s="45"/>
      <c r="E311" s="64"/>
      <c r="F311" s="41"/>
      <c r="G311" s="208"/>
    </row>
    <row r="312" spans="2:7">
      <c r="B312" s="41"/>
      <c r="C312" s="42"/>
      <c r="D312" s="45"/>
      <c r="E312" s="64"/>
      <c r="F312" s="41"/>
      <c r="G312" s="208"/>
    </row>
    <row r="313" spans="2:7">
      <c r="B313" s="41"/>
      <c r="C313" s="42"/>
      <c r="D313" s="45"/>
      <c r="E313" s="64"/>
      <c r="F313" s="41"/>
      <c r="G313" s="208"/>
    </row>
    <row r="314" spans="2:7">
      <c r="B314" s="41"/>
      <c r="C314" s="42"/>
      <c r="D314" s="45"/>
      <c r="E314" s="64"/>
      <c r="F314" s="41"/>
      <c r="G314" s="208"/>
    </row>
    <row r="315" spans="2:7">
      <c r="B315" s="41"/>
      <c r="C315" s="42"/>
      <c r="D315" s="45"/>
      <c r="E315" s="64"/>
      <c r="F315" s="41"/>
      <c r="G315" s="208"/>
    </row>
    <row r="316" spans="2:7">
      <c r="B316" s="41"/>
      <c r="C316" s="42"/>
      <c r="D316" s="45"/>
      <c r="E316" s="64"/>
      <c r="F316" s="41"/>
      <c r="G316" s="208"/>
    </row>
    <row r="317" spans="2:7">
      <c r="B317" s="41"/>
      <c r="C317" s="42"/>
      <c r="D317" s="45"/>
      <c r="E317" s="64"/>
      <c r="F317" s="41"/>
      <c r="G317" s="208"/>
    </row>
    <row r="318" spans="2:7">
      <c r="B318" s="41"/>
      <c r="C318" s="42"/>
      <c r="D318" s="45"/>
      <c r="E318" s="64"/>
      <c r="F318" s="41"/>
      <c r="G318" s="208"/>
    </row>
    <row r="319" spans="2:7">
      <c r="B319" s="114"/>
      <c r="C319" s="264"/>
      <c r="D319" s="116"/>
      <c r="E319" s="64"/>
      <c r="F319" s="267"/>
      <c r="G319" s="268"/>
    </row>
    <row r="320" spans="2:7">
      <c r="B320" s="114"/>
      <c r="C320" s="264"/>
      <c r="D320" s="116"/>
      <c r="E320" s="64"/>
      <c r="F320" s="267"/>
      <c r="G320" s="268"/>
    </row>
    <row r="321" spans="2:7">
      <c r="B321" s="114"/>
      <c r="C321" s="264"/>
      <c r="D321" s="116"/>
      <c r="E321" s="64"/>
      <c r="F321" s="267"/>
      <c r="G321" s="268"/>
    </row>
    <row r="322" spans="2:7">
      <c r="B322" s="114"/>
      <c r="C322" s="264"/>
      <c r="D322" s="116"/>
      <c r="E322" s="64"/>
      <c r="F322" s="267"/>
      <c r="G322" s="268"/>
    </row>
    <row r="323" spans="2:7">
      <c r="B323" s="114"/>
      <c r="C323" s="264"/>
      <c r="D323" s="116"/>
      <c r="E323" s="64"/>
      <c r="F323" s="267"/>
      <c r="G323" s="268"/>
    </row>
    <row r="324" spans="2:7">
      <c r="B324" s="41"/>
      <c r="C324" s="42"/>
      <c r="D324" s="45"/>
      <c r="E324" s="64"/>
      <c r="F324" s="41"/>
      <c r="G324" s="208"/>
    </row>
    <row r="325" spans="2:7">
      <c r="B325" s="41"/>
      <c r="C325" s="42"/>
      <c r="D325" s="45"/>
      <c r="E325" s="64"/>
      <c r="F325" s="41"/>
      <c r="G325" s="208"/>
    </row>
    <row r="326" spans="2:7">
      <c r="B326" s="41"/>
      <c r="C326" s="42"/>
      <c r="D326" s="45"/>
      <c r="E326" s="64"/>
      <c r="F326" s="41"/>
      <c r="G326" s="208"/>
    </row>
    <row r="327" spans="2:7">
      <c r="B327" s="41"/>
      <c r="C327" s="42"/>
      <c r="D327" s="45"/>
      <c r="E327" s="64"/>
      <c r="F327" s="41"/>
      <c r="G327" s="208"/>
    </row>
    <row r="328" spans="2:7">
      <c r="B328" s="41"/>
      <c r="C328" s="42"/>
      <c r="D328" s="45"/>
      <c r="E328" s="64"/>
      <c r="F328" s="41"/>
      <c r="G328" s="208"/>
    </row>
    <row r="329" spans="2:7">
      <c r="B329" s="41"/>
      <c r="C329" s="42"/>
      <c r="D329" s="45"/>
      <c r="E329" s="64"/>
      <c r="F329" s="41"/>
      <c r="G329" s="208"/>
    </row>
    <row r="330" spans="2:7">
      <c r="B330" s="41"/>
      <c r="C330" s="42"/>
      <c r="D330" s="45"/>
      <c r="E330" s="64"/>
      <c r="F330" s="41"/>
      <c r="G330" s="208"/>
    </row>
    <row r="331" spans="2:7">
      <c r="B331" s="41"/>
      <c r="C331" s="42"/>
      <c r="D331" s="45"/>
      <c r="E331" s="64"/>
      <c r="F331" s="41"/>
      <c r="G331" s="208"/>
    </row>
    <row r="332" spans="2:7">
      <c r="B332" s="41"/>
      <c r="C332" s="42"/>
      <c r="D332" s="45"/>
      <c r="E332" s="64"/>
      <c r="F332" s="41"/>
      <c r="G332" s="208"/>
    </row>
    <row r="333" spans="2:7">
      <c r="B333" s="41"/>
      <c r="C333" s="42"/>
      <c r="D333" s="45"/>
      <c r="E333" s="64"/>
      <c r="F333" s="41"/>
      <c r="G333" s="208"/>
    </row>
    <row r="334" spans="2:7">
      <c r="B334" s="114"/>
      <c r="C334" s="264"/>
      <c r="D334" s="116"/>
      <c r="E334" s="64"/>
      <c r="F334" s="267"/>
      <c r="G334" s="268"/>
    </row>
    <row r="335" spans="2:7">
      <c r="B335" s="41"/>
      <c r="C335" s="42"/>
      <c r="D335" s="45"/>
      <c r="E335" s="64"/>
      <c r="F335" s="41"/>
      <c r="G335" s="208"/>
    </row>
    <row r="336" spans="2:7">
      <c r="B336" s="114"/>
      <c r="C336" s="264"/>
      <c r="D336" s="116"/>
      <c r="E336" s="64"/>
      <c r="F336" s="267"/>
      <c r="G336" s="268"/>
    </row>
    <row r="337" spans="2:7">
      <c r="B337" s="114"/>
      <c r="C337" s="264"/>
      <c r="D337" s="116"/>
      <c r="E337" s="64"/>
      <c r="F337" s="267"/>
      <c r="G337" s="268"/>
    </row>
    <row r="338" spans="2:7">
      <c r="B338" s="114"/>
      <c r="C338" s="264"/>
      <c r="D338" s="116"/>
      <c r="E338" s="64"/>
      <c r="F338" s="267"/>
      <c r="G338" s="268"/>
    </row>
    <row r="339" spans="2:7">
      <c r="B339" s="114"/>
      <c r="C339" s="264"/>
      <c r="D339" s="116"/>
      <c r="E339" s="64"/>
      <c r="F339" s="267"/>
      <c r="G339" s="268"/>
    </row>
    <row r="340" spans="2:7">
      <c r="B340" s="114"/>
      <c r="C340" s="264"/>
      <c r="D340" s="116"/>
      <c r="E340" s="64"/>
      <c r="F340" s="267"/>
      <c r="G340" s="268"/>
    </row>
    <row r="341" spans="2:7">
      <c r="B341" s="41"/>
      <c r="C341" s="42"/>
      <c r="D341" s="45"/>
      <c r="E341" s="64"/>
      <c r="F341" s="41"/>
      <c r="G341" s="208"/>
    </row>
    <row r="342" spans="2:7">
      <c r="B342" s="263"/>
      <c r="C342" s="264"/>
      <c r="D342" s="116"/>
      <c r="E342" s="64"/>
      <c r="F342" s="267"/>
      <c r="G342" s="268"/>
    </row>
    <row r="343" spans="2:7">
      <c r="B343" s="41"/>
      <c r="C343" s="42"/>
      <c r="D343" s="45"/>
      <c r="E343" s="64"/>
      <c r="F343" s="41"/>
      <c r="G343" s="208"/>
    </row>
    <row r="344" spans="2:7">
      <c r="B344" s="41"/>
      <c r="C344" s="42"/>
      <c r="D344" s="45"/>
      <c r="E344" s="64"/>
      <c r="F344" s="41"/>
      <c r="G344" s="208"/>
    </row>
    <row r="345" spans="2:7">
      <c r="B345" s="41"/>
      <c r="C345" s="42"/>
      <c r="D345" s="45"/>
      <c r="E345" s="64"/>
      <c r="F345" s="41"/>
      <c r="G345" s="208"/>
    </row>
    <row r="346" spans="2:7">
      <c r="B346" s="41"/>
      <c r="C346" s="42"/>
      <c r="D346" s="45"/>
      <c r="E346" s="64"/>
      <c r="F346" s="41"/>
      <c r="G346" s="208"/>
    </row>
    <row r="347" spans="2:7">
      <c r="B347" s="41"/>
      <c r="C347" s="42"/>
      <c r="D347" s="45"/>
      <c r="E347" s="64"/>
      <c r="F347" s="41"/>
      <c r="G347" s="208"/>
    </row>
    <row r="348" spans="2:7">
      <c r="B348" s="41"/>
      <c r="C348" s="42"/>
      <c r="D348" s="45"/>
      <c r="E348" s="64"/>
      <c r="F348" s="41"/>
      <c r="G348" s="208"/>
    </row>
    <row r="349" spans="2:7">
      <c r="B349" s="41"/>
      <c r="C349" s="42"/>
      <c r="D349" s="45"/>
      <c r="E349" s="64"/>
      <c r="F349" s="41"/>
      <c r="G349" s="208"/>
    </row>
    <row r="350" spans="2:7">
      <c r="B350" s="41"/>
      <c r="C350" s="42"/>
      <c r="D350" s="45"/>
      <c r="E350" s="64"/>
      <c r="F350" s="41"/>
      <c r="G350" s="208"/>
    </row>
    <row r="351" spans="2:7">
      <c r="B351" s="41"/>
      <c r="C351" s="42"/>
      <c r="D351" s="45"/>
      <c r="E351" s="64"/>
      <c r="F351" s="41"/>
      <c r="G351" s="208"/>
    </row>
    <row r="352" spans="2:7">
      <c r="B352" s="41"/>
      <c r="C352" s="42"/>
      <c r="D352" s="45"/>
      <c r="E352" s="64"/>
      <c r="F352" s="41"/>
      <c r="G352" s="208"/>
    </row>
    <row r="353" spans="2:7">
      <c r="B353" s="41"/>
      <c r="C353" s="42"/>
      <c r="D353" s="45"/>
      <c r="E353" s="64"/>
      <c r="F353" s="41"/>
      <c r="G353" s="208"/>
    </row>
    <row r="354" spans="2:7">
      <c r="B354" s="41"/>
      <c r="C354" s="42"/>
      <c r="D354" s="45"/>
      <c r="E354" s="64"/>
      <c r="F354" s="41"/>
      <c r="G354" s="208"/>
    </row>
    <row r="355" spans="2:7">
      <c r="B355" s="263"/>
      <c r="C355" s="264"/>
      <c r="D355" s="116"/>
      <c r="E355" s="183"/>
      <c r="F355" s="267"/>
      <c r="G355" s="268"/>
    </row>
    <row r="356" spans="2:7">
      <c r="B356" s="263"/>
      <c r="C356" s="264"/>
      <c r="D356" s="116"/>
      <c r="E356" s="183"/>
      <c r="F356" s="267"/>
      <c r="G356" s="268"/>
    </row>
    <row r="357" spans="2:7">
      <c r="B357" s="114"/>
      <c r="C357" s="264"/>
      <c r="D357" s="116"/>
      <c r="E357" s="183"/>
      <c r="F357" s="267"/>
      <c r="G357" s="268"/>
    </row>
    <row r="358" spans="2:7">
      <c r="B358" s="41"/>
      <c r="C358" s="42"/>
      <c r="D358" s="45"/>
      <c r="E358" s="64"/>
      <c r="F358" s="41"/>
      <c r="G358" s="208"/>
    </row>
    <row r="359" spans="2:7">
      <c r="B359" s="263"/>
      <c r="C359" s="264"/>
      <c r="D359" s="116"/>
      <c r="E359" s="183"/>
      <c r="F359" s="267"/>
      <c r="G359" s="268"/>
    </row>
    <row r="360" spans="2:7">
      <c r="B360" s="41"/>
      <c r="C360" s="42"/>
      <c r="D360" s="45"/>
      <c r="E360" s="64"/>
      <c r="F360" s="41"/>
      <c r="G360" s="208"/>
    </row>
    <row r="361" spans="2:7">
      <c r="B361" s="263"/>
      <c r="C361" s="264"/>
      <c r="D361" s="116"/>
      <c r="E361" s="183"/>
      <c r="F361" s="267"/>
      <c r="G361" s="268"/>
    </row>
    <row r="362" spans="2:7">
      <c r="B362" s="41"/>
      <c r="C362" s="42"/>
      <c r="D362" s="45"/>
      <c r="E362" s="64"/>
      <c r="F362" s="41"/>
      <c r="G362" s="208"/>
    </row>
    <row r="363" spans="2:7">
      <c r="B363" s="41"/>
      <c r="C363" s="42"/>
      <c r="D363" s="45"/>
      <c r="E363" s="64"/>
      <c r="F363" s="41"/>
      <c r="G363" s="208"/>
    </row>
    <row r="364" spans="2:7">
      <c r="B364" s="41"/>
      <c r="C364" s="42"/>
      <c r="D364" s="45"/>
      <c r="E364" s="64"/>
      <c r="F364" s="41"/>
      <c r="G364" s="208"/>
    </row>
    <row r="365" spans="2:7">
      <c r="B365" s="41"/>
      <c r="C365" s="42"/>
      <c r="D365" s="45"/>
      <c r="E365" s="64"/>
      <c r="F365" s="41"/>
      <c r="G365" s="208"/>
    </row>
    <row r="366" spans="2:7">
      <c r="B366" s="41"/>
      <c r="C366" s="42"/>
      <c r="D366" s="45"/>
      <c r="E366" s="64"/>
      <c r="F366" s="41"/>
      <c r="G366" s="208"/>
    </row>
    <row r="367" spans="2:7">
      <c r="B367" s="41"/>
      <c r="C367" s="42"/>
      <c r="D367" s="45"/>
      <c r="E367" s="64"/>
      <c r="F367" s="41"/>
      <c r="G367" s="208"/>
    </row>
    <row r="368" spans="2:7">
      <c r="B368" s="41"/>
      <c r="C368" s="42"/>
      <c r="D368" s="45"/>
      <c r="E368" s="64"/>
      <c r="F368" s="41"/>
      <c r="G368" s="208"/>
    </row>
    <row r="369" spans="2:7">
      <c r="B369" s="41"/>
      <c r="C369" s="42"/>
      <c r="D369" s="45"/>
      <c r="E369" s="64"/>
      <c r="F369" s="41"/>
      <c r="G369" s="208"/>
    </row>
    <row r="370" spans="2:7">
      <c r="B370" s="41"/>
      <c r="C370" s="42"/>
      <c r="D370" s="45"/>
      <c r="E370" s="64"/>
      <c r="F370" s="41"/>
      <c r="G370" s="208"/>
    </row>
    <row r="371" spans="2:7">
      <c r="B371" s="41"/>
      <c r="C371" s="42"/>
      <c r="D371" s="45"/>
      <c r="E371" s="64"/>
      <c r="F371" s="41"/>
      <c r="G371" s="208"/>
    </row>
    <row r="372" spans="2:7">
      <c r="B372" s="41"/>
      <c r="C372" s="42"/>
      <c r="D372" s="45"/>
      <c r="E372" s="64"/>
      <c r="F372" s="41"/>
      <c r="G372" s="208"/>
    </row>
    <row r="373" spans="2:7">
      <c r="B373" s="41"/>
      <c r="C373" s="42"/>
      <c r="D373" s="45"/>
      <c r="E373" s="64"/>
      <c r="F373" s="41"/>
      <c r="G373" s="208"/>
    </row>
    <row r="374" spans="2:7">
      <c r="B374" s="41"/>
      <c r="C374" s="42"/>
      <c r="D374" s="45"/>
      <c r="E374" s="64"/>
      <c r="F374" s="41"/>
      <c r="G374" s="208"/>
    </row>
    <row r="375" spans="2:7">
      <c r="B375" s="41"/>
      <c r="C375" s="42"/>
      <c r="D375" s="45"/>
      <c r="E375" s="64"/>
      <c r="F375" s="41"/>
      <c r="G375" s="208"/>
    </row>
    <row r="376" spans="2:7">
      <c r="B376" s="41"/>
      <c r="C376" s="42"/>
      <c r="D376" s="45"/>
      <c r="E376" s="64"/>
      <c r="F376" s="41"/>
      <c r="G376" s="208"/>
    </row>
    <row r="377" spans="2:7">
      <c r="B377" s="41"/>
      <c r="C377" s="42"/>
      <c r="D377" s="45"/>
      <c r="E377" s="64"/>
      <c r="F377" s="41"/>
      <c r="G377" s="208"/>
    </row>
    <row r="378" spans="2:7">
      <c r="B378" s="41"/>
      <c r="C378" s="42"/>
      <c r="D378" s="45"/>
      <c r="E378" s="64"/>
      <c r="F378" s="41"/>
      <c r="G378" s="208"/>
    </row>
    <row r="379" spans="2:7">
      <c r="B379" s="41"/>
      <c r="C379" s="42"/>
      <c r="D379" s="45"/>
      <c r="E379" s="64"/>
      <c r="F379" s="41"/>
      <c r="G379" s="208"/>
    </row>
    <row r="380" spans="2:7">
      <c r="B380" s="41"/>
      <c r="C380" s="42"/>
      <c r="D380" s="45"/>
      <c r="E380" s="64"/>
      <c r="F380" s="41"/>
      <c r="G380" s="208"/>
    </row>
    <row r="381" spans="2:7">
      <c r="B381" s="41"/>
      <c r="C381" s="42"/>
      <c r="D381" s="45"/>
      <c r="E381" s="64"/>
      <c r="F381" s="41"/>
      <c r="G381" s="208"/>
    </row>
    <row r="382" spans="2:7">
      <c r="B382" s="41"/>
      <c r="C382" s="42"/>
      <c r="D382" s="45"/>
      <c r="E382" s="64"/>
      <c r="F382" s="41"/>
      <c r="G382" s="208"/>
    </row>
    <row r="383" spans="2:7">
      <c r="B383" s="41"/>
      <c r="C383" s="42"/>
      <c r="D383" s="45"/>
      <c r="E383" s="64"/>
      <c r="F383" s="41"/>
      <c r="G383" s="208"/>
    </row>
    <row r="384" spans="2:7">
      <c r="B384" s="41"/>
      <c r="C384" s="42"/>
      <c r="D384" s="45"/>
      <c r="E384" s="64"/>
      <c r="F384" s="41"/>
      <c r="G384" s="208"/>
    </row>
    <row r="385" spans="2:7">
      <c r="B385" s="263"/>
      <c r="C385" s="264"/>
      <c r="D385" s="116"/>
      <c r="E385" s="183"/>
      <c r="F385" s="267"/>
      <c r="G385" s="268"/>
    </row>
    <row r="386" spans="2:7">
      <c r="B386" s="41"/>
      <c r="C386" s="42"/>
      <c r="D386" s="45"/>
      <c r="E386" s="64"/>
      <c r="F386" s="41"/>
      <c r="G386" s="208"/>
    </row>
    <row r="387" spans="2:7">
      <c r="B387" s="41"/>
      <c r="C387" s="42"/>
      <c r="D387" s="45"/>
      <c r="E387" s="64"/>
      <c r="F387" s="41"/>
      <c r="G387" s="208"/>
    </row>
    <row r="388" spans="2:7">
      <c r="B388" s="41"/>
      <c r="C388" s="42"/>
      <c r="D388" s="45"/>
      <c r="E388" s="64"/>
      <c r="F388" s="41"/>
      <c r="G388" s="208"/>
    </row>
    <row r="389" spans="2:7">
      <c r="B389" s="41"/>
      <c r="C389" s="42"/>
      <c r="D389" s="45"/>
      <c r="E389" s="64"/>
      <c r="F389" s="41"/>
      <c r="G389" s="208"/>
    </row>
    <row r="390" spans="2:7">
      <c r="B390" s="41"/>
      <c r="C390" s="42"/>
      <c r="D390" s="45"/>
      <c r="E390" s="64"/>
      <c r="F390" s="41"/>
      <c r="G390" s="208"/>
    </row>
    <row r="391" spans="2:7">
      <c r="B391" s="41"/>
      <c r="C391" s="42"/>
      <c r="D391" s="45"/>
      <c r="E391" s="64"/>
      <c r="F391" s="41"/>
      <c r="G391" s="208"/>
    </row>
    <row r="392" spans="2:7">
      <c r="B392" s="41"/>
      <c r="C392" s="42"/>
      <c r="D392" s="45"/>
      <c r="E392" s="64"/>
      <c r="F392" s="41"/>
      <c r="G392" s="208"/>
    </row>
    <row r="393" spans="2:7">
      <c r="B393" s="41"/>
      <c r="C393" s="42"/>
      <c r="D393" s="45"/>
      <c r="E393" s="64"/>
      <c r="F393" s="41"/>
      <c r="G393" s="208"/>
    </row>
    <row r="394" spans="2:7">
      <c r="B394" s="41"/>
      <c r="C394" s="42"/>
      <c r="D394" s="45"/>
      <c r="E394" s="64"/>
      <c r="F394" s="41"/>
      <c r="G394" s="208"/>
    </row>
    <row r="395" spans="2:7">
      <c r="B395" s="41"/>
      <c r="C395" s="42"/>
      <c r="D395" s="45"/>
      <c r="E395" s="64"/>
      <c r="F395" s="41"/>
      <c r="G395" s="208"/>
    </row>
    <row r="396" spans="2:7">
      <c r="B396" s="41"/>
      <c r="C396" s="42"/>
      <c r="D396" s="45"/>
      <c r="E396" s="64"/>
      <c r="F396" s="41"/>
      <c r="G396" s="208"/>
    </row>
    <row r="397" spans="2:7">
      <c r="B397" s="41"/>
      <c r="C397" s="42"/>
      <c r="D397" s="45"/>
      <c r="E397" s="64"/>
      <c r="F397" s="41"/>
      <c r="G397" s="208"/>
    </row>
    <row r="398" spans="2:7">
      <c r="B398" s="263"/>
      <c r="C398" s="264"/>
      <c r="D398" s="116"/>
      <c r="E398" s="64"/>
      <c r="F398" s="267"/>
      <c r="G398" s="268"/>
    </row>
    <row r="399" spans="2:7">
      <c r="B399" s="41"/>
      <c r="C399" s="42"/>
      <c r="D399" s="45"/>
      <c r="E399" s="64"/>
      <c r="F399" s="41"/>
      <c r="G399" s="208"/>
    </row>
    <row r="400" spans="2:7">
      <c r="B400" s="41"/>
      <c r="C400" s="42"/>
      <c r="D400" s="45"/>
      <c r="E400" s="64"/>
      <c r="F400" s="41"/>
      <c r="G400" s="208"/>
    </row>
    <row r="401" spans="2:7">
      <c r="B401" s="263"/>
      <c r="C401" s="264"/>
      <c r="D401" s="116"/>
      <c r="E401" s="64"/>
      <c r="F401" s="267"/>
      <c r="G401" s="268"/>
    </row>
    <row r="402" spans="2:7">
      <c r="B402" s="41"/>
      <c r="C402" s="42"/>
      <c r="D402" s="45"/>
      <c r="E402" s="64"/>
      <c r="F402" s="41"/>
      <c r="G402" s="208"/>
    </row>
    <row r="403" spans="2:7">
      <c r="B403" s="263"/>
      <c r="C403" s="264"/>
      <c r="D403" s="116"/>
      <c r="E403" s="64"/>
      <c r="F403" s="267"/>
      <c r="G403" s="268"/>
    </row>
    <row r="404" spans="2:7">
      <c r="B404" s="41"/>
      <c r="C404" s="42"/>
      <c r="D404" s="45"/>
      <c r="E404" s="64"/>
      <c r="F404" s="41"/>
      <c r="G404" s="208"/>
    </row>
    <row r="405" spans="2:7">
      <c r="B405" s="41"/>
      <c r="C405" s="42"/>
      <c r="D405" s="45"/>
      <c r="E405" s="64"/>
      <c r="F405" s="41"/>
      <c r="G405" s="208"/>
    </row>
    <row r="406" spans="2:7">
      <c r="B406" s="41"/>
      <c r="C406" s="42"/>
      <c r="D406" s="45"/>
      <c r="E406" s="64"/>
      <c r="F406" s="41"/>
      <c r="G406" s="208"/>
    </row>
    <row r="407" spans="2:7">
      <c r="B407" s="41"/>
      <c r="C407" s="42"/>
      <c r="D407" s="45"/>
      <c r="E407" s="64"/>
      <c r="F407" s="41"/>
      <c r="G407" s="208"/>
    </row>
    <row r="408" spans="2:7">
      <c r="B408" s="41"/>
      <c r="C408" s="42"/>
      <c r="D408" s="45"/>
      <c r="E408" s="64"/>
      <c r="F408" s="41"/>
      <c r="G408" s="208"/>
    </row>
    <row r="409" spans="2:7">
      <c r="B409" s="41"/>
      <c r="C409" s="42"/>
      <c r="D409" s="45"/>
      <c r="E409" s="64"/>
      <c r="F409" s="41"/>
      <c r="G409" s="208"/>
    </row>
    <row r="410" spans="2:7">
      <c r="B410" s="41"/>
      <c r="C410" s="42"/>
      <c r="D410" s="45"/>
      <c r="E410" s="64"/>
      <c r="F410" s="41"/>
      <c r="G410" s="208"/>
    </row>
    <row r="411" spans="2:7">
      <c r="B411" s="41"/>
      <c r="C411" s="42"/>
      <c r="D411" s="45"/>
      <c r="E411" s="64"/>
      <c r="F411" s="41"/>
      <c r="G411" s="208"/>
    </row>
    <row r="412" spans="2:7">
      <c r="B412" s="41"/>
      <c r="C412" s="42"/>
      <c r="D412" s="45"/>
      <c r="E412" s="64"/>
      <c r="F412" s="41"/>
      <c r="G412" s="208"/>
    </row>
    <row r="413" spans="2:7">
      <c r="B413" s="41"/>
      <c r="C413" s="42"/>
      <c r="D413" s="45"/>
      <c r="E413" s="64"/>
      <c r="F413" s="41"/>
      <c r="G413" s="208"/>
    </row>
    <row r="414" spans="2:7">
      <c r="B414" s="41"/>
      <c r="C414" s="42"/>
      <c r="D414" s="45"/>
      <c r="E414" s="64"/>
      <c r="F414" s="41"/>
      <c r="G414" s="208"/>
    </row>
    <row r="415" spans="2:7">
      <c r="B415" s="41"/>
      <c r="C415" s="42"/>
      <c r="D415" s="45"/>
      <c r="E415" s="64"/>
      <c r="F415" s="41"/>
      <c r="G415" s="208"/>
    </row>
    <row r="416" spans="2:7">
      <c r="B416" s="41"/>
      <c r="C416" s="42"/>
      <c r="D416" s="45"/>
      <c r="E416" s="64"/>
      <c r="F416" s="41"/>
      <c r="G416" s="208"/>
    </row>
    <row r="417" spans="2:7">
      <c r="B417" s="41"/>
      <c r="C417" s="42"/>
      <c r="D417" s="45"/>
      <c r="E417" s="64"/>
      <c r="F417" s="41"/>
      <c r="G417" s="208"/>
    </row>
    <row r="418" spans="2:7">
      <c r="B418" s="41"/>
      <c r="C418" s="42"/>
      <c r="D418" s="45"/>
      <c r="E418" s="64"/>
      <c r="F418" s="41"/>
      <c r="G418" s="208"/>
    </row>
    <row r="419" spans="2:7">
      <c r="B419" s="41"/>
      <c r="C419" s="42"/>
      <c r="D419" s="45"/>
      <c r="E419" s="64"/>
      <c r="F419" s="41"/>
      <c r="G419" s="208"/>
    </row>
    <row r="420" spans="2:7">
      <c r="B420" s="41"/>
      <c r="C420" s="42"/>
      <c r="D420" s="45"/>
      <c r="E420" s="64"/>
      <c r="F420" s="41"/>
      <c r="G420" s="208"/>
    </row>
    <row r="421" spans="2:7">
      <c r="B421" s="41"/>
      <c r="C421" s="42"/>
      <c r="D421" s="45"/>
      <c r="E421" s="64"/>
      <c r="F421" s="41"/>
      <c r="G421" s="208"/>
    </row>
    <row r="422" spans="2:7">
      <c r="B422" s="263"/>
      <c r="C422" s="264"/>
      <c r="D422" s="116"/>
      <c r="E422" s="64"/>
      <c r="F422" s="267"/>
      <c r="G422" s="268"/>
    </row>
    <row r="423" spans="2:7">
      <c r="B423" s="41"/>
      <c r="C423" s="42"/>
      <c r="D423" s="45"/>
      <c r="E423" s="64"/>
      <c r="F423" s="41"/>
      <c r="G423" s="208"/>
    </row>
    <row r="424" spans="2:7">
      <c r="B424" s="41"/>
      <c r="C424" s="42"/>
      <c r="D424" s="45"/>
      <c r="E424" s="64"/>
      <c r="F424" s="41"/>
      <c r="G424" s="208"/>
    </row>
    <row r="425" spans="2:7">
      <c r="B425" s="41"/>
      <c r="C425" s="42"/>
      <c r="D425" s="45"/>
      <c r="E425" s="64"/>
      <c r="F425" s="41"/>
      <c r="G425" s="208"/>
    </row>
    <row r="426" spans="2:7">
      <c r="B426" s="41"/>
      <c r="C426" s="42"/>
      <c r="D426" s="45"/>
      <c r="E426" s="64"/>
      <c r="F426" s="41"/>
      <c r="G426" s="208"/>
    </row>
    <row r="427" spans="2:7">
      <c r="B427" s="41"/>
      <c r="C427" s="42"/>
      <c r="D427" s="45"/>
      <c r="E427" s="64"/>
      <c r="F427" s="41"/>
      <c r="G427" s="208"/>
    </row>
    <row r="428" spans="2:7">
      <c r="B428" s="41"/>
      <c r="C428" s="42"/>
      <c r="D428" s="45"/>
      <c r="E428" s="64"/>
      <c r="F428" s="41"/>
      <c r="G428" s="208"/>
    </row>
    <row r="429" spans="2:7">
      <c r="B429" s="41"/>
      <c r="C429" s="42"/>
      <c r="D429" s="45"/>
      <c r="E429" s="64"/>
      <c r="F429" s="41"/>
      <c r="G429" s="208"/>
    </row>
    <row r="430" spans="2:7">
      <c r="B430" s="41"/>
      <c r="C430" s="42"/>
      <c r="D430" s="45"/>
      <c r="E430" s="64"/>
      <c r="F430" s="41"/>
      <c r="G430" s="208"/>
    </row>
    <row r="431" spans="2:7">
      <c r="B431" s="41"/>
      <c r="C431" s="42"/>
      <c r="D431" s="45"/>
      <c r="E431" s="64"/>
      <c r="F431" s="41"/>
      <c r="G431" s="208"/>
    </row>
    <row r="432" spans="2:7">
      <c r="B432" s="41"/>
      <c r="C432" s="42"/>
      <c r="D432" s="45"/>
      <c r="E432" s="64"/>
      <c r="F432" s="41"/>
      <c r="G432" s="208"/>
    </row>
    <row r="433" spans="2:7">
      <c r="B433" s="41"/>
      <c r="C433" s="42"/>
      <c r="D433" s="45"/>
      <c r="E433" s="64"/>
      <c r="F433" s="41"/>
      <c r="G433" s="208"/>
    </row>
    <row r="434" spans="2:7">
      <c r="B434" s="41"/>
      <c r="C434" s="42"/>
      <c r="D434" s="45"/>
      <c r="E434" s="64"/>
      <c r="F434" s="41"/>
      <c r="G434" s="208"/>
    </row>
    <row r="435" spans="2:7">
      <c r="B435" s="41"/>
      <c r="C435" s="42"/>
      <c r="D435" s="45"/>
      <c r="E435" s="64"/>
      <c r="F435" s="41"/>
      <c r="G435" s="208"/>
    </row>
    <row r="436" spans="2:7">
      <c r="B436" s="41"/>
      <c r="C436" s="42"/>
      <c r="D436" s="45"/>
      <c r="E436" s="64"/>
      <c r="F436" s="41"/>
      <c r="G436" s="208"/>
    </row>
    <row r="437" spans="2:7">
      <c r="B437" s="41"/>
      <c r="C437" s="42"/>
      <c r="D437" s="45"/>
      <c r="E437" s="64"/>
      <c r="F437" s="41"/>
      <c r="G437" s="208"/>
    </row>
    <row r="438" spans="2:7">
      <c r="B438" s="41"/>
      <c r="C438" s="42"/>
      <c r="D438" s="45"/>
      <c r="E438" s="64"/>
      <c r="F438" s="41"/>
      <c r="G438" s="208"/>
    </row>
    <row r="439" spans="2:7">
      <c r="B439" s="41"/>
      <c r="C439" s="42"/>
      <c r="D439" s="45"/>
      <c r="E439" s="64"/>
      <c r="F439" s="41"/>
      <c r="G439" s="208"/>
    </row>
    <row r="440" spans="2:7">
      <c r="B440" s="41"/>
      <c r="C440" s="42"/>
      <c r="D440" s="45"/>
      <c r="E440" s="64"/>
      <c r="F440" s="41"/>
      <c r="G440" s="208"/>
    </row>
    <row r="441" spans="2:7">
      <c r="B441" s="41"/>
      <c r="C441" s="42"/>
      <c r="D441" s="45"/>
      <c r="E441" s="64"/>
      <c r="F441" s="41"/>
      <c r="G441" s="208"/>
    </row>
    <row r="442" spans="2:7">
      <c r="B442" s="41"/>
      <c r="C442" s="42"/>
      <c r="D442" s="45"/>
      <c r="E442" s="64"/>
      <c r="F442" s="41"/>
      <c r="G442" s="208"/>
    </row>
    <row r="443" spans="2:7">
      <c r="B443" s="41"/>
      <c r="C443" s="42"/>
      <c r="D443" s="45"/>
      <c r="E443" s="64"/>
      <c r="F443" s="41"/>
      <c r="G443" s="208"/>
    </row>
    <row r="444" spans="2:7">
      <c r="B444" s="41"/>
      <c r="C444" s="42"/>
      <c r="D444" s="45"/>
      <c r="E444" s="64"/>
      <c r="F444" s="41"/>
      <c r="G444" s="208"/>
    </row>
    <row r="445" spans="2:7">
      <c r="B445" s="41"/>
      <c r="C445" s="42"/>
      <c r="D445" s="45"/>
      <c r="E445" s="64"/>
      <c r="F445" s="41"/>
      <c r="G445" s="208"/>
    </row>
    <row r="446" spans="2:7">
      <c r="B446" s="41"/>
      <c r="C446" s="42"/>
      <c r="D446" s="45"/>
      <c r="E446" s="64"/>
      <c r="F446" s="41"/>
      <c r="G446" s="208"/>
    </row>
    <row r="447" spans="2:7">
      <c r="B447" s="41"/>
      <c r="C447" s="42"/>
      <c r="D447" s="45"/>
      <c r="E447" s="64"/>
      <c r="F447" s="41"/>
      <c r="G447" s="208"/>
    </row>
    <row r="448" spans="2:7">
      <c r="B448" s="41"/>
      <c r="C448" s="42"/>
      <c r="D448" s="45"/>
      <c r="E448" s="64"/>
      <c r="F448" s="41"/>
      <c r="G448" s="208"/>
    </row>
    <row r="449" spans="2:7">
      <c r="B449" s="41"/>
      <c r="C449" s="42"/>
      <c r="D449" s="45"/>
      <c r="E449" s="64"/>
      <c r="F449" s="41"/>
      <c r="G449" s="208"/>
    </row>
    <row r="450" spans="2:7">
      <c r="B450" s="41"/>
      <c r="C450" s="42"/>
      <c r="D450" s="45"/>
      <c r="E450" s="64"/>
      <c r="F450" s="41"/>
      <c r="G450" s="208"/>
    </row>
    <row r="451" spans="2:7">
      <c r="B451" s="41"/>
      <c r="C451" s="42"/>
      <c r="D451" s="45"/>
      <c r="E451" s="64"/>
      <c r="F451" s="41"/>
      <c r="G451" s="208"/>
    </row>
    <row r="452" spans="2:7">
      <c r="B452" s="41"/>
      <c r="C452" s="42"/>
      <c r="D452" s="45"/>
      <c r="E452" s="64"/>
      <c r="F452" s="41"/>
      <c r="G452" s="208"/>
    </row>
    <row r="453" spans="2:7">
      <c r="B453" s="41"/>
      <c r="C453" s="42"/>
      <c r="D453" s="45"/>
      <c r="E453" s="64"/>
      <c r="F453" s="41"/>
      <c r="G453" s="208"/>
    </row>
    <row r="454" spans="2:7">
      <c r="B454" s="263"/>
      <c r="C454" s="264"/>
      <c r="D454" s="116"/>
      <c r="E454" s="64"/>
      <c r="F454" s="267"/>
      <c r="G454" s="268"/>
    </row>
    <row r="455" spans="2:7">
      <c r="B455" s="41"/>
      <c r="C455" s="42"/>
      <c r="D455" s="45"/>
      <c r="E455" s="64"/>
      <c r="F455" s="41"/>
      <c r="G455" s="208"/>
    </row>
    <row r="456" spans="2:7">
      <c r="B456" s="41"/>
      <c r="C456" s="42"/>
      <c r="D456" s="45"/>
      <c r="E456" s="64"/>
      <c r="F456" s="41"/>
      <c r="G456" s="208"/>
    </row>
    <row r="457" spans="2:7">
      <c r="B457" s="41"/>
      <c r="C457" s="42"/>
      <c r="D457" s="45"/>
      <c r="E457" s="64"/>
      <c r="F457" s="41"/>
      <c r="G457" s="208"/>
    </row>
    <row r="458" spans="2:7">
      <c r="B458" s="41"/>
      <c r="C458" s="42"/>
      <c r="D458" s="45"/>
      <c r="E458" s="64"/>
      <c r="F458" s="41"/>
      <c r="G458" s="208"/>
    </row>
    <row r="459" spans="2:7">
      <c r="B459" s="41"/>
      <c r="C459" s="42"/>
      <c r="D459" s="45"/>
      <c r="E459" s="64"/>
      <c r="F459" s="41"/>
      <c r="G459" s="208"/>
    </row>
    <row r="460" spans="2:7">
      <c r="B460" s="41"/>
      <c r="C460" s="42"/>
      <c r="D460" s="45"/>
      <c r="E460" s="64"/>
      <c r="F460" s="41"/>
      <c r="G460" s="208"/>
    </row>
    <row r="461" spans="2:7">
      <c r="B461" s="41"/>
      <c r="C461" s="42"/>
      <c r="D461" s="45"/>
      <c r="E461" s="64"/>
      <c r="F461" s="41"/>
      <c r="G461" s="208"/>
    </row>
    <row r="462" spans="2:7">
      <c r="B462" s="41"/>
      <c r="C462" s="42"/>
      <c r="D462" s="45"/>
      <c r="E462" s="64"/>
      <c r="F462" s="41"/>
      <c r="G462" s="208"/>
    </row>
    <row r="463" spans="2:7">
      <c r="B463" s="41"/>
      <c r="C463" s="42"/>
      <c r="D463" s="45"/>
      <c r="E463" s="64"/>
      <c r="F463" s="41"/>
      <c r="G463" s="208"/>
    </row>
    <row r="464" spans="2:7">
      <c r="B464" s="41"/>
      <c r="C464" s="42"/>
      <c r="D464" s="45"/>
      <c r="E464" s="64"/>
      <c r="F464" s="41"/>
      <c r="G464" s="208"/>
    </row>
    <row r="465" spans="2:7">
      <c r="B465" s="41"/>
      <c r="C465" s="42"/>
      <c r="D465" s="45"/>
      <c r="E465" s="64"/>
      <c r="F465" s="41"/>
      <c r="G465" s="208"/>
    </row>
    <row r="466" spans="2:7">
      <c r="B466" s="41"/>
      <c r="C466" s="42"/>
      <c r="D466" s="45"/>
      <c r="E466" s="64"/>
      <c r="F466" s="41"/>
      <c r="G466" s="208"/>
    </row>
    <row r="467" spans="2:7">
      <c r="B467" s="41"/>
      <c r="C467" s="42"/>
      <c r="D467" s="45"/>
      <c r="E467" s="64"/>
      <c r="F467" s="41"/>
      <c r="G467" s="208"/>
    </row>
    <row r="468" spans="2:7">
      <c r="B468" s="41"/>
      <c r="C468" s="42"/>
      <c r="D468" s="45"/>
      <c r="E468" s="64"/>
      <c r="F468" s="41"/>
      <c r="G468" s="208"/>
    </row>
    <row r="469" spans="2:7">
      <c r="B469" s="41"/>
      <c r="C469" s="42"/>
      <c r="D469" s="45"/>
      <c r="E469" s="64"/>
      <c r="F469" s="41"/>
      <c r="G469" s="208"/>
    </row>
    <row r="470" spans="2:7">
      <c r="B470" s="41"/>
      <c r="C470" s="42"/>
      <c r="D470" s="45"/>
      <c r="E470" s="64"/>
      <c r="F470" s="41"/>
      <c r="G470" s="208"/>
    </row>
    <row r="471" spans="2:7">
      <c r="B471" s="41"/>
      <c r="C471" s="42"/>
      <c r="D471" s="45"/>
      <c r="E471" s="64"/>
      <c r="F471" s="41"/>
      <c r="G471" s="208"/>
    </row>
    <row r="472" spans="2:7">
      <c r="B472" s="41"/>
      <c r="C472" s="42"/>
      <c r="D472" s="45"/>
      <c r="E472" s="64"/>
      <c r="F472" s="41"/>
      <c r="G472" s="208"/>
    </row>
    <row r="473" spans="2:7">
      <c r="B473" s="41"/>
      <c r="C473" s="42"/>
      <c r="D473" s="45"/>
      <c r="E473" s="64"/>
      <c r="F473" s="41"/>
      <c r="G473" s="208"/>
    </row>
    <row r="474" spans="2:7">
      <c r="B474" s="41"/>
      <c r="C474" s="42"/>
      <c r="D474" s="45"/>
      <c r="E474" s="64"/>
      <c r="F474" s="41"/>
      <c r="G474" s="208"/>
    </row>
    <row r="475" spans="2:7">
      <c r="B475" s="41"/>
      <c r="C475" s="42"/>
      <c r="D475" s="45"/>
      <c r="E475" s="64"/>
      <c r="F475" s="41"/>
      <c r="G475" s="208"/>
    </row>
    <row r="476" spans="2:7">
      <c r="B476" s="41"/>
      <c r="C476" s="42"/>
      <c r="D476" s="45"/>
      <c r="E476" s="64"/>
      <c r="F476" s="41"/>
      <c r="G476" s="208"/>
    </row>
    <row r="477" spans="2:7">
      <c r="B477" s="41"/>
      <c r="C477" s="42"/>
      <c r="D477" s="45"/>
      <c r="E477" s="64"/>
      <c r="F477" s="41"/>
      <c r="G477" s="208"/>
    </row>
    <row r="478" spans="2:7">
      <c r="B478" s="41"/>
      <c r="C478" s="42"/>
      <c r="D478" s="45"/>
      <c r="E478" s="64"/>
      <c r="F478" s="41"/>
      <c r="G478" s="208"/>
    </row>
    <row r="479" spans="2:7">
      <c r="B479" s="41"/>
      <c r="C479" s="42"/>
      <c r="D479" s="45"/>
      <c r="E479" s="64"/>
      <c r="F479" s="41"/>
      <c r="G479" s="208"/>
    </row>
    <row r="480" spans="2:7">
      <c r="B480" s="41"/>
      <c r="C480" s="42"/>
      <c r="D480" s="45"/>
      <c r="E480" s="64"/>
      <c r="F480" s="41"/>
      <c r="G480" s="208"/>
    </row>
    <row r="481" spans="2:7">
      <c r="B481" s="41"/>
      <c r="C481" s="42"/>
      <c r="D481" s="45"/>
      <c r="E481" s="64"/>
      <c r="F481" s="41"/>
      <c r="G481" s="208"/>
    </row>
    <row r="482" spans="2:7">
      <c r="B482" s="41"/>
      <c r="C482" s="42"/>
      <c r="D482" s="45"/>
      <c r="E482" s="64"/>
      <c r="F482" s="41"/>
      <c r="G482" s="208"/>
    </row>
    <row r="483" spans="2:7">
      <c r="B483" s="41"/>
      <c r="C483" s="42"/>
      <c r="D483" s="45"/>
      <c r="E483" s="64"/>
      <c r="F483" s="41"/>
      <c r="G483" s="208"/>
    </row>
    <row r="484" spans="2:7">
      <c r="B484" s="41"/>
      <c r="C484" s="42"/>
      <c r="D484" s="45"/>
      <c r="E484" s="64"/>
      <c r="F484" s="41"/>
      <c r="G484" s="208"/>
    </row>
    <row r="485" spans="2:7">
      <c r="B485" s="41"/>
      <c r="C485" s="42"/>
      <c r="D485" s="45"/>
      <c r="E485" s="64"/>
      <c r="F485" s="41"/>
      <c r="G485" s="208"/>
    </row>
    <row r="486" spans="2:7">
      <c r="B486" s="41"/>
      <c r="C486" s="42"/>
      <c r="D486" s="45"/>
      <c r="E486" s="64"/>
      <c r="F486" s="41"/>
      <c r="G486" s="208"/>
    </row>
    <row r="487" spans="2:7">
      <c r="B487" s="41"/>
      <c r="C487" s="42"/>
      <c r="D487" s="45"/>
      <c r="E487" s="64"/>
      <c r="F487" s="41"/>
      <c r="G487" s="208"/>
    </row>
    <row r="488" spans="2:7">
      <c r="B488" s="41"/>
      <c r="C488" s="42"/>
      <c r="D488" s="45"/>
      <c r="E488" s="64"/>
      <c r="F488" s="41"/>
      <c r="G488" s="208"/>
    </row>
    <row r="489" spans="2:7">
      <c r="B489" s="41"/>
      <c r="C489" s="42"/>
      <c r="D489" s="45"/>
      <c r="E489" s="64"/>
      <c r="F489" s="41"/>
      <c r="G489" s="208"/>
    </row>
    <row r="490" spans="2:7">
      <c r="B490" s="41"/>
      <c r="C490" s="42"/>
      <c r="D490" s="45"/>
      <c r="E490" s="64"/>
      <c r="F490" s="41"/>
      <c r="G490" s="208"/>
    </row>
    <row r="491" spans="2:7">
      <c r="B491" s="263"/>
      <c r="C491" s="264"/>
      <c r="D491" s="116"/>
      <c r="E491" s="64"/>
      <c r="F491" s="267"/>
      <c r="G491" s="268"/>
    </row>
    <row r="492" spans="2:7">
      <c r="B492" s="263"/>
      <c r="C492" s="264"/>
      <c r="D492" s="116"/>
      <c r="E492" s="64"/>
      <c r="F492" s="267"/>
      <c r="G492" s="268"/>
    </row>
    <row r="493" spans="2:7">
      <c r="B493" s="263"/>
      <c r="C493" s="264"/>
      <c r="D493" s="116"/>
      <c r="E493" s="64"/>
      <c r="F493" s="267"/>
      <c r="G493" s="268"/>
    </row>
    <row r="494" spans="2:7">
      <c r="B494" s="41"/>
      <c r="C494" s="42"/>
      <c r="D494" s="45"/>
      <c r="E494" s="64"/>
      <c r="F494" s="41"/>
      <c r="G494" s="208"/>
    </row>
    <row r="495" spans="2:7">
      <c r="B495" s="263"/>
      <c r="C495" s="264"/>
      <c r="D495" s="116"/>
      <c r="E495" s="64"/>
      <c r="F495" s="267"/>
      <c r="G495" s="268"/>
    </row>
    <row r="496" spans="2:7">
      <c r="B496" s="263"/>
      <c r="C496" s="264"/>
      <c r="D496" s="116"/>
      <c r="E496" s="64"/>
      <c r="F496" s="267"/>
      <c r="G496" s="268"/>
    </row>
    <row r="497" spans="2:7">
      <c r="B497" s="41"/>
      <c r="C497" s="42"/>
      <c r="D497" s="45"/>
      <c r="E497" s="64"/>
      <c r="F497" s="41"/>
      <c r="G497" s="208"/>
    </row>
    <row r="498" spans="2:7">
      <c r="B498" s="41"/>
      <c r="C498" s="42"/>
      <c r="D498" s="45"/>
      <c r="E498" s="64"/>
      <c r="F498" s="41"/>
      <c r="G498" s="208"/>
    </row>
    <row r="499" spans="2:7">
      <c r="B499" s="263"/>
      <c r="C499" s="264"/>
      <c r="D499" s="116"/>
      <c r="E499" s="64"/>
      <c r="F499" s="267"/>
      <c r="G499" s="268"/>
    </row>
    <row r="500" spans="2:7">
      <c r="B500" s="41"/>
      <c r="C500" s="42"/>
      <c r="D500" s="45"/>
      <c r="E500" s="64"/>
      <c r="F500" s="41"/>
      <c r="G500" s="208"/>
    </row>
    <row r="501" spans="2:7">
      <c r="B501" s="41"/>
      <c r="C501" s="42"/>
      <c r="D501" s="45"/>
      <c r="E501" s="64"/>
      <c r="F501" s="41"/>
      <c r="G501" s="208"/>
    </row>
    <row r="502" spans="2:7">
      <c r="B502" s="41"/>
      <c r="C502" s="42"/>
      <c r="D502" s="45"/>
      <c r="E502" s="64"/>
      <c r="F502" s="41"/>
      <c r="G502" s="208"/>
    </row>
    <row r="503" spans="2:7">
      <c r="B503" s="41"/>
      <c r="C503" s="42"/>
      <c r="D503" s="45"/>
      <c r="E503" s="64"/>
      <c r="F503" s="41"/>
      <c r="G503" s="208"/>
    </row>
    <row r="504" spans="2:7">
      <c r="B504" s="263"/>
      <c r="C504" s="264"/>
      <c r="D504" s="116"/>
      <c r="E504" s="64"/>
      <c r="F504" s="267"/>
      <c r="G504" s="268"/>
    </row>
    <row r="505" spans="2:7">
      <c r="B505" s="263"/>
      <c r="C505" s="264"/>
      <c r="D505" s="116"/>
      <c r="E505" s="64"/>
      <c r="F505" s="267"/>
      <c r="G505" s="268"/>
    </row>
    <row r="506" spans="2:7">
      <c r="B506" s="41"/>
      <c r="C506" s="42"/>
      <c r="D506" s="45"/>
      <c r="E506" s="64"/>
      <c r="F506" s="41"/>
      <c r="G506" s="208"/>
    </row>
    <row r="507" spans="2:7">
      <c r="B507" s="41"/>
      <c r="C507" s="42"/>
      <c r="D507" s="45"/>
      <c r="E507" s="64"/>
      <c r="F507" s="41"/>
      <c r="G507" s="208"/>
    </row>
    <row r="508" spans="2:7">
      <c r="B508" s="41"/>
      <c r="C508" s="42"/>
      <c r="D508" s="45"/>
      <c r="E508" s="64"/>
      <c r="F508" s="41"/>
      <c r="G508" s="208"/>
    </row>
    <row r="509" spans="2:7">
      <c r="B509" s="41"/>
      <c r="C509" s="42"/>
      <c r="D509" s="45"/>
      <c r="E509" s="64"/>
      <c r="F509" s="41"/>
      <c r="G509" s="208"/>
    </row>
    <row r="510" spans="2:7">
      <c r="B510" s="41"/>
      <c r="C510" s="42"/>
      <c r="D510" s="45"/>
      <c r="E510" s="64"/>
      <c r="F510" s="41"/>
      <c r="G510" s="208"/>
    </row>
    <row r="511" spans="2:7">
      <c r="B511" s="41"/>
      <c r="C511" s="42"/>
      <c r="D511" s="45"/>
      <c r="E511" s="64"/>
      <c r="F511" s="41"/>
      <c r="G511" s="208"/>
    </row>
    <row r="512" spans="2:7">
      <c r="B512" s="41"/>
      <c r="C512" s="42"/>
      <c r="D512" s="45"/>
      <c r="E512" s="64"/>
      <c r="F512" s="41"/>
      <c r="G512" s="208"/>
    </row>
    <row r="513" spans="2:7">
      <c r="B513" s="41"/>
      <c r="C513" s="42"/>
      <c r="D513" s="45"/>
      <c r="E513" s="64"/>
      <c r="F513" s="41"/>
      <c r="G513" s="208"/>
    </row>
    <row r="514" spans="2:7">
      <c r="B514" s="41"/>
      <c r="C514" s="42"/>
      <c r="D514" s="45"/>
      <c r="E514" s="64"/>
      <c r="F514" s="41"/>
      <c r="G514" s="208"/>
    </row>
    <row r="515" spans="2:7">
      <c r="B515" s="41"/>
      <c r="C515" s="42"/>
      <c r="D515" s="45"/>
      <c r="E515" s="64"/>
      <c r="F515" s="41"/>
      <c r="G515" s="208"/>
    </row>
    <row r="516" spans="2:7">
      <c r="B516" s="41"/>
      <c r="C516" s="42"/>
      <c r="D516" s="45"/>
      <c r="E516" s="64"/>
      <c r="F516" s="41"/>
      <c r="G516" s="208"/>
    </row>
    <row r="517" spans="2:7">
      <c r="B517" s="41"/>
      <c r="C517" s="42"/>
      <c r="D517" s="45"/>
      <c r="E517" s="64"/>
      <c r="F517" s="41"/>
      <c r="G517" s="208"/>
    </row>
    <row r="518" spans="2:7">
      <c r="B518" s="41"/>
      <c r="C518" s="42"/>
      <c r="D518" s="45"/>
      <c r="E518" s="64"/>
      <c r="F518" s="41"/>
      <c r="G518" s="208"/>
    </row>
    <row r="519" spans="2:7">
      <c r="B519" s="41"/>
      <c r="C519" s="42"/>
      <c r="D519" s="45"/>
      <c r="E519" s="64"/>
      <c r="F519" s="41"/>
      <c r="G519" s="208"/>
    </row>
    <row r="520" spans="2:7">
      <c r="B520" s="41"/>
      <c r="C520" s="42"/>
      <c r="D520" s="45"/>
      <c r="E520" s="64"/>
      <c r="F520" s="41"/>
      <c r="G520" s="208"/>
    </row>
    <row r="521" spans="2:7">
      <c r="B521" s="41"/>
      <c r="C521" s="42"/>
      <c r="D521" s="45"/>
      <c r="E521" s="64"/>
      <c r="F521" s="41"/>
      <c r="G521" s="208"/>
    </row>
    <row r="522" spans="2:7">
      <c r="B522" s="41"/>
      <c r="C522" s="42"/>
      <c r="D522" s="45"/>
      <c r="E522" s="64"/>
      <c r="F522" s="41"/>
      <c r="G522" s="208"/>
    </row>
    <row r="523" spans="2:7">
      <c r="B523" s="41"/>
      <c r="C523" s="42"/>
      <c r="D523" s="45"/>
      <c r="E523" s="64"/>
      <c r="F523" s="41"/>
      <c r="G523" s="208"/>
    </row>
    <row r="524" spans="2:7">
      <c r="B524" s="41"/>
      <c r="C524" s="42"/>
      <c r="D524" s="45"/>
      <c r="E524" s="64"/>
      <c r="F524" s="41"/>
      <c r="G524" s="208"/>
    </row>
    <row r="525" spans="2:7">
      <c r="B525" s="41"/>
      <c r="C525" s="42"/>
      <c r="D525" s="45"/>
      <c r="E525" s="64"/>
      <c r="F525" s="41"/>
      <c r="G525" s="208"/>
    </row>
    <row r="526" spans="2:7">
      <c r="B526" s="41"/>
      <c r="C526" s="42"/>
      <c r="D526" s="45"/>
      <c r="E526" s="64"/>
      <c r="F526" s="41"/>
      <c r="G526" s="208"/>
    </row>
    <row r="527" spans="2:7">
      <c r="B527" s="41"/>
      <c r="C527" s="42"/>
      <c r="D527" s="45"/>
      <c r="E527" s="64"/>
      <c r="F527" s="41"/>
      <c r="G527" s="208"/>
    </row>
    <row r="528" spans="2:7">
      <c r="B528" s="114"/>
      <c r="C528" s="264"/>
      <c r="D528" s="116"/>
      <c r="E528" s="64"/>
      <c r="F528" s="267"/>
      <c r="G528" s="268"/>
    </row>
    <row r="529" spans="2:7">
      <c r="B529" s="41"/>
      <c r="C529" s="42"/>
      <c r="D529" s="45"/>
      <c r="E529" s="64"/>
      <c r="F529" s="41"/>
      <c r="G529" s="208"/>
    </row>
  </sheetData>
  <autoFilter ref="B1:T74" xr:uid="{00000000-0009-0000-0000-00000A000000}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6"/>
  <dimension ref="A1:H15"/>
  <sheetViews>
    <sheetView workbookViewId="0">
      <selection activeCell="I34" sqref="I34"/>
    </sheetView>
  </sheetViews>
  <sheetFormatPr defaultColWidth="8.85546875" defaultRowHeight="15"/>
  <cols>
    <col min="1" max="1" width="44.85546875" bestFit="1" customWidth="1"/>
    <col min="4" max="4" width="10.42578125" customWidth="1"/>
    <col min="5" max="5" width="42.42578125" bestFit="1" customWidth="1"/>
    <col min="6" max="6" width="11.42578125" customWidth="1"/>
    <col min="7" max="7" width="33.42578125" bestFit="1" customWidth="1"/>
    <col min="8" max="8" width="10.85546875" customWidth="1"/>
  </cols>
  <sheetData>
    <row r="1" spans="1:8" ht="30">
      <c r="A1" s="1" t="s">
        <v>3</v>
      </c>
      <c r="B1" s="2" t="s">
        <v>22</v>
      </c>
      <c r="C1" s="2" t="s">
        <v>23</v>
      </c>
      <c r="D1" s="2" t="s">
        <v>624</v>
      </c>
      <c r="E1" s="1" t="s">
        <v>6</v>
      </c>
      <c r="F1" s="3" t="s">
        <v>9</v>
      </c>
      <c r="G1" s="1" t="s">
        <v>631</v>
      </c>
      <c r="H1" s="3" t="s">
        <v>632</v>
      </c>
    </row>
    <row r="2" spans="1:8">
      <c r="A2" s="32" t="s">
        <v>34</v>
      </c>
      <c r="B2" s="33" t="s">
        <v>505</v>
      </c>
      <c r="C2" s="36">
        <v>17</v>
      </c>
      <c r="D2" s="36">
        <v>2500</v>
      </c>
      <c r="E2" s="291" t="s">
        <v>198</v>
      </c>
      <c r="F2" s="40" t="s">
        <v>491</v>
      </c>
      <c r="G2" s="34" t="s">
        <v>625</v>
      </c>
      <c r="H2" s="40">
        <v>42835</v>
      </c>
    </row>
    <row r="3" spans="1:8">
      <c r="A3" s="32" t="s">
        <v>35</v>
      </c>
      <c r="B3" s="33" t="s">
        <v>519</v>
      </c>
      <c r="C3" s="36">
        <v>10</v>
      </c>
      <c r="D3" s="36">
        <v>2792</v>
      </c>
      <c r="E3" s="291" t="s">
        <v>183</v>
      </c>
      <c r="F3" s="40" t="s">
        <v>497</v>
      </c>
      <c r="G3" s="34" t="s">
        <v>627</v>
      </c>
      <c r="H3" s="40">
        <v>43154</v>
      </c>
    </row>
    <row r="4" spans="1:8">
      <c r="A4" s="32" t="s">
        <v>34</v>
      </c>
      <c r="B4" s="33" t="s">
        <v>507</v>
      </c>
      <c r="C4" s="36">
        <v>29</v>
      </c>
      <c r="D4" s="36">
        <v>2356</v>
      </c>
      <c r="E4" s="291" t="s">
        <v>241</v>
      </c>
      <c r="F4" s="40">
        <v>41444</v>
      </c>
      <c r="G4" s="34" t="s">
        <v>788</v>
      </c>
      <c r="H4" s="40">
        <v>43322</v>
      </c>
    </row>
    <row r="5" spans="1:8">
      <c r="A5" s="32" t="s">
        <v>35</v>
      </c>
      <c r="B5" s="33" t="s">
        <v>519</v>
      </c>
      <c r="C5" s="36">
        <v>21</v>
      </c>
      <c r="D5" s="36">
        <v>3735</v>
      </c>
      <c r="E5" s="291" t="s">
        <v>345</v>
      </c>
      <c r="F5" s="40">
        <v>41774</v>
      </c>
      <c r="G5" s="34" t="s">
        <v>789</v>
      </c>
      <c r="H5" s="40">
        <v>43332</v>
      </c>
    </row>
    <row r="6" spans="1:8">
      <c r="A6" s="32" t="s">
        <v>35</v>
      </c>
      <c r="B6" s="33" t="s">
        <v>513</v>
      </c>
      <c r="C6" s="36">
        <v>43</v>
      </c>
      <c r="D6" s="36">
        <v>2672</v>
      </c>
      <c r="E6" s="291" t="s">
        <v>314</v>
      </c>
      <c r="F6" s="40">
        <v>41436</v>
      </c>
      <c r="G6" s="34" t="s">
        <v>915</v>
      </c>
      <c r="H6" s="40">
        <v>43430</v>
      </c>
    </row>
    <row r="7" spans="1:8">
      <c r="A7" s="32" t="s">
        <v>33</v>
      </c>
      <c r="B7" s="33" t="s">
        <v>528</v>
      </c>
      <c r="C7" s="36">
        <v>18</v>
      </c>
      <c r="D7" s="36">
        <v>5529</v>
      </c>
      <c r="E7" s="291" t="s">
        <v>258</v>
      </c>
      <c r="F7" s="40">
        <v>42783</v>
      </c>
      <c r="G7" s="34" t="s">
        <v>186</v>
      </c>
      <c r="H7" s="40">
        <v>43493</v>
      </c>
    </row>
    <row r="8" spans="1:8">
      <c r="A8" s="32" t="s">
        <v>33</v>
      </c>
      <c r="B8" s="33" t="s">
        <v>525</v>
      </c>
      <c r="C8" s="36">
        <v>12</v>
      </c>
      <c r="D8" s="36">
        <v>3868</v>
      </c>
      <c r="E8" s="291" t="s">
        <v>298</v>
      </c>
      <c r="F8" s="40">
        <v>41859</v>
      </c>
      <c r="G8" s="34" t="s">
        <v>935</v>
      </c>
      <c r="H8" s="40">
        <v>43510</v>
      </c>
    </row>
    <row r="9" spans="1:8">
      <c r="A9" s="32" t="s">
        <v>33</v>
      </c>
      <c r="B9" s="33" t="s">
        <v>524</v>
      </c>
      <c r="C9" s="36">
        <v>15</v>
      </c>
      <c r="D9" s="36">
        <v>4869</v>
      </c>
      <c r="E9" s="291" t="s">
        <v>281</v>
      </c>
      <c r="F9" s="40">
        <v>42192</v>
      </c>
      <c r="G9" s="34" t="s">
        <v>977</v>
      </c>
      <c r="H9" s="40">
        <v>43579</v>
      </c>
    </row>
    <row r="10" spans="1:8">
      <c r="A10" s="32" t="s">
        <v>33</v>
      </c>
      <c r="B10" s="33" t="s">
        <v>527</v>
      </c>
      <c r="C10" s="36">
        <v>14</v>
      </c>
      <c r="D10" s="36">
        <v>5261</v>
      </c>
      <c r="E10" s="291" t="s">
        <v>257</v>
      </c>
      <c r="F10" s="40">
        <v>42587</v>
      </c>
      <c r="G10" s="35" t="s">
        <v>985</v>
      </c>
      <c r="H10" s="40">
        <v>43615</v>
      </c>
    </row>
    <row r="11" spans="1:8">
      <c r="A11" s="32" t="s">
        <v>35</v>
      </c>
      <c r="B11" s="33" t="s">
        <v>513</v>
      </c>
      <c r="C11" s="36">
        <v>39</v>
      </c>
      <c r="D11" s="36">
        <v>2442</v>
      </c>
      <c r="E11" s="291" t="s">
        <v>267</v>
      </c>
      <c r="F11" s="40">
        <v>41448</v>
      </c>
      <c r="G11" s="35" t="s">
        <v>984</v>
      </c>
      <c r="H11" s="40">
        <v>43633</v>
      </c>
    </row>
    <row r="12" spans="1:8">
      <c r="A12" s="32" t="s">
        <v>36</v>
      </c>
      <c r="B12" s="33" t="s">
        <v>534</v>
      </c>
      <c r="C12" s="36">
        <v>27</v>
      </c>
      <c r="D12" s="36">
        <v>5182</v>
      </c>
      <c r="E12" s="291" t="s">
        <v>430</v>
      </c>
      <c r="F12" s="40">
        <v>42461</v>
      </c>
      <c r="G12" s="35" t="s">
        <v>1035</v>
      </c>
      <c r="H12" s="40">
        <v>43647</v>
      </c>
    </row>
    <row r="13" spans="1:8">
      <c r="A13" s="32" t="s">
        <v>36</v>
      </c>
      <c r="B13" s="33" t="s">
        <v>522</v>
      </c>
      <c r="C13" s="36">
        <v>10</v>
      </c>
      <c r="D13" s="36">
        <v>5078</v>
      </c>
      <c r="E13" s="291" t="s">
        <v>316</v>
      </c>
      <c r="F13" s="40">
        <v>42389</v>
      </c>
      <c r="G13" s="35" t="s">
        <v>1055</v>
      </c>
      <c r="H13" s="40">
        <v>43692</v>
      </c>
    </row>
    <row r="14" spans="1:8">
      <c r="A14" s="32" t="s">
        <v>34</v>
      </c>
      <c r="B14" s="33" t="s">
        <v>508</v>
      </c>
      <c r="C14" s="36">
        <v>11</v>
      </c>
      <c r="D14" s="36">
        <v>3573</v>
      </c>
      <c r="E14" s="291" t="s">
        <v>162</v>
      </c>
      <c r="F14" s="40">
        <v>41694</v>
      </c>
      <c r="G14" s="35" t="s">
        <v>1054</v>
      </c>
      <c r="H14" s="40">
        <v>43692</v>
      </c>
    </row>
    <row r="15" spans="1:8">
      <c r="A15" s="32" t="s">
        <v>34</v>
      </c>
      <c r="B15" s="33" t="s">
        <v>508</v>
      </c>
      <c r="C15" s="36">
        <v>11</v>
      </c>
      <c r="D15" s="36">
        <v>3573</v>
      </c>
      <c r="E15" s="223" t="s">
        <v>1054</v>
      </c>
      <c r="F15" s="40">
        <v>43692</v>
      </c>
      <c r="G15" s="35" t="s">
        <v>1106</v>
      </c>
      <c r="H15" s="40">
        <v>43760</v>
      </c>
    </row>
  </sheetData>
  <autoFilter ref="A1:H15" xr:uid="{00000000-0009-0000-0000-00000B000000}">
    <sortState xmlns:xlrd2="http://schemas.microsoft.com/office/spreadsheetml/2017/richdata2" ref="A2:H15">
      <sortCondition ref="H1"/>
    </sortState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7"/>
  <dimension ref="A1:J42"/>
  <sheetViews>
    <sheetView showGridLines="0" topLeftCell="A40" workbookViewId="0">
      <selection activeCell="I34" sqref="I34"/>
    </sheetView>
  </sheetViews>
  <sheetFormatPr defaultColWidth="9.140625" defaultRowHeight="15"/>
  <cols>
    <col min="1" max="1" width="45" style="5" bestFit="1" customWidth="1"/>
    <col min="2" max="2" width="9.42578125" style="7" customWidth="1"/>
    <col min="3" max="3" width="9.140625" style="7"/>
    <col min="4" max="4" width="27.42578125" style="5" customWidth="1"/>
    <col min="5" max="5" width="10.42578125" style="8" customWidth="1"/>
    <col min="6" max="6" width="11.85546875" style="8" customWidth="1"/>
    <col min="7" max="7" width="10.42578125" style="8" customWidth="1"/>
    <col min="8" max="8" width="11.7109375" style="9" customWidth="1"/>
    <col min="9" max="9" width="13.7109375" style="9" bestFit="1" customWidth="1"/>
    <col min="10" max="10" width="43.7109375" style="5" bestFit="1" customWidth="1"/>
    <col min="11" max="16384" width="9.140625" style="5"/>
  </cols>
  <sheetData>
    <row r="1" spans="1:10" ht="7.5" customHeight="1" thickBot="1"/>
    <row r="2" spans="1:10" ht="15.75" thickBot="1">
      <c r="A2" s="531" t="s">
        <v>2</v>
      </c>
      <c r="B2" s="532"/>
      <c r="C2" s="532"/>
      <c r="D2" s="532"/>
      <c r="E2" s="532"/>
      <c r="F2" s="532"/>
      <c r="G2" s="532"/>
      <c r="H2" s="532"/>
      <c r="I2" s="532"/>
      <c r="J2" s="533"/>
    </row>
    <row r="4" spans="1:10" ht="45">
      <c r="A4" s="1" t="s">
        <v>3</v>
      </c>
      <c r="B4" s="2" t="s">
        <v>4</v>
      </c>
      <c r="C4" s="2" t="s">
        <v>5</v>
      </c>
      <c r="D4" s="1" t="s">
        <v>6</v>
      </c>
      <c r="E4" s="3" t="s">
        <v>9</v>
      </c>
      <c r="F4" s="4" t="s">
        <v>10</v>
      </c>
      <c r="G4" s="4" t="s">
        <v>565</v>
      </c>
      <c r="H4" s="4" t="s">
        <v>566</v>
      </c>
      <c r="I4" s="4" t="s">
        <v>778</v>
      </c>
      <c r="J4" s="4" t="s">
        <v>567</v>
      </c>
    </row>
    <row r="5" spans="1:10">
      <c r="A5" s="11" t="s">
        <v>37</v>
      </c>
      <c r="B5" s="12" t="s">
        <v>503</v>
      </c>
      <c r="C5" s="12">
        <v>21</v>
      </c>
      <c r="D5" s="11" t="s">
        <v>393</v>
      </c>
      <c r="E5" s="13" t="s">
        <v>492</v>
      </c>
      <c r="F5" s="14">
        <v>83154.75</v>
      </c>
      <c r="G5" s="62">
        <v>43160</v>
      </c>
      <c r="H5" s="14">
        <v>29409.599999999999</v>
      </c>
      <c r="I5" s="14"/>
      <c r="J5" s="14" t="s">
        <v>568</v>
      </c>
    </row>
    <row r="6" spans="1:10">
      <c r="A6" s="15" t="s">
        <v>33</v>
      </c>
      <c r="B6" s="16" t="s">
        <v>531</v>
      </c>
      <c r="C6" s="16">
        <v>39</v>
      </c>
      <c r="D6" s="15" t="s">
        <v>473</v>
      </c>
      <c r="E6" s="17" t="s">
        <v>493</v>
      </c>
      <c r="F6" s="18">
        <v>127291.2</v>
      </c>
      <c r="G6" s="17">
        <v>43187</v>
      </c>
      <c r="H6" s="18">
        <v>0</v>
      </c>
      <c r="I6" s="18"/>
      <c r="J6" s="18" t="s">
        <v>569</v>
      </c>
    </row>
    <row r="7" spans="1:10">
      <c r="A7" s="32" t="s">
        <v>36</v>
      </c>
      <c r="B7" s="16" t="s">
        <v>534</v>
      </c>
      <c r="C7" s="16">
        <v>17</v>
      </c>
      <c r="D7" s="34" t="s">
        <v>45</v>
      </c>
      <c r="E7" s="40" t="s">
        <v>490</v>
      </c>
      <c r="F7" s="35">
        <v>98671.12</v>
      </c>
      <c r="G7" s="81">
        <v>43245</v>
      </c>
      <c r="H7" s="18">
        <v>0</v>
      </c>
      <c r="I7" s="18"/>
      <c r="J7" s="18" t="s">
        <v>569</v>
      </c>
    </row>
    <row r="8" spans="1:10">
      <c r="A8" s="15" t="s">
        <v>36</v>
      </c>
      <c r="B8" s="16" t="s">
        <v>521</v>
      </c>
      <c r="C8" s="16">
        <v>22</v>
      </c>
      <c r="D8" s="17" t="s">
        <v>451</v>
      </c>
      <c r="E8" s="17" t="s">
        <v>493</v>
      </c>
      <c r="F8" s="18">
        <v>110502.62</v>
      </c>
      <c r="G8" s="17">
        <v>43203</v>
      </c>
      <c r="H8" s="18">
        <v>25000</v>
      </c>
      <c r="I8" s="18"/>
      <c r="J8" s="18" t="s">
        <v>633</v>
      </c>
    </row>
    <row r="9" spans="1:10">
      <c r="A9" s="15" t="s">
        <v>33</v>
      </c>
      <c r="B9" s="16" t="s">
        <v>530</v>
      </c>
      <c r="C9" s="16">
        <v>12</v>
      </c>
      <c r="D9" s="17" t="s">
        <v>133</v>
      </c>
      <c r="E9" s="17" t="s">
        <v>496</v>
      </c>
      <c r="F9" s="18">
        <v>102460</v>
      </c>
      <c r="G9" s="17">
        <v>43210</v>
      </c>
      <c r="H9" s="18">
        <v>7000</v>
      </c>
      <c r="I9" s="18"/>
      <c r="J9" s="18" t="s">
        <v>633</v>
      </c>
    </row>
    <row r="10" spans="1:10">
      <c r="A10" s="15" t="s">
        <v>33</v>
      </c>
      <c r="B10" s="16" t="s">
        <v>526</v>
      </c>
      <c r="C10" s="16">
        <v>1</v>
      </c>
      <c r="D10" s="17" t="s">
        <v>207</v>
      </c>
      <c r="E10" s="17" t="s">
        <v>498</v>
      </c>
      <c r="F10" s="18">
        <v>145000.1</v>
      </c>
      <c r="G10" s="17">
        <v>43245</v>
      </c>
      <c r="H10" s="18">
        <v>79442.77</v>
      </c>
      <c r="I10" s="18"/>
      <c r="J10" s="18" t="s">
        <v>634</v>
      </c>
    </row>
    <row r="11" spans="1:10">
      <c r="A11" s="82" t="s">
        <v>34</v>
      </c>
      <c r="B11" s="83" t="s">
        <v>507</v>
      </c>
      <c r="C11" s="83">
        <v>19</v>
      </c>
      <c r="D11" s="84" t="s">
        <v>469</v>
      </c>
      <c r="E11" s="84">
        <v>41445</v>
      </c>
      <c r="F11" s="85">
        <v>98461.43</v>
      </c>
      <c r="G11" s="84">
        <v>43227</v>
      </c>
      <c r="H11" s="85">
        <v>66386.880000000005</v>
      </c>
      <c r="I11" s="85"/>
      <c r="J11" s="18" t="s">
        <v>635</v>
      </c>
    </row>
    <row r="12" spans="1:10">
      <c r="A12" s="82" t="s">
        <v>36</v>
      </c>
      <c r="B12" s="83" t="s">
        <v>521</v>
      </c>
      <c r="C12" s="83">
        <v>7</v>
      </c>
      <c r="D12" s="84" t="s">
        <v>469</v>
      </c>
      <c r="E12" s="84">
        <v>41872</v>
      </c>
      <c r="F12" s="85">
        <v>99562.15</v>
      </c>
      <c r="G12" s="84">
        <v>43227</v>
      </c>
      <c r="H12" s="85">
        <v>35574.22</v>
      </c>
      <c r="I12" s="85"/>
      <c r="J12" s="18" t="s">
        <v>635</v>
      </c>
    </row>
    <row r="13" spans="1:10">
      <c r="A13" s="32" t="s">
        <v>34</v>
      </c>
      <c r="B13" s="33" t="s">
        <v>507</v>
      </c>
      <c r="C13" s="36">
        <v>20</v>
      </c>
      <c r="D13" s="34" t="s">
        <v>301</v>
      </c>
      <c r="E13" s="40">
        <v>41446</v>
      </c>
      <c r="F13" s="35">
        <v>98461.43</v>
      </c>
      <c r="G13" s="84">
        <v>43266</v>
      </c>
      <c r="H13" s="35">
        <v>5000</v>
      </c>
      <c r="I13" s="35"/>
      <c r="J13" s="18" t="s">
        <v>633</v>
      </c>
    </row>
    <row r="14" spans="1:10">
      <c r="A14" s="32" t="s">
        <v>35</v>
      </c>
      <c r="B14" s="33" t="s">
        <v>518</v>
      </c>
      <c r="C14" s="36">
        <v>14</v>
      </c>
      <c r="D14" s="34" t="s">
        <v>372</v>
      </c>
      <c r="E14" s="40">
        <v>42411</v>
      </c>
      <c r="F14" s="35">
        <v>133559.70000000001</v>
      </c>
      <c r="G14" s="84">
        <v>43266</v>
      </c>
      <c r="H14" s="35">
        <v>2500</v>
      </c>
      <c r="I14" s="35"/>
      <c r="J14" s="18" t="s">
        <v>633</v>
      </c>
    </row>
    <row r="15" spans="1:10">
      <c r="A15" s="87" t="s">
        <v>38</v>
      </c>
      <c r="B15" s="88" t="s">
        <v>533</v>
      </c>
      <c r="C15" s="89">
        <v>28</v>
      </c>
      <c r="D15" s="90" t="s">
        <v>471</v>
      </c>
      <c r="E15" s="91">
        <v>41447</v>
      </c>
      <c r="F15" s="92">
        <v>79354.8</v>
      </c>
      <c r="G15" s="84">
        <v>43262</v>
      </c>
      <c r="H15" s="92">
        <v>3500</v>
      </c>
      <c r="I15" s="92"/>
      <c r="J15" s="18" t="s">
        <v>633</v>
      </c>
    </row>
    <row r="16" spans="1:10">
      <c r="A16" s="87" t="s">
        <v>33</v>
      </c>
      <c r="B16" s="88" t="s">
        <v>528</v>
      </c>
      <c r="C16" s="89">
        <v>25</v>
      </c>
      <c r="D16" s="90" t="s">
        <v>200</v>
      </c>
      <c r="E16" s="91">
        <v>43018</v>
      </c>
      <c r="F16" s="92">
        <v>126900</v>
      </c>
      <c r="G16" s="84">
        <v>43270</v>
      </c>
      <c r="H16" s="92">
        <v>0</v>
      </c>
      <c r="I16" s="92"/>
      <c r="J16" s="18" t="s">
        <v>569</v>
      </c>
    </row>
    <row r="17" spans="1:10">
      <c r="A17" s="32" t="s">
        <v>33</v>
      </c>
      <c r="B17" s="33" t="s">
        <v>529</v>
      </c>
      <c r="C17" s="36">
        <v>19</v>
      </c>
      <c r="D17" s="34" t="s">
        <v>175</v>
      </c>
      <c r="E17" s="40">
        <v>42248</v>
      </c>
      <c r="F17" s="35">
        <v>147899.70000000001</v>
      </c>
      <c r="G17" s="84">
        <v>43266</v>
      </c>
      <c r="H17" s="92">
        <v>14000</v>
      </c>
      <c r="I17" s="92"/>
      <c r="J17" s="18" t="s">
        <v>633</v>
      </c>
    </row>
    <row r="18" spans="1:10">
      <c r="A18" s="87" t="s">
        <v>33</v>
      </c>
      <c r="B18" s="88" t="s">
        <v>530</v>
      </c>
      <c r="C18" s="89">
        <v>14</v>
      </c>
      <c r="D18" s="90" t="s">
        <v>328</v>
      </c>
      <c r="E18" s="91">
        <v>41841</v>
      </c>
      <c r="F18" s="92">
        <v>103197.98</v>
      </c>
      <c r="G18" s="84">
        <v>43266</v>
      </c>
      <c r="H18" s="92">
        <v>2500</v>
      </c>
      <c r="I18" s="92"/>
      <c r="J18" s="18" t="s">
        <v>633</v>
      </c>
    </row>
    <row r="19" spans="1:10">
      <c r="A19" s="32" t="s">
        <v>33</v>
      </c>
      <c r="B19" s="33" t="s">
        <v>531</v>
      </c>
      <c r="C19" s="36">
        <v>2</v>
      </c>
      <c r="D19" s="34" t="s">
        <v>97</v>
      </c>
      <c r="E19" s="40">
        <v>43073</v>
      </c>
      <c r="F19" s="35">
        <v>136300.34</v>
      </c>
      <c r="G19" s="84">
        <v>43264</v>
      </c>
      <c r="H19" s="92">
        <v>0</v>
      </c>
      <c r="I19" s="92"/>
      <c r="J19" s="85" t="s">
        <v>569</v>
      </c>
    </row>
    <row r="20" spans="1:10">
      <c r="A20" s="87" t="s">
        <v>33</v>
      </c>
      <c r="B20" s="88" t="s">
        <v>531</v>
      </c>
      <c r="C20" s="89">
        <v>5</v>
      </c>
      <c r="D20" s="90" t="s">
        <v>132</v>
      </c>
      <c r="E20" s="91">
        <v>42166</v>
      </c>
      <c r="F20" s="92">
        <v>141800.4</v>
      </c>
      <c r="G20" s="84">
        <v>43266</v>
      </c>
      <c r="H20" s="92">
        <v>4624</v>
      </c>
      <c r="I20" s="92"/>
      <c r="J20" s="18" t="s">
        <v>633</v>
      </c>
    </row>
    <row r="21" spans="1:10">
      <c r="A21" s="32" t="s">
        <v>33</v>
      </c>
      <c r="B21" s="33" t="s">
        <v>527</v>
      </c>
      <c r="C21" s="36">
        <v>19</v>
      </c>
      <c r="D21" s="34" t="s">
        <v>142</v>
      </c>
      <c r="E21" s="40">
        <v>42663</v>
      </c>
      <c r="F21" s="35">
        <v>141080.01</v>
      </c>
      <c r="G21" s="84">
        <v>43266</v>
      </c>
      <c r="H21" s="92">
        <v>2500</v>
      </c>
      <c r="I21" s="92"/>
      <c r="J21" s="18" t="s">
        <v>633</v>
      </c>
    </row>
    <row r="22" spans="1:10">
      <c r="A22" s="87" t="s">
        <v>33</v>
      </c>
      <c r="B22" s="88" t="s">
        <v>526</v>
      </c>
      <c r="C22" s="89">
        <v>5</v>
      </c>
      <c r="D22" s="90" t="s">
        <v>64</v>
      </c>
      <c r="E22" s="91">
        <v>41974</v>
      </c>
      <c r="F22" s="92">
        <v>114336.57</v>
      </c>
      <c r="G22" s="84">
        <v>43272</v>
      </c>
      <c r="H22" s="92">
        <v>33704.01</v>
      </c>
      <c r="I22" s="92"/>
      <c r="J22" s="18" t="s">
        <v>633</v>
      </c>
    </row>
    <row r="23" spans="1:10">
      <c r="A23" s="87" t="s">
        <v>36</v>
      </c>
      <c r="B23" s="88" t="s">
        <v>522</v>
      </c>
      <c r="C23" s="89">
        <v>24</v>
      </c>
      <c r="D23" s="90" t="s">
        <v>397</v>
      </c>
      <c r="E23" s="91">
        <v>41768</v>
      </c>
      <c r="F23" s="92">
        <v>85387.1</v>
      </c>
      <c r="G23" s="84">
        <v>43266</v>
      </c>
      <c r="H23" s="92">
        <v>7000</v>
      </c>
      <c r="I23" s="92"/>
      <c r="J23" s="18" t="s">
        <v>633</v>
      </c>
    </row>
    <row r="24" spans="1:10">
      <c r="A24" s="87" t="s">
        <v>34</v>
      </c>
      <c r="B24" s="88" t="s">
        <v>538</v>
      </c>
      <c r="C24" s="89">
        <v>25</v>
      </c>
      <c r="D24" s="90" t="s">
        <v>217</v>
      </c>
      <c r="E24" s="91">
        <v>41791</v>
      </c>
      <c r="F24" s="92">
        <v>102826.63</v>
      </c>
      <c r="G24" s="84">
        <v>43282</v>
      </c>
      <c r="H24" s="92">
        <v>21681.52</v>
      </c>
      <c r="I24" s="92"/>
      <c r="J24" s="18" t="s">
        <v>757</v>
      </c>
    </row>
    <row r="25" spans="1:10">
      <c r="A25" s="87" t="s">
        <v>34</v>
      </c>
      <c r="B25" s="88" t="s">
        <v>508</v>
      </c>
      <c r="C25" s="89">
        <v>6</v>
      </c>
      <c r="D25" s="90" t="s">
        <v>120</v>
      </c>
      <c r="E25" s="91">
        <v>41548</v>
      </c>
      <c r="F25" s="92">
        <v>103531.79</v>
      </c>
      <c r="G25" s="84">
        <v>43299</v>
      </c>
      <c r="H25" s="92">
        <v>10000</v>
      </c>
      <c r="I25" s="92"/>
      <c r="J25" s="18" t="s">
        <v>758</v>
      </c>
    </row>
    <row r="26" spans="1:10">
      <c r="A26" s="87" t="s">
        <v>35</v>
      </c>
      <c r="B26" s="88" t="s">
        <v>517</v>
      </c>
      <c r="C26" s="89">
        <v>47</v>
      </c>
      <c r="D26" s="90" t="s">
        <v>334</v>
      </c>
      <c r="E26" s="91">
        <v>41516</v>
      </c>
      <c r="F26" s="92">
        <v>126130.71</v>
      </c>
      <c r="G26" s="84">
        <v>43282</v>
      </c>
      <c r="H26" s="92">
        <v>79707.42</v>
      </c>
      <c r="I26" s="92" t="s">
        <v>779</v>
      </c>
      <c r="J26" s="18" t="s">
        <v>759</v>
      </c>
    </row>
    <row r="27" spans="1:10">
      <c r="A27" s="87" t="s">
        <v>35</v>
      </c>
      <c r="B27" s="88" t="s">
        <v>513</v>
      </c>
      <c r="C27" s="89">
        <v>44</v>
      </c>
      <c r="D27" s="90" t="s">
        <v>314</v>
      </c>
      <c r="E27" s="91">
        <v>41436</v>
      </c>
      <c r="F27" s="92">
        <v>94839.42</v>
      </c>
      <c r="G27" s="84">
        <v>43282</v>
      </c>
      <c r="H27" s="92">
        <v>60556.37</v>
      </c>
      <c r="I27" s="92"/>
      <c r="J27" s="18" t="s">
        <v>760</v>
      </c>
    </row>
    <row r="28" spans="1:10">
      <c r="A28" s="87" t="s">
        <v>34</v>
      </c>
      <c r="B28" s="88" t="s">
        <v>506</v>
      </c>
      <c r="C28" s="89">
        <v>22</v>
      </c>
      <c r="D28" s="90" t="s">
        <v>462</v>
      </c>
      <c r="E28" s="91">
        <v>41449</v>
      </c>
      <c r="F28" s="92">
        <v>97812.55</v>
      </c>
      <c r="G28" s="84">
        <v>43322</v>
      </c>
      <c r="H28" s="92">
        <v>0</v>
      </c>
      <c r="I28" s="92"/>
      <c r="J28" s="85"/>
    </row>
    <row r="29" spans="1:10">
      <c r="A29" s="87" t="s">
        <v>34</v>
      </c>
      <c r="B29" s="88" t="s">
        <v>538</v>
      </c>
      <c r="C29" s="89">
        <v>18</v>
      </c>
      <c r="D29" s="90" t="s">
        <v>249</v>
      </c>
      <c r="E29" s="91">
        <v>41671</v>
      </c>
      <c r="F29" s="92">
        <v>97833.77</v>
      </c>
      <c r="G29" s="84">
        <v>43325</v>
      </c>
      <c r="H29" s="92">
        <v>0</v>
      </c>
      <c r="I29" s="92"/>
      <c r="J29" s="85"/>
    </row>
    <row r="30" spans="1:10">
      <c r="A30" s="87" t="s">
        <v>35</v>
      </c>
      <c r="B30" s="88" t="s">
        <v>514</v>
      </c>
      <c r="C30" s="89">
        <v>9</v>
      </c>
      <c r="D30" s="90" t="s">
        <v>462</v>
      </c>
      <c r="E30" s="91">
        <v>41448</v>
      </c>
      <c r="F30" s="92">
        <v>95110.94</v>
      </c>
      <c r="G30" s="84">
        <v>43322</v>
      </c>
      <c r="H30" s="92">
        <v>0</v>
      </c>
      <c r="I30" s="92"/>
      <c r="J30" s="85"/>
    </row>
    <row r="31" spans="1:10">
      <c r="A31" s="87" t="s">
        <v>35</v>
      </c>
      <c r="B31" s="88" t="s">
        <v>514</v>
      </c>
      <c r="C31" s="89">
        <v>3</v>
      </c>
      <c r="D31" s="90" t="s">
        <v>211</v>
      </c>
      <c r="E31" s="91">
        <v>41591</v>
      </c>
      <c r="F31" s="92">
        <v>100359.18</v>
      </c>
      <c r="G31" s="84">
        <v>43322</v>
      </c>
      <c r="H31" s="92">
        <v>0</v>
      </c>
      <c r="I31" s="92"/>
      <c r="J31" s="85"/>
    </row>
    <row r="32" spans="1:10">
      <c r="A32" s="87" t="s">
        <v>35</v>
      </c>
      <c r="B32" s="88" t="s">
        <v>519</v>
      </c>
      <c r="C32" s="89">
        <v>12</v>
      </c>
      <c r="D32" s="90" t="s">
        <v>435</v>
      </c>
      <c r="E32" s="91">
        <v>41442</v>
      </c>
      <c r="F32" s="92">
        <v>91918.28</v>
      </c>
      <c r="G32" s="84">
        <v>43335</v>
      </c>
      <c r="H32" s="92">
        <v>20000</v>
      </c>
      <c r="I32" s="92"/>
      <c r="J32" s="85" t="s">
        <v>633</v>
      </c>
    </row>
    <row r="33" spans="1:10">
      <c r="A33" s="87" t="s">
        <v>35</v>
      </c>
      <c r="B33" s="88" t="s">
        <v>517</v>
      </c>
      <c r="C33" s="89">
        <v>39</v>
      </c>
      <c r="D33" s="90" t="s">
        <v>464</v>
      </c>
      <c r="E33" s="91">
        <v>41467</v>
      </c>
      <c r="F33" s="92">
        <v>96723.839999999997</v>
      </c>
      <c r="G33" s="84">
        <v>43336</v>
      </c>
      <c r="H33" s="92">
        <v>0</v>
      </c>
      <c r="I33" s="92"/>
      <c r="J33" s="85"/>
    </row>
    <row r="34" spans="1:10">
      <c r="A34" s="87" t="s">
        <v>35</v>
      </c>
      <c r="B34" s="88" t="s">
        <v>520</v>
      </c>
      <c r="C34" s="89">
        <v>11</v>
      </c>
      <c r="D34" s="90" t="s">
        <v>282</v>
      </c>
      <c r="E34" s="91">
        <v>41828</v>
      </c>
      <c r="F34" s="92">
        <v>101274.21</v>
      </c>
      <c r="G34" s="84">
        <v>43336</v>
      </c>
      <c r="H34" s="92">
        <v>0</v>
      </c>
      <c r="I34" s="92"/>
      <c r="J34" s="85"/>
    </row>
    <row r="35" spans="1:10">
      <c r="A35" s="87" t="s">
        <v>35</v>
      </c>
      <c r="B35" s="88" t="s">
        <v>513</v>
      </c>
      <c r="C35" s="89">
        <v>14</v>
      </c>
      <c r="D35" s="90" t="s">
        <v>363</v>
      </c>
      <c r="E35" s="91">
        <v>41556</v>
      </c>
      <c r="F35" s="92">
        <v>104226.89</v>
      </c>
      <c r="G35" s="84">
        <v>43322</v>
      </c>
      <c r="H35" s="92">
        <v>0</v>
      </c>
      <c r="I35" s="92"/>
      <c r="J35" s="85"/>
    </row>
    <row r="36" spans="1:10">
      <c r="A36" s="87" t="s">
        <v>36</v>
      </c>
      <c r="B36" s="88" t="s">
        <v>534</v>
      </c>
      <c r="C36" s="89">
        <v>1</v>
      </c>
      <c r="D36" s="90" t="s">
        <v>181</v>
      </c>
      <c r="E36" s="91">
        <v>41730</v>
      </c>
      <c r="F36" s="92">
        <v>145876.95000000001</v>
      </c>
      <c r="G36" s="84">
        <v>43313</v>
      </c>
      <c r="H36" s="92">
        <v>10000</v>
      </c>
      <c r="I36" s="92"/>
      <c r="J36" s="85" t="s">
        <v>633</v>
      </c>
    </row>
    <row r="37" spans="1:10">
      <c r="A37" s="87" t="s">
        <v>36</v>
      </c>
      <c r="B37" s="88" t="s">
        <v>522</v>
      </c>
      <c r="C37" s="89">
        <v>11</v>
      </c>
      <c r="D37" s="90" t="s">
        <v>282</v>
      </c>
      <c r="E37" s="91">
        <v>41828</v>
      </c>
      <c r="F37" s="92">
        <v>89434.7</v>
      </c>
      <c r="G37" s="84">
        <v>43336</v>
      </c>
      <c r="H37" s="92">
        <v>0</v>
      </c>
      <c r="I37" s="92"/>
      <c r="J37" s="85"/>
    </row>
    <row r="38" spans="1:10">
      <c r="A38" s="87" t="s">
        <v>33</v>
      </c>
      <c r="B38" s="88" t="s">
        <v>526</v>
      </c>
      <c r="C38" s="89">
        <v>9</v>
      </c>
      <c r="D38" s="90" t="s">
        <v>238</v>
      </c>
      <c r="E38" s="91">
        <v>43132</v>
      </c>
      <c r="F38" s="92">
        <v>145700.25</v>
      </c>
      <c r="G38" s="218">
        <v>43313</v>
      </c>
      <c r="H38" s="92">
        <v>0</v>
      </c>
      <c r="I38" s="92"/>
      <c r="J38" s="85"/>
    </row>
    <row r="39" spans="1:10">
      <c r="A39" s="32" t="s">
        <v>36</v>
      </c>
      <c r="B39" s="33" t="s">
        <v>522</v>
      </c>
      <c r="C39" s="36">
        <v>3</v>
      </c>
      <c r="D39" s="34" t="s">
        <v>626</v>
      </c>
      <c r="E39" s="40">
        <v>43234</v>
      </c>
      <c r="F39" s="35">
        <v>128235.75</v>
      </c>
      <c r="G39" s="40">
        <v>43738</v>
      </c>
      <c r="H39" s="92">
        <v>10000</v>
      </c>
      <c r="I39" s="92"/>
      <c r="J39" s="85" t="s">
        <v>633</v>
      </c>
    </row>
    <row r="40" spans="1:10">
      <c r="A40" s="32" t="s">
        <v>36</v>
      </c>
      <c r="B40" s="33" t="s">
        <v>521</v>
      </c>
      <c r="C40" s="36">
        <v>4</v>
      </c>
      <c r="D40" s="34" t="s">
        <v>394</v>
      </c>
      <c r="E40" s="40">
        <v>41730</v>
      </c>
      <c r="F40" s="35">
        <v>97448.22</v>
      </c>
      <c r="G40" s="91">
        <v>43720</v>
      </c>
      <c r="H40" s="186" t="s">
        <v>1067</v>
      </c>
      <c r="I40" s="92"/>
      <c r="J40" s="85"/>
    </row>
    <row r="41" spans="1:10">
      <c r="A41" s="32" t="s">
        <v>35</v>
      </c>
      <c r="B41" s="33" t="s">
        <v>520</v>
      </c>
      <c r="C41" s="36">
        <v>10</v>
      </c>
      <c r="D41" s="34" t="s">
        <v>341</v>
      </c>
      <c r="E41" s="40">
        <v>41689</v>
      </c>
      <c r="F41" s="35">
        <v>96269.36</v>
      </c>
      <c r="G41" s="91">
        <v>43726</v>
      </c>
      <c r="H41" s="92">
        <v>1000</v>
      </c>
      <c r="I41" s="92"/>
      <c r="J41" s="85" t="s">
        <v>633</v>
      </c>
    </row>
    <row r="42" spans="1:10">
      <c r="A42" s="19"/>
      <c r="B42" s="20"/>
      <c r="C42" s="20"/>
      <c r="D42" s="19"/>
      <c r="E42" s="21"/>
      <c r="F42" s="21"/>
      <c r="G42" s="21"/>
      <c r="H42" s="22"/>
      <c r="I42" s="22"/>
      <c r="J42" s="22"/>
    </row>
  </sheetData>
  <mergeCells count="1">
    <mergeCell ref="A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8"/>
  <dimension ref="A3:IQ35"/>
  <sheetViews>
    <sheetView showGridLines="0" workbookViewId="0">
      <selection activeCell="A36" sqref="A36"/>
    </sheetView>
  </sheetViews>
  <sheetFormatPr defaultColWidth="9.140625" defaultRowHeight="15"/>
  <cols>
    <col min="1" max="1" width="66.42578125" style="5" bestFit="1" customWidth="1"/>
    <col min="2" max="3" width="19.140625" style="5" customWidth="1"/>
    <col min="4" max="4" width="38.140625" style="5" bestFit="1" customWidth="1"/>
    <col min="5" max="5" width="24.42578125" style="5" bestFit="1" customWidth="1"/>
    <col min="6" max="6" width="15.7109375" style="5" customWidth="1"/>
    <col min="7" max="7" width="65.42578125" style="5" bestFit="1" customWidth="1"/>
    <col min="8" max="8" width="13.42578125" style="5" customWidth="1"/>
    <col min="9" max="9" width="95.42578125" style="5" bestFit="1" customWidth="1"/>
    <col min="10" max="10" width="75" style="5" bestFit="1" customWidth="1"/>
    <col min="11" max="11" width="15.28515625" style="5" customWidth="1"/>
    <col min="12" max="12" width="21.85546875" style="5" customWidth="1"/>
    <col min="13" max="13" width="41.85546875" style="5" customWidth="1"/>
    <col min="14" max="14" width="16" style="5" customWidth="1"/>
    <col min="15" max="15" width="10.7109375" style="5" customWidth="1"/>
    <col min="16" max="16384" width="9.140625" style="5"/>
  </cols>
  <sheetData>
    <row r="3" spans="1:10" s="102" customFormat="1" ht="30">
      <c r="A3" s="103" t="s">
        <v>6</v>
      </c>
      <c r="B3" s="103" t="s">
        <v>624</v>
      </c>
      <c r="C3" s="103" t="s">
        <v>833</v>
      </c>
      <c r="D3" s="103" t="s">
        <v>643</v>
      </c>
      <c r="E3" s="103" t="s">
        <v>645</v>
      </c>
      <c r="F3" s="103" t="s">
        <v>647</v>
      </c>
      <c r="G3" s="103" t="s">
        <v>648</v>
      </c>
      <c r="H3" s="103" t="s">
        <v>652</v>
      </c>
      <c r="I3" s="103" t="s">
        <v>32</v>
      </c>
      <c r="J3" s="103" t="s">
        <v>651</v>
      </c>
    </row>
    <row r="4" spans="1:10">
      <c r="A4" s="130" t="s">
        <v>642</v>
      </c>
      <c r="B4" s="97">
        <v>2294</v>
      </c>
      <c r="C4" s="97" t="s">
        <v>834</v>
      </c>
      <c r="D4" s="99" t="s">
        <v>644</v>
      </c>
      <c r="E4" s="99" t="s">
        <v>646</v>
      </c>
      <c r="F4" s="101">
        <v>42642</v>
      </c>
      <c r="G4" s="99" t="s">
        <v>649</v>
      </c>
      <c r="H4" s="100">
        <v>136598.70000000001</v>
      </c>
      <c r="I4" s="99" t="s">
        <v>650</v>
      </c>
      <c r="J4" s="99"/>
    </row>
    <row r="5" spans="1:10">
      <c r="A5" s="130" t="s">
        <v>657</v>
      </c>
      <c r="B5" s="97">
        <v>2450</v>
      </c>
      <c r="C5" s="97"/>
      <c r="D5" s="99" t="s">
        <v>658</v>
      </c>
      <c r="E5" s="99" t="s">
        <v>659</v>
      </c>
      <c r="F5" s="101">
        <v>42802</v>
      </c>
      <c r="G5" s="99" t="s">
        <v>649</v>
      </c>
      <c r="H5" s="100">
        <v>161026.56</v>
      </c>
      <c r="I5" s="99" t="s">
        <v>660</v>
      </c>
      <c r="J5" s="99"/>
    </row>
    <row r="6" spans="1:10">
      <c r="A6" s="130" t="s">
        <v>661</v>
      </c>
      <c r="B6" s="97">
        <v>2498</v>
      </c>
      <c r="C6" s="97"/>
      <c r="D6" s="99" t="s">
        <v>662</v>
      </c>
      <c r="E6" s="99" t="s">
        <v>663</v>
      </c>
      <c r="F6" s="101">
        <v>42692</v>
      </c>
      <c r="G6" s="99" t="s">
        <v>664</v>
      </c>
      <c r="H6" s="100">
        <v>50000</v>
      </c>
      <c r="I6" s="99" t="s">
        <v>665</v>
      </c>
      <c r="J6" s="99"/>
    </row>
    <row r="7" spans="1:10">
      <c r="A7" s="130" t="s">
        <v>402</v>
      </c>
      <c r="B7" s="97">
        <v>2552</v>
      </c>
      <c r="C7" s="97"/>
      <c r="D7" s="99" t="s">
        <v>670</v>
      </c>
      <c r="E7" s="99" t="s">
        <v>671</v>
      </c>
      <c r="F7" s="101">
        <v>42776</v>
      </c>
      <c r="G7" s="99" t="s">
        <v>649</v>
      </c>
      <c r="H7" s="100">
        <v>77076.960000000006</v>
      </c>
      <c r="I7" s="99" t="s">
        <v>672</v>
      </c>
      <c r="J7" s="99" t="s">
        <v>723</v>
      </c>
    </row>
    <row r="8" spans="1:10">
      <c r="A8" s="130" t="s">
        <v>717</v>
      </c>
      <c r="B8" s="97">
        <v>2553</v>
      </c>
      <c r="C8" s="97"/>
      <c r="D8" s="99" t="s">
        <v>644</v>
      </c>
      <c r="E8" s="99" t="s">
        <v>673</v>
      </c>
      <c r="F8" s="101">
        <v>43093</v>
      </c>
      <c r="G8" s="99" t="s">
        <v>649</v>
      </c>
      <c r="H8" s="100">
        <v>73574.710000000006</v>
      </c>
      <c r="I8" s="99" t="s">
        <v>674</v>
      </c>
      <c r="J8" s="99"/>
    </row>
    <row r="9" spans="1:10">
      <c r="A9" s="130" t="s">
        <v>724</v>
      </c>
      <c r="B9" s="97">
        <v>3789</v>
      </c>
      <c r="C9" s="97"/>
      <c r="D9" s="99" t="s">
        <v>691</v>
      </c>
      <c r="E9" s="99" t="s">
        <v>692</v>
      </c>
      <c r="F9" s="101">
        <v>43173</v>
      </c>
      <c r="G9" s="99" t="s">
        <v>693</v>
      </c>
      <c r="H9" s="100">
        <v>54108.85</v>
      </c>
      <c r="I9" s="99" t="s">
        <v>694</v>
      </c>
      <c r="J9" s="99"/>
    </row>
    <row r="10" spans="1:10">
      <c r="A10" s="130" t="s">
        <v>156</v>
      </c>
      <c r="B10" s="97">
        <v>3869</v>
      </c>
      <c r="C10" s="97"/>
      <c r="D10" s="99" t="s">
        <v>695</v>
      </c>
      <c r="E10" s="99" t="s">
        <v>696</v>
      </c>
      <c r="F10" s="101">
        <v>42899</v>
      </c>
      <c r="G10" s="99" t="s">
        <v>697</v>
      </c>
      <c r="H10" s="100">
        <v>26555.74</v>
      </c>
      <c r="I10" s="99" t="s">
        <v>698</v>
      </c>
      <c r="J10" s="99"/>
    </row>
    <row r="11" spans="1:10">
      <c r="A11" s="130" t="s">
        <v>718</v>
      </c>
      <c r="B11" s="97">
        <v>4183</v>
      </c>
      <c r="C11" s="97"/>
      <c r="D11" s="99" t="s">
        <v>702</v>
      </c>
      <c r="E11" s="99" t="s">
        <v>703</v>
      </c>
      <c r="F11" s="101">
        <v>42836</v>
      </c>
      <c r="G11" s="99" t="s">
        <v>649</v>
      </c>
      <c r="H11" s="100">
        <v>27230.31</v>
      </c>
      <c r="I11" s="99" t="s">
        <v>698</v>
      </c>
      <c r="J11" s="99" t="s">
        <v>752</v>
      </c>
    </row>
    <row r="12" spans="1:10">
      <c r="A12" s="130" t="s">
        <v>719</v>
      </c>
      <c r="B12" s="97">
        <v>4664</v>
      </c>
      <c r="C12" s="97"/>
      <c r="D12" s="99" t="s">
        <v>704</v>
      </c>
      <c r="E12" s="99" t="s">
        <v>705</v>
      </c>
      <c r="F12" s="101">
        <v>43077</v>
      </c>
      <c r="G12" s="99" t="s">
        <v>706</v>
      </c>
      <c r="H12" s="100">
        <v>39718.120000000003</v>
      </c>
      <c r="I12" s="99" t="s">
        <v>707</v>
      </c>
      <c r="J12" s="99"/>
    </row>
    <row r="13" spans="1:10">
      <c r="A13" s="130" t="s">
        <v>439</v>
      </c>
      <c r="B13" s="97">
        <v>5124</v>
      </c>
      <c r="C13" s="97"/>
      <c r="D13" s="99" t="s">
        <v>708</v>
      </c>
      <c r="E13" s="99" t="s">
        <v>709</v>
      </c>
      <c r="F13" s="101">
        <v>42978</v>
      </c>
      <c r="G13" s="99" t="s">
        <v>697</v>
      </c>
      <c r="H13" s="100">
        <v>37280</v>
      </c>
      <c r="I13" s="99" t="s">
        <v>698</v>
      </c>
      <c r="J13" s="99"/>
    </row>
    <row r="14" spans="1:10">
      <c r="A14" s="130" t="s">
        <v>194</v>
      </c>
      <c r="B14" s="97">
        <v>5275</v>
      </c>
      <c r="C14" s="97"/>
      <c r="D14" s="99" t="s">
        <v>710</v>
      </c>
      <c r="E14" s="99" t="s">
        <v>711</v>
      </c>
      <c r="F14" s="101">
        <v>43032</v>
      </c>
      <c r="G14" s="99" t="s">
        <v>649</v>
      </c>
      <c r="H14" s="100">
        <v>29748.43</v>
      </c>
      <c r="I14" s="99" t="s">
        <v>674</v>
      </c>
      <c r="J14" s="99"/>
    </row>
    <row r="15" spans="1:10">
      <c r="A15" s="130" t="s">
        <v>712</v>
      </c>
      <c r="B15" s="97" t="s">
        <v>713</v>
      </c>
      <c r="C15" s="97"/>
      <c r="D15" s="99" t="s">
        <v>644</v>
      </c>
      <c r="E15" s="99" t="s">
        <v>714</v>
      </c>
      <c r="F15" s="101">
        <v>42877</v>
      </c>
      <c r="G15" s="99" t="s">
        <v>649</v>
      </c>
      <c r="H15" s="100">
        <v>98164.83</v>
      </c>
      <c r="I15" s="99" t="s">
        <v>674</v>
      </c>
      <c r="J15" s="99"/>
    </row>
    <row r="16" spans="1:10">
      <c r="A16" s="135" t="s">
        <v>817</v>
      </c>
      <c r="B16" s="133"/>
      <c r="C16" s="133"/>
      <c r="D16" s="135" t="s">
        <v>818</v>
      </c>
      <c r="E16" s="132" t="s">
        <v>819</v>
      </c>
      <c r="F16" s="134">
        <v>43242</v>
      </c>
      <c r="G16" s="135" t="s">
        <v>820</v>
      </c>
      <c r="H16" s="136">
        <v>71698.31</v>
      </c>
      <c r="I16" s="135" t="s">
        <v>821</v>
      </c>
      <c r="J16" s="133"/>
    </row>
    <row r="17" spans="1:251">
      <c r="A17" s="135" t="s">
        <v>233</v>
      </c>
      <c r="B17" s="133"/>
      <c r="C17" s="133"/>
      <c r="D17" s="135" t="s">
        <v>769</v>
      </c>
      <c r="E17" s="132" t="s">
        <v>822</v>
      </c>
      <c r="F17" s="134">
        <v>43262</v>
      </c>
      <c r="G17" s="135" t="s">
        <v>820</v>
      </c>
      <c r="H17" s="136">
        <v>76053.23</v>
      </c>
      <c r="I17" s="135" t="s">
        <v>821</v>
      </c>
      <c r="J17" s="133"/>
    </row>
    <row r="18" spans="1:251" s="140" customFormat="1" ht="15" customHeight="1">
      <c r="A18" s="135" t="s">
        <v>823</v>
      </c>
      <c r="B18" s="133"/>
      <c r="C18" s="133"/>
      <c r="D18" s="135" t="s">
        <v>654</v>
      </c>
      <c r="E18" s="132" t="s">
        <v>824</v>
      </c>
      <c r="F18" s="134">
        <v>43297</v>
      </c>
      <c r="G18" s="135" t="s">
        <v>825</v>
      </c>
      <c r="H18" s="136">
        <v>21047.08</v>
      </c>
      <c r="I18" s="152" t="s">
        <v>826</v>
      </c>
      <c r="J18" s="133"/>
      <c r="K18" s="137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  <c r="BX18" s="138"/>
      <c r="BY18" s="138"/>
      <c r="BZ18" s="138"/>
      <c r="CA18" s="138"/>
      <c r="CB18" s="138"/>
      <c r="CC18" s="138"/>
      <c r="CD18" s="138"/>
      <c r="CE18" s="138"/>
      <c r="CF18" s="138"/>
      <c r="CG18" s="138"/>
      <c r="CH18" s="138"/>
      <c r="CI18" s="138"/>
      <c r="CJ18" s="138"/>
      <c r="CK18" s="138"/>
      <c r="CL18" s="138"/>
      <c r="CM18" s="138"/>
      <c r="CN18" s="138"/>
      <c r="CO18" s="138"/>
      <c r="CP18" s="138"/>
      <c r="CQ18" s="138"/>
      <c r="CR18" s="138"/>
      <c r="CS18" s="138"/>
      <c r="CT18" s="138"/>
      <c r="CU18" s="138"/>
      <c r="CV18" s="138"/>
      <c r="CW18" s="138"/>
      <c r="CX18" s="138"/>
      <c r="CY18" s="138"/>
      <c r="CZ18" s="138"/>
      <c r="DA18" s="138"/>
      <c r="DB18" s="138"/>
      <c r="DC18" s="138"/>
      <c r="DD18" s="138"/>
      <c r="DE18" s="138"/>
      <c r="DF18" s="138"/>
      <c r="DG18" s="138"/>
      <c r="DH18" s="138"/>
      <c r="DI18" s="138"/>
      <c r="DJ18" s="138"/>
      <c r="DK18" s="138"/>
      <c r="DL18" s="138"/>
      <c r="DM18" s="138"/>
      <c r="DN18" s="138"/>
      <c r="DO18" s="138"/>
      <c r="DP18" s="138"/>
      <c r="DQ18" s="138"/>
      <c r="DR18" s="138"/>
      <c r="DS18" s="138"/>
      <c r="DT18" s="138"/>
      <c r="DU18" s="138"/>
      <c r="DV18" s="138"/>
      <c r="DW18" s="138"/>
      <c r="DX18" s="138"/>
      <c r="DY18" s="138"/>
      <c r="DZ18" s="138"/>
      <c r="EA18" s="138"/>
      <c r="EB18" s="138"/>
      <c r="EC18" s="138"/>
      <c r="ED18" s="138"/>
      <c r="EE18" s="138"/>
      <c r="EF18" s="138"/>
      <c r="EG18" s="138"/>
      <c r="EH18" s="138"/>
      <c r="EI18" s="138"/>
      <c r="EJ18" s="138"/>
      <c r="EK18" s="138"/>
      <c r="EL18" s="138"/>
      <c r="EM18" s="138"/>
      <c r="EN18" s="138"/>
      <c r="EO18" s="138"/>
      <c r="EP18" s="138"/>
      <c r="EQ18" s="138"/>
      <c r="ER18" s="138"/>
      <c r="ES18" s="138"/>
      <c r="ET18" s="138"/>
      <c r="EU18" s="138"/>
      <c r="EV18" s="138"/>
      <c r="EW18" s="138"/>
      <c r="EX18" s="138"/>
      <c r="EY18" s="138"/>
      <c r="EZ18" s="138"/>
      <c r="FA18" s="138"/>
      <c r="FB18" s="138"/>
      <c r="FC18" s="138"/>
      <c r="FD18" s="138"/>
      <c r="FE18" s="138"/>
      <c r="FF18" s="138"/>
      <c r="FG18" s="138"/>
      <c r="FH18" s="138"/>
      <c r="FI18" s="138"/>
      <c r="FJ18" s="138"/>
      <c r="FK18" s="138"/>
      <c r="FL18" s="138"/>
      <c r="FM18" s="138"/>
      <c r="FN18" s="138"/>
      <c r="FO18" s="138"/>
      <c r="FP18" s="138"/>
      <c r="FQ18" s="138"/>
      <c r="FR18" s="138"/>
      <c r="FS18" s="138"/>
      <c r="FT18" s="138"/>
      <c r="FU18" s="138"/>
      <c r="FV18" s="138"/>
      <c r="FW18" s="138"/>
      <c r="FX18" s="138"/>
      <c r="FY18" s="138"/>
      <c r="FZ18" s="138"/>
      <c r="GA18" s="138"/>
      <c r="GB18" s="138"/>
      <c r="GC18" s="138"/>
      <c r="GD18" s="138"/>
      <c r="GE18" s="138"/>
      <c r="GF18" s="138"/>
      <c r="GG18" s="138"/>
      <c r="GH18" s="138"/>
      <c r="GI18" s="138"/>
      <c r="GJ18" s="138"/>
      <c r="GK18" s="138"/>
      <c r="GL18" s="138"/>
      <c r="GM18" s="138"/>
      <c r="GN18" s="138"/>
      <c r="GO18" s="138"/>
      <c r="GP18" s="138"/>
      <c r="GQ18" s="138"/>
      <c r="GR18" s="138"/>
      <c r="GS18" s="138"/>
      <c r="GT18" s="138"/>
      <c r="GU18" s="138"/>
      <c r="GV18" s="138"/>
      <c r="GW18" s="138"/>
      <c r="GX18" s="138"/>
      <c r="GY18" s="138"/>
      <c r="GZ18" s="138"/>
      <c r="HA18" s="138"/>
      <c r="HB18" s="138"/>
      <c r="HC18" s="138"/>
      <c r="HD18" s="138"/>
      <c r="HE18" s="138"/>
      <c r="HF18" s="138"/>
      <c r="HG18" s="138"/>
      <c r="HH18" s="138"/>
      <c r="HI18" s="138"/>
      <c r="HJ18" s="138"/>
      <c r="HK18" s="138"/>
      <c r="HL18" s="138"/>
      <c r="HM18" s="138"/>
      <c r="HN18" s="138"/>
      <c r="HO18" s="138"/>
      <c r="HP18" s="138"/>
      <c r="HQ18" s="138"/>
      <c r="HR18" s="138"/>
      <c r="HS18" s="138"/>
      <c r="HT18" s="138"/>
      <c r="HU18" s="138"/>
      <c r="HV18" s="138"/>
      <c r="HW18" s="138"/>
      <c r="HX18" s="138"/>
      <c r="HY18" s="138"/>
      <c r="HZ18" s="138"/>
      <c r="IA18" s="138"/>
      <c r="IB18" s="138"/>
      <c r="IC18" s="138"/>
      <c r="ID18" s="138"/>
      <c r="IE18" s="138"/>
      <c r="IF18" s="138"/>
      <c r="IG18" s="138"/>
      <c r="IH18" s="138"/>
      <c r="II18" s="138"/>
      <c r="IJ18" s="138"/>
      <c r="IK18" s="138"/>
      <c r="IL18" s="138"/>
      <c r="IM18" s="138"/>
      <c r="IN18" s="138"/>
      <c r="IO18" s="138"/>
      <c r="IP18" s="138"/>
      <c r="IQ18" s="139"/>
    </row>
    <row r="19" spans="1:251" s="140" customFormat="1" ht="15" customHeight="1">
      <c r="A19" s="141" t="s">
        <v>831</v>
      </c>
      <c r="B19" s="142"/>
      <c r="C19" s="142"/>
      <c r="D19" s="141" t="s">
        <v>710</v>
      </c>
      <c r="E19" s="143" t="s">
        <v>827</v>
      </c>
      <c r="F19" s="144">
        <v>43326</v>
      </c>
      <c r="G19" s="141" t="s">
        <v>820</v>
      </c>
      <c r="H19" s="145">
        <v>156176.21</v>
      </c>
      <c r="I19" s="152" t="s">
        <v>826</v>
      </c>
      <c r="J19" s="142"/>
      <c r="K19" s="137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138"/>
      <c r="BX19" s="138"/>
      <c r="BY19" s="138"/>
      <c r="BZ19" s="138"/>
      <c r="CA19" s="138"/>
      <c r="CB19" s="138"/>
      <c r="CC19" s="138"/>
      <c r="CD19" s="138"/>
      <c r="CE19" s="138"/>
      <c r="CF19" s="138"/>
      <c r="CG19" s="138"/>
      <c r="CH19" s="138"/>
      <c r="CI19" s="138"/>
      <c r="CJ19" s="138"/>
      <c r="CK19" s="138"/>
      <c r="CL19" s="138"/>
      <c r="CM19" s="138"/>
      <c r="CN19" s="138"/>
      <c r="CO19" s="138"/>
      <c r="CP19" s="138"/>
      <c r="CQ19" s="138"/>
      <c r="CR19" s="138"/>
      <c r="CS19" s="138"/>
      <c r="CT19" s="138"/>
      <c r="CU19" s="138"/>
      <c r="CV19" s="138"/>
      <c r="CW19" s="138"/>
      <c r="CX19" s="138"/>
      <c r="CY19" s="138"/>
      <c r="CZ19" s="138"/>
      <c r="DA19" s="138"/>
      <c r="DB19" s="138"/>
      <c r="DC19" s="138"/>
      <c r="DD19" s="138"/>
      <c r="DE19" s="138"/>
      <c r="DF19" s="138"/>
      <c r="DG19" s="138"/>
      <c r="DH19" s="138"/>
      <c r="DI19" s="138"/>
      <c r="DJ19" s="138"/>
      <c r="DK19" s="138"/>
      <c r="DL19" s="138"/>
      <c r="DM19" s="138"/>
      <c r="DN19" s="138"/>
      <c r="DO19" s="138"/>
      <c r="DP19" s="138"/>
      <c r="DQ19" s="138"/>
      <c r="DR19" s="138"/>
      <c r="DS19" s="138"/>
      <c r="DT19" s="138"/>
      <c r="DU19" s="138"/>
      <c r="DV19" s="138"/>
      <c r="DW19" s="138"/>
      <c r="DX19" s="138"/>
      <c r="DY19" s="138"/>
      <c r="DZ19" s="138"/>
      <c r="EA19" s="138"/>
      <c r="EB19" s="138"/>
      <c r="EC19" s="138"/>
      <c r="ED19" s="138"/>
      <c r="EE19" s="138"/>
      <c r="EF19" s="138"/>
      <c r="EG19" s="138"/>
      <c r="EH19" s="138"/>
      <c r="EI19" s="138"/>
      <c r="EJ19" s="138"/>
      <c r="EK19" s="138"/>
      <c r="EL19" s="138"/>
      <c r="EM19" s="138"/>
      <c r="EN19" s="138"/>
      <c r="EO19" s="138"/>
      <c r="EP19" s="138"/>
      <c r="EQ19" s="138"/>
      <c r="ER19" s="138"/>
      <c r="ES19" s="138"/>
      <c r="ET19" s="138"/>
      <c r="EU19" s="138"/>
      <c r="EV19" s="138"/>
      <c r="EW19" s="138"/>
      <c r="EX19" s="138"/>
      <c r="EY19" s="138"/>
      <c r="EZ19" s="138"/>
      <c r="FA19" s="138"/>
      <c r="FB19" s="138"/>
      <c r="FC19" s="138"/>
      <c r="FD19" s="138"/>
      <c r="FE19" s="138"/>
      <c r="FF19" s="138"/>
      <c r="FG19" s="138"/>
      <c r="FH19" s="138"/>
      <c r="FI19" s="138"/>
      <c r="FJ19" s="138"/>
      <c r="FK19" s="138"/>
      <c r="FL19" s="138"/>
      <c r="FM19" s="138"/>
      <c r="FN19" s="138"/>
      <c r="FO19" s="138"/>
      <c r="FP19" s="138"/>
      <c r="FQ19" s="138"/>
      <c r="FR19" s="138"/>
      <c r="FS19" s="138"/>
      <c r="FT19" s="138"/>
      <c r="FU19" s="138"/>
      <c r="FV19" s="138"/>
      <c r="FW19" s="138"/>
      <c r="FX19" s="138"/>
      <c r="FY19" s="138"/>
      <c r="FZ19" s="138"/>
      <c r="GA19" s="138"/>
      <c r="GB19" s="138"/>
      <c r="GC19" s="138"/>
      <c r="GD19" s="138"/>
      <c r="GE19" s="138"/>
      <c r="GF19" s="138"/>
      <c r="GG19" s="138"/>
      <c r="GH19" s="138"/>
      <c r="GI19" s="138"/>
      <c r="GJ19" s="138"/>
      <c r="GK19" s="138"/>
      <c r="GL19" s="138"/>
      <c r="GM19" s="138"/>
      <c r="GN19" s="138"/>
      <c r="GO19" s="138"/>
      <c r="GP19" s="138"/>
      <c r="GQ19" s="138"/>
      <c r="GR19" s="138"/>
      <c r="GS19" s="138"/>
      <c r="GT19" s="138"/>
      <c r="GU19" s="138"/>
      <c r="GV19" s="138"/>
      <c r="GW19" s="138"/>
      <c r="GX19" s="138"/>
      <c r="GY19" s="138"/>
      <c r="GZ19" s="138"/>
      <c r="HA19" s="138"/>
      <c r="HB19" s="138"/>
      <c r="HC19" s="138"/>
      <c r="HD19" s="138"/>
      <c r="HE19" s="138"/>
      <c r="HF19" s="138"/>
      <c r="HG19" s="138"/>
      <c r="HH19" s="138"/>
      <c r="HI19" s="138"/>
      <c r="HJ19" s="138"/>
      <c r="HK19" s="138"/>
      <c r="HL19" s="138"/>
      <c r="HM19" s="138"/>
      <c r="HN19" s="138"/>
      <c r="HO19" s="138"/>
      <c r="HP19" s="138"/>
      <c r="HQ19" s="138"/>
      <c r="HR19" s="138"/>
      <c r="HS19" s="138"/>
      <c r="HT19" s="138"/>
      <c r="HU19" s="138"/>
      <c r="HV19" s="138"/>
      <c r="HW19" s="138"/>
      <c r="HX19" s="138"/>
      <c r="HY19" s="138"/>
      <c r="HZ19" s="138"/>
      <c r="IA19" s="138"/>
      <c r="IB19" s="138"/>
      <c r="IC19" s="138"/>
      <c r="ID19" s="138"/>
      <c r="IE19" s="138"/>
      <c r="IF19" s="138"/>
      <c r="IG19" s="138"/>
      <c r="IH19" s="138"/>
      <c r="II19" s="138"/>
      <c r="IJ19" s="138"/>
      <c r="IK19" s="138"/>
      <c r="IL19" s="138"/>
      <c r="IM19" s="138"/>
      <c r="IN19" s="138"/>
      <c r="IO19" s="138"/>
      <c r="IP19" s="138"/>
      <c r="IQ19" s="139"/>
    </row>
    <row r="20" spans="1:251" s="140" customFormat="1" ht="15" customHeight="1">
      <c r="A20" s="147" t="s">
        <v>828</v>
      </c>
      <c r="B20" s="148"/>
      <c r="C20" s="148"/>
      <c r="D20" s="147" t="s">
        <v>829</v>
      </c>
      <c r="E20" s="149" t="s">
        <v>830</v>
      </c>
      <c r="F20" s="150">
        <v>43320</v>
      </c>
      <c r="G20" s="147" t="s">
        <v>820</v>
      </c>
      <c r="H20" s="151">
        <v>143969.94</v>
      </c>
      <c r="I20" s="147" t="s">
        <v>832</v>
      </c>
      <c r="J20" s="14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  <c r="BS20" s="138"/>
      <c r="BT20" s="138"/>
      <c r="BU20" s="138"/>
      <c r="BV20" s="138"/>
      <c r="BW20" s="138"/>
      <c r="BX20" s="138"/>
      <c r="BY20" s="138"/>
      <c r="BZ20" s="138"/>
      <c r="CA20" s="138"/>
      <c r="CB20" s="138"/>
      <c r="CC20" s="138"/>
      <c r="CD20" s="138"/>
      <c r="CE20" s="138"/>
      <c r="CF20" s="138"/>
      <c r="CG20" s="138"/>
      <c r="CH20" s="138"/>
      <c r="CI20" s="138"/>
      <c r="CJ20" s="138"/>
      <c r="CK20" s="138"/>
      <c r="CL20" s="138"/>
      <c r="CM20" s="138"/>
      <c r="CN20" s="138"/>
      <c r="CO20" s="138"/>
      <c r="CP20" s="138"/>
      <c r="CQ20" s="138"/>
      <c r="CR20" s="138"/>
      <c r="CS20" s="138"/>
      <c r="CT20" s="138"/>
      <c r="CU20" s="138"/>
      <c r="CV20" s="138"/>
      <c r="CW20" s="138"/>
      <c r="CX20" s="138"/>
      <c r="CY20" s="138"/>
      <c r="CZ20" s="138"/>
      <c r="DA20" s="138"/>
      <c r="DB20" s="138"/>
      <c r="DC20" s="138"/>
      <c r="DD20" s="138"/>
      <c r="DE20" s="138"/>
      <c r="DF20" s="138"/>
      <c r="DG20" s="138"/>
      <c r="DH20" s="138"/>
      <c r="DI20" s="138"/>
      <c r="DJ20" s="138"/>
      <c r="DK20" s="138"/>
      <c r="DL20" s="138"/>
      <c r="DM20" s="138"/>
      <c r="DN20" s="138"/>
      <c r="DO20" s="138"/>
      <c r="DP20" s="138"/>
      <c r="DQ20" s="138"/>
      <c r="DR20" s="138"/>
      <c r="DS20" s="138"/>
      <c r="DT20" s="138"/>
      <c r="DU20" s="138"/>
      <c r="DV20" s="138"/>
      <c r="DW20" s="138"/>
      <c r="DX20" s="138"/>
      <c r="DY20" s="138"/>
      <c r="DZ20" s="138"/>
      <c r="EA20" s="138"/>
      <c r="EB20" s="138"/>
      <c r="EC20" s="138"/>
      <c r="ED20" s="138"/>
      <c r="EE20" s="138"/>
      <c r="EF20" s="138"/>
      <c r="EG20" s="138"/>
      <c r="EH20" s="138"/>
      <c r="EI20" s="138"/>
      <c r="EJ20" s="138"/>
      <c r="EK20" s="138"/>
      <c r="EL20" s="138"/>
      <c r="EM20" s="138"/>
      <c r="EN20" s="138"/>
      <c r="EO20" s="138"/>
      <c r="EP20" s="138"/>
      <c r="EQ20" s="138"/>
      <c r="ER20" s="138"/>
      <c r="ES20" s="138"/>
      <c r="ET20" s="138"/>
      <c r="EU20" s="138"/>
      <c r="EV20" s="138"/>
      <c r="EW20" s="138"/>
      <c r="EX20" s="138"/>
      <c r="EY20" s="138"/>
      <c r="EZ20" s="138"/>
      <c r="FA20" s="138"/>
      <c r="FB20" s="138"/>
      <c r="FC20" s="138"/>
      <c r="FD20" s="138"/>
      <c r="FE20" s="138"/>
      <c r="FF20" s="138"/>
      <c r="FG20" s="138"/>
      <c r="FH20" s="138"/>
      <c r="FI20" s="138"/>
      <c r="FJ20" s="138"/>
      <c r="FK20" s="138"/>
      <c r="FL20" s="138"/>
      <c r="FM20" s="138"/>
      <c r="FN20" s="138"/>
      <c r="FO20" s="138"/>
      <c r="FP20" s="138"/>
      <c r="FQ20" s="138"/>
      <c r="FR20" s="138"/>
      <c r="FS20" s="138"/>
      <c r="FT20" s="138"/>
      <c r="FU20" s="138"/>
      <c r="FV20" s="138"/>
      <c r="FW20" s="138"/>
      <c r="FX20" s="138"/>
      <c r="FY20" s="138"/>
      <c r="FZ20" s="138"/>
      <c r="GA20" s="138"/>
      <c r="GB20" s="138"/>
      <c r="GC20" s="138"/>
      <c r="GD20" s="138"/>
      <c r="GE20" s="138"/>
      <c r="GF20" s="138"/>
      <c r="GG20" s="138"/>
      <c r="GH20" s="138"/>
      <c r="GI20" s="138"/>
      <c r="GJ20" s="138"/>
      <c r="GK20" s="138"/>
      <c r="GL20" s="138"/>
      <c r="GM20" s="138"/>
      <c r="GN20" s="138"/>
      <c r="GO20" s="138"/>
      <c r="GP20" s="138"/>
      <c r="GQ20" s="138"/>
      <c r="GR20" s="138"/>
      <c r="GS20" s="138"/>
      <c r="GT20" s="138"/>
      <c r="GU20" s="138"/>
      <c r="GV20" s="138"/>
      <c r="GW20" s="138"/>
      <c r="GX20" s="138"/>
      <c r="GY20" s="138"/>
      <c r="GZ20" s="138"/>
      <c r="HA20" s="138"/>
      <c r="HB20" s="138"/>
      <c r="HC20" s="138"/>
      <c r="HD20" s="138"/>
      <c r="HE20" s="138"/>
      <c r="HF20" s="138"/>
      <c r="HG20" s="138"/>
      <c r="HH20" s="138"/>
      <c r="HI20" s="138"/>
      <c r="HJ20" s="138"/>
      <c r="HK20" s="138"/>
      <c r="HL20" s="138"/>
      <c r="HM20" s="138"/>
      <c r="HN20" s="138"/>
      <c r="HO20" s="138"/>
      <c r="HP20" s="138"/>
      <c r="HQ20" s="138"/>
      <c r="HR20" s="138"/>
      <c r="HS20" s="138"/>
      <c r="HT20" s="138"/>
      <c r="HU20" s="138"/>
      <c r="HV20" s="138"/>
      <c r="HW20" s="138"/>
      <c r="HX20" s="138"/>
      <c r="HY20" s="138"/>
      <c r="HZ20" s="138"/>
      <c r="IA20" s="138"/>
      <c r="IB20" s="138"/>
      <c r="IC20" s="138"/>
      <c r="ID20" s="138"/>
      <c r="IE20" s="138"/>
      <c r="IF20" s="138"/>
      <c r="IG20" s="138"/>
      <c r="IH20" s="138"/>
      <c r="II20" s="138"/>
      <c r="IJ20" s="138"/>
      <c r="IK20" s="138"/>
      <c r="IL20" s="138"/>
      <c r="IM20" s="138"/>
      <c r="IN20" s="138"/>
      <c r="IO20" s="138"/>
      <c r="IP20" s="138"/>
      <c r="IQ20" s="139"/>
    </row>
    <row r="21" spans="1:251" s="107" customFormat="1">
      <c r="A21" s="98"/>
      <c r="B21" s="97"/>
      <c r="C21" s="97"/>
      <c r="D21" s="99"/>
      <c r="E21" s="99"/>
      <c r="F21" s="101"/>
      <c r="G21" s="99"/>
      <c r="H21" s="100"/>
      <c r="I21" s="99"/>
      <c r="J21" s="99"/>
    </row>
    <row r="22" spans="1:251">
      <c r="B22" s="146">
        <f>COUNTA(H4:H21)</f>
        <v>17</v>
      </c>
      <c r="C22" s="155"/>
      <c r="H22" s="44">
        <f>SUM(H4:H21)</f>
        <v>1280027.98</v>
      </c>
    </row>
    <row r="25" spans="1:251" s="102" customFormat="1" ht="30">
      <c r="A25" s="103" t="s">
        <v>6</v>
      </c>
      <c r="B25" s="103" t="s">
        <v>624</v>
      </c>
      <c r="C25" s="103"/>
      <c r="D25" s="103" t="s">
        <v>643</v>
      </c>
      <c r="E25" s="103" t="s">
        <v>645</v>
      </c>
      <c r="F25" s="103" t="s">
        <v>647</v>
      </c>
      <c r="G25" s="103" t="s">
        <v>648</v>
      </c>
      <c r="H25" s="103" t="s">
        <v>652</v>
      </c>
      <c r="I25" s="103" t="s">
        <v>32</v>
      </c>
      <c r="J25" s="103" t="s">
        <v>651</v>
      </c>
    </row>
    <row r="26" spans="1:251">
      <c r="A26" s="119" t="s">
        <v>688</v>
      </c>
      <c r="B26" s="97">
        <v>3734</v>
      </c>
      <c r="C26" s="97"/>
      <c r="D26" s="99" t="s">
        <v>666</v>
      </c>
      <c r="E26" s="99" t="s">
        <v>689</v>
      </c>
      <c r="F26" s="101">
        <v>42598</v>
      </c>
      <c r="G26" s="99" t="s">
        <v>649</v>
      </c>
      <c r="H26" s="100">
        <v>22456.21</v>
      </c>
      <c r="I26" s="99" t="s">
        <v>690</v>
      </c>
      <c r="J26" s="99" t="s">
        <v>720</v>
      </c>
    </row>
    <row r="27" spans="1:251">
      <c r="A27" s="119" t="s">
        <v>653</v>
      </c>
      <c r="B27" s="97">
        <v>2310</v>
      </c>
      <c r="C27" s="97"/>
      <c r="D27" s="99" t="s">
        <v>654</v>
      </c>
      <c r="E27" s="99" t="s">
        <v>655</v>
      </c>
      <c r="F27" s="101">
        <v>42975</v>
      </c>
      <c r="G27" s="99" t="s">
        <v>721</v>
      </c>
      <c r="H27" s="100">
        <v>30229.4</v>
      </c>
      <c r="I27" s="99" t="s">
        <v>656</v>
      </c>
      <c r="J27" s="99" t="s">
        <v>722</v>
      </c>
    </row>
    <row r="28" spans="1:251">
      <c r="A28" s="119" t="s">
        <v>170</v>
      </c>
      <c r="B28" s="97">
        <v>2527</v>
      </c>
      <c r="C28" s="97"/>
      <c r="D28" s="99" t="s">
        <v>666</v>
      </c>
      <c r="E28" s="99" t="s">
        <v>667</v>
      </c>
      <c r="F28" s="101">
        <v>42880</v>
      </c>
      <c r="G28" s="99" t="s">
        <v>668</v>
      </c>
      <c r="H28" s="100">
        <v>18653.3</v>
      </c>
      <c r="I28" s="99" t="s">
        <v>669</v>
      </c>
      <c r="J28" s="99"/>
    </row>
    <row r="29" spans="1:251">
      <c r="A29" s="119" t="s">
        <v>679</v>
      </c>
      <c r="B29" s="97">
        <v>3590</v>
      </c>
      <c r="C29" s="97"/>
      <c r="D29" s="99" t="s">
        <v>666</v>
      </c>
      <c r="E29" s="99" t="s">
        <v>680</v>
      </c>
      <c r="F29" s="101">
        <v>42145</v>
      </c>
      <c r="G29" s="99" t="s">
        <v>681</v>
      </c>
      <c r="H29" s="100">
        <v>500</v>
      </c>
      <c r="I29" s="99" t="s">
        <v>682</v>
      </c>
      <c r="J29" s="99"/>
    </row>
    <row r="30" spans="1:251">
      <c r="A30" s="119" t="s">
        <v>408</v>
      </c>
      <c r="B30" s="97">
        <v>3578</v>
      </c>
      <c r="C30" s="97"/>
      <c r="D30" s="99" t="s">
        <v>675</v>
      </c>
      <c r="E30" s="99" t="s">
        <v>676</v>
      </c>
      <c r="F30" s="101">
        <v>42244</v>
      </c>
      <c r="G30" s="99" t="s">
        <v>677</v>
      </c>
      <c r="H30" s="100">
        <v>4455.43</v>
      </c>
      <c r="I30" s="99" t="s">
        <v>678</v>
      </c>
      <c r="J30" s="99"/>
    </row>
    <row r="31" spans="1:251">
      <c r="A31" s="119" t="s">
        <v>683</v>
      </c>
      <c r="B31" s="97">
        <v>3705</v>
      </c>
      <c r="C31" s="97"/>
      <c r="D31" s="99" t="s">
        <v>684</v>
      </c>
      <c r="E31" s="99" t="s">
        <v>685</v>
      </c>
      <c r="F31" s="101">
        <v>42892</v>
      </c>
      <c r="G31" s="99" t="s">
        <v>686</v>
      </c>
      <c r="H31" s="100">
        <v>32920</v>
      </c>
      <c r="I31" s="99" t="s">
        <v>687</v>
      </c>
      <c r="J31" s="99"/>
    </row>
    <row r="32" spans="1:251">
      <c r="A32" s="119" t="s">
        <v>699</v>
      </c>
      <c r="B32" s="97">
        <v>3912</v>
      </c>
      <c r="C32" s="97"/>
      <c r="D32" s="99" t="s">
        <v>654</v>
      </c>
      <c r="E32" s="99" t="s">
        <v>700</v>
      </c>
      <c r="F32" s="101">
        <v>42941</v>
      </c>
      <c r="G32" s="99" t="s">
        <v>697</v>
      </c>
      <c r="H32" s="100">
        <v>24205.18</v>
      </c>
      <c r="I32" s="99" t="s">
        <v>701</v>
      </c>
      <c r="J32" s="99" t="s">
        <v>751</v>
      </c>
    </row>
    <row r="33" spans="1:10" ht="14.25" customHeight="1">
      <c r="A33" s="98" t="s">
        <v>161</v>
      </c>
      <c r="B33" s="97" t="s">
        <v>715</v>
      </c>
      <c r="C33" s="97"/>
      <c r="D33" s="99" t="s">
        <v>684</v>
      </c>
      <c r="E33" s="99" t="s">
        <v>716</v>
      </c>
      <c r="F33" s="101">
        <v>41877</v>
      </c>
      <c r="G33" s="99" t="s">
        <v>681</v>
      </c>
      <c r="H33" s="100">
        <v>19448.28</v>
      </c>
      <c r="I33" s="99" t="s">
        <v>682</v>
      </c>
      <c r="J33" s="99"/>
    </row>
    <row r="34" spans="1:10">
      <c r="A34" s="98" t="s">
        <v>768</v>
      </c>
      <c r="B34" s="97">
        <v>2733</v>
      </c>
      <c r="C34" s="97"/>
      <c r="D34" s="99" t="s">
        <v>769</v>
      </c>
      <c r="E34" s="99" t="s">
        <v>770</v>
      </c>
      <c r="F34" s="101">
        <v>43187</v>
      </c>
      <c r="G34" s="99" t="s">
        <v>693</v>
      </c>
      <c r="H34" s="100">
        <v>50000</v>
      </c>
      <c r="I34" s="99" t="s">
        <v>694</v>
      </c>
      <c r="J34" s="99"/>
    </row>
    <row r="35" spans="1:10">
      <c r="B35" s="50">
        <f>COUNTA(H26:H34)</f>
        <v>9</v>
      </c>
      <c r="C35" s="155"/>
    </row>
  </sheetData>
  <autoFilter ref="A3:J15" xr:uid="{00000000-0009-0000-0000-00000D000000}"/>
  <conditionalFormatting sqref="H16:H17">
    <cfRule type="cellIs" dxfId="1" priority="2" stopIfTrue="1" operator="lessThan">
      <formula>0</formula>
    </cfRule>
  </conditionalFormatting>
  <conditionalFormatting sqref="H18:H20">
    <cfRule type="cellIs" dxfId="0" priority="1" stopIfTrue="1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9"/>
  <dimension ref="A3:I67"/>
  <sheetViews>
    <sheetView showGridLines="0" topLeftCell="A10" workbookViewId="0">
      <selection activeCell="A36" sqref="A36"/>
    </sheetView>
  </sheetViews>
  <sheetFormatPr defaultColWidth="9.140625" defaultRowHeight="15"/>
  <cols>
    <col min="1" max="1" width="66.42578125" style="5" customWidth="1"/>
    <col min="2" max="2" width="10.85546875" style="5" bestFit="1" customWidth="1"/>
    <col min="3" max="3" width="14.42578125" style="109" customWidth="1"/>
    <col min="4" max="4" width="34.28515625" style="5" bestFit="1" customWidth="1"/>
    <col min="5" max="5" width="33.42578125" style="5" bestFit="1" customWidth="1"/>
    <col min="6" max="6" width="24.42578125" style="5" bestFit="1" customWidth="1"/>
    <col min="7" max="7" width="13.42578125" style="8" customWidth="1"/>
    <col min="8" max="8" width="104.42578125" style="5" bestFit="1" customWidth="1"/>
    <col min="9" max="9" width="77.28515625" style="5" bestFit="1" customWidth="1"/>
    <col min="10" max="10" width="15.28515625" style="5" customWidth="1"/>
    <col min="11" max="11" width="21.85546875" style="5" customWidth="1"/>
    <col min="12" max="12" width="41.85546875" style="5" customWidth="1"/>
    <col min="13" max="13" width="16" style="5" customWidth="1"/>
    <col min="14" max="14" width="10.7109375" style="5" customWidth="1"/>
    <col min="15" max="16384" width="9.140625" style="5"/>
  </cols>
  <sheetData>
    <row r="3" spans="1:9" s="102" customFormat="1" ht="30">
      <c r="A3" s="103" t="s">
        <v>6</v>
      </c>
      <c r="B3" s="103" t="s">
        <v>624</v>
      </c>
      <c r="C3" s="106" t="s">
        <v>746</v>
      </c>
      <c r="D3" s="103" t="s">
        <v>747</v>
      </c>
      <c r="E3" s="103" t="s">
        <v>643</v>
      </c>
      <c r="F3" s="103" t="s">
        <v>749</v>
      </c>
      <c r="G3" s="104" t="s">
        <v>748</v>
      </c>
      <c r="H3" s="103" t="s">
        <v>725</v>
      </c>
      <c r="I3" s="103" t="s">
        <v>726</v>
      </c>
    </row>
    <row r="4" spans="1:9">
      <c r="A4" s="130" t="s">
        <v>777</v>
      </c>
      <c r="B4" s="97">
        <v>2710</v>
      </c>
      <c r="C4" s="110">
        <v>25097.48</v>
      </c>
      <c r="D4" s="99" t="s">
        <v>733</v>
      </c>
      <c r="E4" s="112" t="s">
        <v>734</v>
      </c>
      <c r="F4" s="99"/>
      <c r="G4" s="105">
        <v>43282</v>
      </c>
      <c r="H4" s="99" t="s">
        <v>775</v>
      </c>
      <c r="I4" s="99" t="s">
        <v>814</v>
      </c>
    </row>
    <row r="5" spans="1:9">
      <c r="A5" s="130" t="s">
        <v>732</v>
      </c>
      <c r="B5" s="97">
        <v>2586</v>
      </c>
      <c r="C5" s="110">
        <v>92599.67</v>
      </c>
      <c r="D5" s="99" t="s">
        <v>733</v>
      </c>
      <c r="E5" s="112" t="s">
        <v>734</v>
      </c>
      <c r="F5" s="99" t="s">
        <v>735</v>
      </c>
      <c r="G5" s="105">
        <v>43160</v>
      </c>
      <c r="H5" s="99" t="s">
        <v>775</v>
      </c>
      <c r="I5" s="99" t="s">
        <v>814</v>
      </c>
    </row>
    <row r="6" spans="1:9">
      <c r="A6" s="130" t="s">
        <v>126</v>
      </c>
      <c r="B6" s="97">
        <v>3512</v>
      </c>
      <c r="C6" s="110">
        <v>53999.360000000001</v>
      </c>
      <c r="D6" s="99" t="s">
        <v>733</v>
      </c>
      <c r="E6" s="112" t="s">
        <v>734</v>
      </c>
      <c r="F6" s="99"/>
      <c r="G6" s="105">
        <v>43252</v>
      </c>
      <c r="H6" s="99" t="s">
        <v>797</v>
      </c>
      <c r="I6" s="99" t="s">
        <v>814</v>
      </c>
    </row>
    <row r="7" spans="1:9">
      <c r="A7" s="130" t="s">
        <v>163</v>
      </c>
      <c r="B7" s="97">
        <v>2680</v>
      </c>
      <c r="C7" s="110">
        <v>83001.91</v>
      </c>
      <c r="D7" s="99" t="s">
        <v>733</v>
      </c>
      <c r="E7" s="112" t="s">
        <v>734</v>
      </c>
      <c r="F7" s="99" t="s">
        <v>735</v>
      </c>
      <c r="G7" s="105">
        <v>43160</v>
      </c>
      <c r="H7" s="99" t="s">
        <v>774</v>
      </c>
      <c r="I7" s="99" t="s">
        <v>814</v>
      </c>
    </row>
    <row r="8" spans="1:9">
      <c r="A8" s="130" t="s">
        <v>163</v>
      </c>
      <c r="B8" s="97">
        <v>2684</v>
      </c>
      <c r="C8" s="110">
        <v>25772.799999999999</v>
      </c>
      <c r="D8" s="99" t="s">
        <v>733</v>
      </c>
      <c r="E8" s="112" t="s">
        <v>734</v>
      </c>
      <c r="F8" s="99" t="s">
        <v>735</v>
      </c>
      <c r="G8" s="105">
        <v>43160</v>
      </c>
      <c r="H8" s="99" t="s">
        <v>774</v>
      </c>
      <c r="I8" s="99" t="s">
        <v>814</v>
      </c>
    </row>
    <row r="9" spans="1:9">
      <c r="A9" s="130" t="s">
        <v>174</v>
      </c>
      <c r="B9" s="97">
        <v>4996</v>
      </c>
      <c r="C9" s="110">
        <v>55005.08</v>
      </c>
      <c r="D9" s="99" t="s">
        <v>733</v>
      </c>
      <c r="E9" s="112"/>
      <c r="F9" s="99"/>
      <c r="G9" s="105">
        <v>43313</v>
      </c>
      <c r="H9" s="99" t="s">
        <v>797</v>
      </c>
      <c r="I9" s="99" t="s">
        <v>814</v>
      </c>
    </row>
    <row r="10" spans="1:9">
      <c r="A10" s="130" t="s">
        <v>196</v>
      </c>
      <c r="B10" s="97">
        <v>2473</v>
      </c>
      <c r="C10" s="110">
        <v>41118.69</v>
      </c>
      <c r="D10" s="99" t="s">
        <v>733</v>
      </c>
      <c r="E10" s="112" t="s">
        <v>734</v>
      </c>
      <c r="F10" s="99"/>
      <c r="G10" s="105">
        <v>43252</v>
      </c>
      <c r="H10" s="99" t="s">
        <v>797</v>
      </c>
      <c r="I10" s="99" t="s">
        <v>814</v>
      </c>
    </row>
    <row r="11" spans="1:9">
      <c r="A11" s="130" t="s">
        <v>209</v>
      </c>
      <c r="B11" s="97">
        <v>3564</v>
      </c>
      <c r="C11" s="110">
        <v>84830.86</v>
      </c>
      <c r="D11" s="99" t="s">
        <v>733</v>
      </c>
      <c r="E11" s="112" t="s">
        <v>734</v>
      </c>
      <c r="F11" s="99"/>
      <c r="G11" s="105">
        <v>43282</v>
      </c>
      <c r="H11" s="99" t="s">
        <v>775</v>
      </c>
      <c r="I11" s="99" t="s">
        <v>814</v>
      </c>
    </row>
    <row r="12" spans="1:9">
      <c r="A12" s="130" t="s">
        <v>247</v>
      </c>
      <c r="B12" s="97">
        <v>3908</v>
      </c>
      <c r="C12" s="110">
        <v>9210</v>
      </c>
      <c r="D12" s="99" t="s">
        <v>733</v>
      </c>
      <c r="E12" s="112" t="s">
        <v>734</v>
      </c>
      <c r="F12" s="99"/>
      <c r="G12" s="105">
        <v>43282</v>
      </c>
      <c r="H12" s="99" t="s">
        <v>775</v>
      </c>
      <c r="I12" s="99" t="s">
        <v>814</v>
      </c>
    </row>
    <row r="13" spans="1:9">
      <c r="A13" s="130" t="s">
        <v>251</v>
      </c>
      <c r="B13" s="97">
        <v>3884</v>
      </c>
      <c r="C13" s="110">
        <v>6003.04</v>
      </c>
      <c r="D13" s="99" t="s">
        <v>733</v>
      </c>
      <c r="E13" s="112"/>
      <c r="F13" s="99"/>
      <c r="G13" s="105">
        <v>43252</v>
      </c>
      <c r="H13" s="99" t="s">
        <v>771</v>
      </c>
      <c r="I13" s="99" t="s">
        <v>773</v>
      </c>
    </row>
    <row r="14" spans="1:9">
      <c r="A14" s="130" t="s">
        <v>742</v>
      </c>
      <c r="B14" s="97">
        <v>3856</v>
      </c>
      <c r="C14" s="110">
        <v>36330.39</v>
      </c>
      <c r="D14" s="99" t="s">
        <v>733</v>
      </c>
      <c r="E14" s="112" t="s">
        <v>734</v>
      </c>
      <c r="F14" s="99"/>
      <c r="G14" s="105">
        <v>43282</v>
      </c>
      <c r="H14" s="99" t="s">
        <v>775</v>
      </c>
      <c r="I14" s="99" t="s">
        <v>814</v>
      </c>
    </row>
    <row r="15" spans="1:9">
      <c r="A15" s="130" t="s">
        <v>266</v>
      </c>
      <c r="B15" s="97">
        <v>3700</v>
      </c>
      <c r="C15" s="110">
        <v>51678.27</v>
      </c>
      <c r="D15" s="99" t="s">
        <v>733</v>
      </c>
      <c r="E15" s="112" t="s">
        <v>734</v>
      </c>
      <c r="F15" s="99"/>
      <c r="G15" s="105">
        <v>43252</v>
      </c>
      <c r="H15" s="99" t="s">
        <v>797</v>
      </c>
      <c r="I15" s="99" t="s">
        <v>814</v>
      </c>
    </row>
    <row r="16" spans="1:9">
      <c r="A16" s="130" t="s">
        <v>266</v>
      </c>
      <c r="B16" s="97">
        <v>3699</v>
      </c>
      <c r="C16" s="110">
        <v>46204.99</v>
      </c>
      <c r="D16" s="99" t="s">
        <v>733</v>
      </c>
      <c r="E16" s="112" t="s">
        <v>734</v>
      </c>
      <c r="F16" s="99"/>
      <c r="G16" s="105">
        <v>43252</v>
      </c>
      <c r="H16" s="99" t="s">
        <v>797</v>
      </c>
      <c r="I16" s="99" t="s">
        <v>814</v>
      </c>
    </row>
    <row r="17" spans="1:9">
      <c r="A17" s="130" t="s">
        <v>266</v>
      </c>
      <c r="B17" s="97">
        <v>3701</v>
      </c>
      <c r="C17" s="110">
        <v>44425.91</v>
      </c>
      <c r="D17" s="99" t="s">
        <v>733</v>
      </c>
      <c r="E17" s="112" t="s">
        <v>734</v>
      </c>
      <c r="F17" s="99"/>
      <c r="G17" s="105">
        <v>43252</v>
      </c>
      <c r="H17" s="99" t="s">
        <v>797</v>
      </c>
      <c r="I17" s="99" t="s">
        <v>814</v>
      </c>
    </row>
    <row r="18" spans="1:9">
      <c r="A18" s="130" t="s">
        <v>271</v>
      </c>
      <c r="B18" s="97">
        <v>2549</v>
      </c>
      <c r="C18" s="110">
        <v>6771.52</v>
      </c>
      <c r="D18" s="99" t="s">
        <v>733</v>
      </c>
      <c r="E18" s="112"/>
      <c r="F18" s="99"/>
      <c r="G18" s="105">
        <v>43313</v>
      </c>
      <c r="H18" s="99" t="s">
        <v>771</v>
      </c>
      <c r="I18" s="99" t="s">
        <v>813</v>
      </c>
    </row>
    <row r="19" spans="1:9">
      <c r="A19" s="130" t="s">
        <v>291</v>
      </c>
      <c r="B19" s="97">
        <v>3846</v>
      </c>
      <c r="C19" s="110">
        <v>32389.13</v>
      </c>
      <c r="D19" s="99" t="s">
        <v>733</v>
      </c>
      <c r="E19" s="112" t="s">
        <v>734</v>
      </c>
      <c r="F19" s="99"/>
      <c r="G19" s="105">
        <v>43252</v>
      </c>
      <c r="H19" s="99" t="s">
        <v>797</v>
      </c>
      <c r="I19" s="99" t="s">
        <v>814</v>
      </c>
    </row>
    <row r="20" spans="1:9">
      <c r="A20" s="130" t="s">
        <v>330</v>
      </c>
      <c r="B20" s="97">
        <v>3705</v>
      </c>
      <c r="C20" s="110">
        <v>31725.239999999994</v>
      </c>
      <c r="D20" s="99" t="s">
        <v>733</v>
      </c>
      <c r="E20" s="112" t="s">
        <v>734</v>
      </c>
      <c r="F20" s="99"/>
      <c r="G20" s="105">
        <v>43252</v>
      </c>
      <c r="H20" s="99" t="s">
        <v>797</v>
      </c>
      <c r="I20" s="99" t="s">
        <v>814</v>
      </c>
    </row>
    <row r="21" spans="1:9">
      <c r="A21" s="130" t="s">
        <v>640</v>
      </c>
      <c r="B21" s="97">
        <v>2662</v>
      </c>
      <c r="C21" s="110">
        <v>7733.94</v>
      </c>
      <c r="D21" s="99" t="s">
        <v>733</v>
      </c>
      <c r="E21" s="112"/>
      <c r="F21" s="99"/>
      <c r="G21" s="105">
        <v>43313</v>
      </c>
      <c r="H21" s="99" t="s">
        <v>797</v>
      </c>
      <c r="I21" s="99" t="s">
        <v>814</v>
      </c>
    </row>
    <row r="22" spans="1:9">
      <c r="A22" s="130" t="s">
        <v>335</v>
      </c>
      <c r="B22" s="97">
        <v>4635</v>
      </c>
      <c r="C22" s="110">
        <v>143913.73000000001</v>
      </c>
      <c r="D22" s="99" t="s">
        <v>733</v>
      </c>
      <c r="E22" s="112" t="s">
        <v>734</v>
      </c>
      <c r="F22" s="99" t="s">
        <v>739</v>
      </c>
      <c r="G22" s="105">
        <v>43160</v>
      </c>
      <c r="H22" s="99" t="s">
        <v>736</v>
      </c>
      <c r="I22" s="99" t="s">
        <v>811</v>
      </c>
    </row>
    <row r="23" spans="1:9">
      <c r="A23" s="130" t="s">
        <v>776</v>
      </c>
      <c r="B23" s="97">
        <v>5194</v>
      </c>
      <c r="C23" s="110">
        <v>51469.73</v>
      </c>
      <c r="D23" s="99" t="s">
        <v>733</v>
      </c>
      <c r="E23" s="112"/>
      <c r="F23" s="99"/>
      <c r="G23" s="105">
        <v>43282</v>
      </c>
      <c r="H23" s="99" t="s">
        <v>775</v>
      </c>
      <c r="I23" s="99" t="s">
        <v>814</v>
      </c>
    </row>
    <row r="24" spans="1:9">
      <c r="A24" s="130" t="s">
        <v>346</v>
      </c>
      <c r="B24" s="97">
        <v>2447</v>
      </c>
      <c r="C24" s="110">
        <v>3377.12</v>
      </c>
      <c r="D24" s="99" t="s">
        <v>733</v>
      </c>
      <c r="E24" s="112"/>
      <c r="F24" s="99"/>
      <c r="G24" s="105">
        <v>43313</v>
      </c>
      <c r="H24" s="99" t="s">
        <v>771</v>
      </c>
      <c r="I24" s="99" t="s">
        <v>816</v>
      </c>
    </row>
    <row r="25" spans="1:9">
      <c r="A25" s="130" t="s">
        <v>346</v>
      </c>
      <c r="B25" s="97">
        <v>2446</v>
      </c>
      <c r="C25" s="110">
        <v>8322.07</v>
      </c>
      <c r="D25" s="99" t="s">
        <v>733</v>
      </c>
      <c r="E25" s="112"/>
      <c r="F25" s="99"/>
      <c r="G25" s="105">
        <v>43313</v>
      </c>
      <c r="H25" s="99" t="s">
        <v>771</v>
      </c>
      <c r="I25" s="99" t="s">
        <v>816</v>
      </c>
    </row>
    <row r="26" spans="1:9">
      <c r="A26" s="130" t="s">
        <v>349</v>
      </c>
      <c r="B26" s="97">
        <v>3826</v>
      </c>
      <c r="C26" s="110">
        <v>48332.409999999996</v>
      </c>
      <c r="D26" s="99" t="s">
        <v>733</v>
      </c>
      <c r="E26" s="112" t="s">
        <v>734</v>
      </c>
      <c r="F26" s="99"/>
      <c r="G26" s="105">
        <v>43252</v>
      </c>
      <c r="H26" s="99" t="s">
        <v>797</v>
      </c>
      <c r="I26" s="99" t="s">
        <v>814</v>
      </c>
    </row>
    <row r="27" spans="1:9">
      <c r="A27" s="130" t="s">
        <v>375</v>
      </c>
      <c r="B27" s="97">
        <v>4360</v>
      </c>
      <c r="C27" s="110">
        <v>59452.95</v>
      </c>
      <c r="D27" s="99" t="s">
        <v>733</v>
      </c>
      <c r="E27" s="112" t="s">
        <v>734</v>
      </c>
      <c r="F27" s="99"/>
      <c r="G27" s="105">
        <v>43252</v>
      </c>
      <c r="H27" s="99" t="s">
        <v>797</v>
      </c>
      <c r="I27" s="99" t="s">
        <v>814</v>
      </c>
    </row>
    <row r="28" spans="1:9">
      <c r="A28" s="130" t="s">
        <v>377</v>
      </c>
      <c r="B28" s="97">
        <v>2291</v>
      </c>
      <c r="C28" s="110">
        <v>45922.89</v>
      </c>
      <c r="D28" s="99" t="s">
        <v>733</v>
      </c>
      <c r="E28" s="112" t="s">
        <v>734</v>
      </c>
      <c r="F28" s="99"/>
      <c r="G28" s="105">
        <v>43252</v>
      </c>
      <c r="H28" s="99" t="s">
        <v>797</v>
      </c>
      <c r="I28" s="99" t="s">
        <v>814</v>
      </c>
    </row>
    <row r="29" spans="1:9">
      <c r="A29" s="130" t="s">
        <v>386</v>
      </c>
      <c r="B29" s="97">
        <v>3843</v>
      </c>
      <c r="C29" s="110">
        <v>8057.66</v>
      </c>
      <c r="D29" s="99" t="s">
        <v>733</v>
      </c>
      <c r="E29" s="112"/>
      <c r="F29" s="99"/>
      <c r="G29" s="105">
        <v>43313</v>
      </c>
      <c r="H29" s="99" t="s">
        <v>771</v>
      </c>
      <c r="I29" s="99" t="s">
        <v>813</v>
      </c>
    </row>
    <row r="30" spans="1:9">
      <c r="A30" s="130" t="s">
        <v>390</v>
      </c>
      <c r="B30" s="97">
        <v>5129</v>
      </c>
      <c r="C30" s="110">
        <v>5280.55</v>
      </c>
      <c r="D30" s="99" t="s">
        <v>733</v>
      </c>
      <c r="E30" s="112" t="s">
        <v>734</v>
      </c>
      <c r="F30" s="99" t="s">
        <v>739</v>
      </c>
      <c r="G30" s="105">
        <v>43160</v>
      </c>
      <c r="H30" s="99" t="s">
        <v>736</v>
      </c>
      <c r="I30" s="99" t="s">
        <v>813</v>
      </c>
    </row>
    <row r="31" spans="1:9">
      <c r="A31" s="130" t="s">
        <v>404</v>
      </c>
      <c r="B31" s="97">
        <v>3908</v>
      </c>
      <c r="C31" s="110">
        <v>7494.58</v>
      </c>
      <c r="D31" s="99" t="s">
        <v>733</v>
      </c>
      <c r="E31" s="112" t="s">
        <v>734</v>
      </c>
      <c r="F31" s="99" t="s">
        <v>735</v>
      </c>
      <c r="G31" s="105">
        <v>43160</v>
      </c>
      <c r="H31" s="99" t="s">
        <v>775</v>
      </c>
      <c r="I31" s="99" t="s">
        <v>814</v>
      </c>
    </row>
    <row r="32" spans="1:9">
      <c r="A32" s="130" t="s">
        <v>404</v>
      </c>
      <c r="B32" s="97">
        <v>3907</v>
      </c>
      <c r="C32" s="110">
        <v>7494.58</v>
      </c>
      <c r="D32" s="99" t="s">
        <v>733</v>
      </c>
      <c r="E32" s="112" t="s">
        <v>734</v>
      </c>
      <c r="F32" s="99" t="s">
        <v>735</v>
      </c>
      <c r="G32" s="105">
        <v>43160</v>
      </c>
      <c r="H32" s="99" t="s">
        <v>775</v>
      </c>
      <c r="I32" s="99" t="s">
        <v>814</v>
      </c>
    </row>
    <row r="33" spans="1:9">
      <c r="A33" s="119"/>
      <c r="B33" s="97"/>
      <c r="C33" s="110"/>
      <c r="D33" s="99"/>
      <c r="E33" s="112"/>
      <c r="F33" s="99"/>
      <c r="G33" s="105"/>
      <c r="H33" s="99"/>
      <c r="I33" s="99"/>
    </row>
    <row r="34" spans="1:9">
      <c r="A34" s="98"/>
      <c r="B34" s="97"/>
      <c r="C34" s="110"/>
      <c r="D34" s="99"/>
      <c r="E34" s="112"/>
      <c r="F34" s="99"/>
      <c r="G34" s="105"/>
      <c r="H34" s="99"/>
      <c r="I34" s="99"/>
    </row>
    <row r="35" spans="1:9">
      <c r="A35" s="98"/>
      <c r="B35" s="97"/>
      <c r="C35" s="110"/>
      <c r="D35" s="99"/>
      <c r="E35" s="112"/>
      <c r="F35" s="99"/>
      <c r="G35" s="105"/>
      <c r="H35" s="99"/>
      <c r="I35" s="99"/>
    </row>
    <row r="36" spans="1:9">
      <c r="A36" s="107"/>
      <c r="B36" s="50">
        <f>G36</f>
        <v>29</v>
      </c>
      <c r="C36" s="113">
        <f>SUMIF(G4:G35,"&gt;01/01/2018",C4:C35)</f>
        <v>1123016.55</v>
      </c>
      <c r="D36" s="107"/>
      <c r="E36" s="107"/>
      <c r="F36" s="107"/>
      <c r="G36" s="50">
        <f>COUNT(G4:G35)</f>
        <v>29</v>
      </c>
      <c r="H36" s="107"/>
      <c r="I36" s="107"/>
    </row>
    <row r="37" spans="1:9">
      <c r="A37" s="107"/>
      <c r="B37" s="107"/>
      <c r="C37" s="111"/>
      <c r="D37" s="107"/>
      <c r="E37" s="107"/>
      <c r="F37" s="107"/>
      <c r="G37" s="108"/>
      <c r="H37" s="107"/>
      <c r="I37" s="107"/>
    </row>
    <row r="38" spans="1:9" ht="30">
      <c r="A38" s="103" t="s">
        <v>6</v>
      </c>
      <c r="B38" s="103" t="s">
        <v>624</v>
      </c>
      <c r="C38" s="106" t="s">
        <v>746</v>
      </c>
      <c r="D38" s="103" t="s">
        <v>747</v>
      </c>
      <c r="E38" s="103" t="s">
        <v>643</v>
      </c>
      <c r="F38" s="103" t="s">
        <v>749</v>
      </c>
      <c r="G38" s="104" t="s">
        <v>748</v>
      </c>
      <c r="H38" s="103" t="s">
        <v>725</v>
      </c>
      <c r="I38" s="103" t="s">
        <v>726</v>
      </c>
    </row>
    <row r="39" spans="1:9">
      <c r="A39" s="130" t="s">
        <v>93</v>
      </c>
      <c r="B39" s="97">
        <v>4884</v>
      </c>
      <c r="C39" s="110">
        <v>55285.179999999993</v>
      </c>
      <c r="D39" s="99" t="s">
        <v>728</v>
      </c>
      <c r="E39" s="112"/>
      <c r="F39" s="99"/>
      <c r="G39" s="105">
        <v>43252</v>
      </c>
      <c r="H39" s="99" t="s">
        <v>795</v>
      </c>
      <c r="I39" s="99"/>
    </row>
    <row r="40" spans="1:9">
      <c r="A40" s="130" t="s">
        <v>129</v>
      </c>
      <c r="B40" s="97">
        <v>4139</v>
      </c>
      <c r="C40" s="110">
        <v>29989.439999999999</v>
      </c>
      <c r="D40" s="99" t="s">
        <v>728</v>
      </c>
      <c r="E40" s="112" t="s">
        <v>740</v>
      </c>
      <c r="F40" s="99"/>
      <c r="G40" s="105">
        <v>43191</v>
      </c>
      <c r="H40" s="99" t="s">
        <v>741</v>
      </c>
      <c r="I40" s="99"/>
    </row>
    <row r="41" spans="1:9">
      <c r="A41" s="130" t="s">
        <v>284</v>
      </c>
      <c r="B41" s="97">
        <v>2787</v>
      </c>
      <c r="C41" s="110">
        <v>26730.91</v>
      </c>
      <c r="D41" s="99" t="s">
        <v>728</v>
      </c>
      <c r="E41" s="112"/>
      <c r="F41" s="99"/>
      <c r="G41" s="105">
        <v>43313</v>
      </c>
      <c r="H41" s="99" t="s">
        <v>798</v>
      </c>
      <c r="I41" s="99" t="s">
        <v>799</v>
      </c>
    </row>
    <row r="42" spans="1:9">
      <c r="A42" s="130" t="s">
        <v>401</v>
      </c>
      <c r="B42" s="97">
        <v>3909</v>
      </c>
      <c r="C42" s="110">
        <v>7992.22</v>
      </c>
      <c r="D42" s="99" t="s">
        <v>728</v>
      </c>
      <c r="E42" s="112"/>
      <c r="F42" s="99"/>
      <c r="G42" s="105">
        <v>43160</v>
      </c>
      <c r="H42" s="99" t="s">
        <v>795</v>
      </c>
      <c r="I42" s="99" t="s">
        <v>812</v>
      </c>
    </row>
    <row r="43" spans="1:9">
      <c r="A43" s="130" t="s">
        <v>401</v>
      </c>
      <c r="B43" s="97">
        <v>3942</v>
      </c>
      <c r="C43" s="110">
        <v>6352.54</v>
      </c>
      <c r="D43" s="99" t="s">
        <v>728</v>
      </c>
      <c r="E43" s="112"/>
      <c r="F43" s="99"/>
      <c r="G43" s="105">
        <v>43160</v>
      </c>
      <c r="H43" s="99" t="s">
        <v>795</v>
      </c>
      <c r="I43" s="99" t="s">
        <v>812</v>
      </c>
    </row>
    <row r="44" spans="1:9">
      <c r="A44" s="130" t="s">
        <v>437</v>
      </c>
      <c r="B44" s="97">
        <v>4361</v>
      </c>
      <c r="C44" s="110">
        <v>62270.630000000005</v>
      </c>
      <c r="D44" s="99" t="s">
        <v>728</v>
      </c>
      <c r="E44" s="112"/>
      <c r="F44" s="99"/>
      <c r="G44" s="105">
        <v>43252</v>
      </c>
      <c r="H44" s="99" t="s">
        <v>795</v>
      </c>
      <c r="I44" s="99"/>
    </row>
    <row r="45" spans="1:9">
      <c r="A45" s="131" t="s">
        <v>445</v>
      </c>
      <c r="B45" s="97">
        <v>3911</v>
      </c>
      <c r="C45" s="110">
        <v>4995.87</v>
      </c>
      <c r="D45" s="99" t="s">
        <v>728</v>
      </c>
      <c r="E45" s="112"/>
      <c r="F45" s="99"/>
      <c r="G45" s="105">
        <v>43313</v>
      </c>
      <c r="H45" s="99" t="s">
        <v>795</v>
      </c>
      <c r="I45" s="99" t="s">
        <v>812</v>
      </c>
    </row>
    <row r="46" spans="1:9">
      <c r="A46" s="131" t="s">
        <v>445</v>
      </c>
      <c r="B46" s="97">
        <v>3823</v>
      </c>
      <c r="C46" s="110">
        <v>4526.9399999999996</v>
      </c>
      <c r="D46" s="99" t="s">
        <v>728</v>
      </c>
      <c r="E46" s="112"/>
      <c r="F46" s="99"/>
      <c r="G46" s="105">
        <v>43313</v>
      </c>
      <c r="H46" s="99" t="s">
        <v>795</v>
      </c>
      <c r="I46" s="99" t="s">
        <v>812</v>
      </c>
    </row>
    <row r="47" spans="1:9">
      <c r="A47" s="98"/>
      <c r="B47" s="97"/>
      <c r="C47" s="110"/>
      <c r="D47" s="99"/>
      <c r="E47" s="112"/>
      <c r="F47" s="99"/>
      <c r="G47" s="105"/>
      <c r="H47" s="99"/>
      <c r="I47" s="99"/>
    </row>
    <row r="48" spans="1:9">
      <c r="A48" s="98"/>
      <c r="B48" s="97"/>
      <c r="C48" s="110"/>
      <c r="D48" s="99"/>
      <c r="E48" s="112"/>
      <c r="F48" s="99"/>
      <c r="G48" s="105"/>
      <c r="H48" s="99"/>
      <c r="I48" s="99"/>
    </row>
    <row r="49" spans="1:9">
      <c r="A49" s="98"/>
      <c r="B49" s="97"/>
      <c r="C49" s="110"/>
      <c r="D49" s="99"/>
      <c r="E49" s="112"/>
      <c r="F49" s="99"/>
      <c r="G49" s="105"/>
      <c r="H49" s="99"/>
      <c r="I49" s="99"/>
    </row>
    <row r="50" spans="1:9">
      <c r="A50" s="107"/>
      <c r="B50" s="50">
        <f>G50</f>
        <v>8</v>
      </c>
      <c r="C50" s="113">
        <f>SUMIF(G39:G49,"&gt;01/01/2018",C39:C49)</f>
        <v>198143.72999999998</v>
      </c>
      <c r="D50" s="107"/>
      <c r="E50" s="107"/>
      <c r="F50" s="107"/>
      <c r="G50" s="50">
        <f>COUNT(G39:G49)</f>
        <v>8</v>
      </c>
      <c r="H50" s="107"/>
      <c r="I50" s="107"/>
    </row>
    <row r="52" spans="1:9">
      <c r="B52" s="30">
        <f>SUM(B36,B50)</f>
        <v>37</v>
      </c>
      <c r="C52" s="55">
        <f>SUM(C36,C50)</f>
        <v>1321160.28</v>
      </c>
      <c r="G52" s="30">
        <f>SUM(G36,G50)</f>
        <v>37</v>
      </c>
    </row>
    <row r="55" spans="1:9" ht="30">
      <c r="A55" s="103" t="s">
        <v>6</v>
      </c>
      <c r="B55" s="103" t="s">
        <v>624</v>
      </c>
      <c r="C55" s="106" t="s">
        <v>746</v>
      </c>
      <c r="D55" s="103" t="s">
        <v>747</v>
      </c>
      <c r="E55" s="103" t="s">
        <v>643</v>
      </c>
      <c r="F55" s="103" t="s">
        <v>749</v>
      </c>
      <c r="G55" s="104" t="s">
        <v>748</v>
      </c>
      <c r="H55" s="103" t="s">
        <v>725</v>
      </c>
      <c r="I55" s="103" t="s">
        <v>726</v>
      </c>
    </row>
    <row r="56" spans="1:9">
      <c r="A56" s="98" t="s">
        <v>92</v>
      </c>
      <c r="B56" s="97">
        <v>5286</v>
      </c>
      <c r="C56" s="110">
        <v>3851.91</v>
      </c>
      <c r="D56" s="99" t="s">
        <v>728</v>
      </c>
      <c r="E56" s="112"/>
      <c r="F56" s="99"/>
      <c r="G56" s="105">
        <v>43160</v>
      </c>
      <c r="H56" s="99" t="s">
        <v>795</v>
      </c>
      <c r="I56" s="99" t="s">
        <v>750</v>
      </c>
    </row>
    <row r="57" spans="1:9">
      <c r="A57" s="119" t="s">
        <v>370</v>
      </c>
      <c r="B57" s="97">
        <v>2512</v>
      </c>
      <c r="C57" s="110">
        <v>46060.920000000006</v>
      </c>
      <c r="D57" s="99" t="s">
        <v>733</v>
      </c>
      <c r="E57" s="112"/>
      <c r="F57" s="99"/>
      <c r="G57" s="105">
        <v>43252</v>
      </c>
      <c r="H57" s="99" t="s">
        <v>801</v>
      </c>
      <c r="I57" s="99" t="s">
        <v>772</v>
      </c>
    </row>
    <row r="58" spans="1:9">
      <c r="A58" s="122" t="s">
        <v>211</v>
      </c>
      <c r="B58" s="123">
        <v>2845</v>
      </c>
      <c r="C58" s="124">
        <v>61416.83</v>
      </c>
      <c r="D58" s="125" t="s">
        <v>728</v>
      </c>
      <c r="E58" s="126" t="s">
        <v>737</v>
      </c>
      <c r="F58" s="125"/>
      <c r="G58" s="127">
        <v>43160</v>
      </c>
      <c r="H58" s="125" t="s">
        <v>794</v>
      </c>
      <c r="I58" s="125"/>
    </row>
    <row r="59" spans="1:9">
      <c r="A59" s="122" t="s">
        <v>738</v>
      </c>
      <c r="B59" s="123">
        <v>2678</v>
      </c>
      <c r="C59" s="124">
        <v>84975.42</v>
      </c>
      <c r="D59" s="125" t="s">
        <v>728</v>
      </c>
      <c r="E59" s="126" t="s">
        <v>737</v>
      </c>
      <c r="F59" s="125"/>
      <c r="G59" s="127">
        <v>43160</v>
      </c>
      <c r="H59" s="125" t="s">
        <v>794</v>
      </c>
      <c r="I59" s="125"/>
    </row>
    <row r="60" spans="1:9">
      <c r="A60" s="122" t="s">
        <v>120</v>
      </c>
      <c r="B60" s="123">
        <v>2814</v>
      </c>
      <c r="C60" s="124">
        <v>4106.3599999999997</v>
      </c>
      <c r="D60" s="125" t="s">
        <v>733</v>
      </c>
      <c r="E60" s="126"/>
      <c r="F60" s="125"/>
      <c r="G60" s="127"/>
      <c r="H60" s="125" t="s">
        <v>796</v>
      </c>
      <c r="I60" s="125"/>
    </row>
    <row r="61" spans="1:9">
      <c r="A61" s="122" t="s">
        <v>743</v>
      </c>
      <c r="B61" s="123">
        <v>2297</v>
      </c>
      <c r="C61" s="124" t="s">
        <v>744</v>
      </c>
      <c r="D61" s="125" t="s">
        <v>733</v>
      </c>
      <c r="E61" s="126"/>
      <c r="F61" s="125"/>
      <c r="G61" s="127"/>
      <c r="H61" s="125" t="s">
        <v>794</v>
      </c>
      <c r="I61" s="125"/>
    </row>
    <row r="62" spans="1:9">
      <c r="A62" s="122" t="s">
        <v>363</v>
      </c>
      <c r="B62" s="123">
        <v>2821</v>
      </c>
      <c r="C62" s="124">
        <v>86660.930000000008</v>
      </c>
      <c r="D62" s="125" t="s">
        <v>728</v>
      </c>
      <c r="E62" s="126"/>
      <c r="F62" s="125"/>
      <c r="G62" s="127">
        <v>43252</v>
      </c>
      <c r="H62" s="125" t="s">
        <v>794</v>
      </c>
      <c r="I62" s="125"/>
    </row>
    <row r="63" spans="1:9">
      <c r="A63" s="122" t="s">
        <v>727</v>
      </c>
      <c r="B63" s="123">
        <v>3837</v>
      </c>
      <c r="C63" s="124">
        <v>118918.98</v>
      </c>
      <c r="D63" s="125" t="s">
        <v>728</v>
      </c>
      <c r="E63" s="126" t="s">
        <v>729</v>
      </c>
      <c r="F63" s="125" t="s">
        <v>730</v>
      </c>
      <c r="G63" s="127">
        <v>43101</v>
      </c>
      <c r="H63" s="125" t="s">
        <v>794</v>
      </c>
      <c r="I63" s="125"/>
    </row>
    <row r="64" spans="1:9">
      <c r="A64" s="122" t="s">
        <v>727</v>
      </c>
      <c r="B64" s="123">
        <v>3838</v>
      </c>
      <c r="C64" s="124">
        <v>118918.98</v>
      </c>
      <c r="D64" s="125" t="s">
        <v>728</v>
      </c>
      <c r="E64" s="126" t="s">
        <v>729</v>
      </c>
      <c r="F64" s="125" t="s">
        <v>731</v>
      </c>
      <c r="G64" s="127">
        <v>43101</v>
      </c>
      <c r="H64" s="125" t="s">
        <v>794</v>
      </c>
      <c r="I64" s="125"/>
    </row>
    <row r="65" spans="1:9">
      <c r="A65" s="122" t="s">
        <v>745</v>
      </c>
      <c r="B65" s="123">
        <v>3656</v>
      </c>
      <c r="C65" s="124">
        <v>6801.49</v>
      </c>
      <c r="D65" s="125" t="s">
        <v>733</v>
      </c>
      <c r="E65" s="126"/>
      <c r="F65" s="125"/>
      <c r="G65" s="127">
        <v>43252</v>
      </c>
      <c r="H65" s="125" t="s">
        <v>800</v>
      </c>
      <c r="I65" s="125"/>
    </row>
    <row r="66" spans="1:9">
      <c r="A66" s="122" t="s">
        <v>213</v>
      </c>
      <c r="B66" s="123">
        <v>5096</v>
      </c>
      <c r="C66" s="124">
        <v>5965.67</v>
      </c>
      <c r="D66" s="125" t="s">
        <v>728</v>
      </c>
      <c r="E66" s="126"/>
      <c r="F66" s="125"/>
      <c r="G66" s="127">
        <v>43313</v>
      </c>
      <c r="H66" s="125" t="s">
        <v>815</v>
      </c>
      <c r="I66" s="125"/>
    </row>
    <row r="67" spans="1:9">
      <c r="A67" s="122" t="s">
        <v>79</v>
      </c>
      <c r="B67" s="123">
        <v>2441</v>
      </c>
      <c r="C67" s="124">
        <v>27565.38</v>
      </c>
      <c r="D67" s="125" t="s">
        <v>728</v>
      </c>
      <c r="E67" s="126"/>
      <c r="F67" s="125"/>
      <c r="G67" s="127">
        <v>43252</v>
      </c>
      <c r="H67" s="125" t="s">
        <v>815</v>
      </c>
      <c r="I67" s="125"/>
    </row>
  </sheetData>
  <autoFilter ref="A3:I32" xr:uid="{00000000-0009-0000-0000-00000E000000}"/>
  <sortState xmlns:xlrd2="http://schemas.microsoft.com/office/spreadsheetml/2017/richdata2" ref="A4:I70">
    <sortCondition ref="A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7"/>
  <dimension ref="A1:X68"/>
  <sheetViews>
    <sheetView showGridLines="0" workbookViewId="0">
      <selection activeCell="T49" sqref="T49"/>
    </sheetView>
  </sheetViews>
  <sheetFormatPr defaultColWidth="9.140625" defaultRowHeight="15"/>
  <cols>
    <col min="1" max="1" width="45" style="5" bestFit="1" customWidth="1"/>
    <col min="2" max="2" width="9.42578125" style="7" customWidth="1"/>
    <col min="3" max="3" width="9.140625" style="7"/>
    <col min="4" max="4" width="27.42578125" style="5" customWidth="1"/>
    <col min="5" max="5" width="10.42578125" style="8" customWidth="1"/>
    <col min="6" max="6" width="11.7109375" style="9" customWidth="1"/>
    <col min="7" max="7" width="43.7109375" style="5" bestFit="1" customWidth="1"/>
    <col min="8" max="8" width="10.42578125" style="8" customWidth="1"/>
    <col min="9" max="9" width="11.7109375" style="9" customWidth="1"/>
    <col min="10" max="10" width="11.7109375" style="214" customWidth="1"/>
    <col min="11" max="11" width="11.7109375" style="9" customWidth="1"/>
    <col min="12" max="12" width="10.42578125" style="8" customWidth="1"/>
    <col min="13" max="13" width="11.7109375" style="9" customWidth="1"/>
    <col min="14" max="14" width="10.42578125" style="8" customWidth="1"/>
    <col min="15" max="15" width="11.7109375" style="9" customWidth="1"/>
    <col min="16" max="16" width="10.42578125" style="8" customWidth="1"/>
    <col min="17" max="17" width="11.7109375" style="9" customWidth="1"/>
    <col min="18" max="18" width="10.42578125" style="8" customWidth="1"/>
    <col min="19" max="19" width="11.7109375" style="9" customWidth="1"/>
    <col min="20" max="20" width="10.42578125" style="8" customWidth="1"/>
    <col min="21" max="21" width="11.7109375" style="9" customWidth="1"/>
    <col min="22" max="22" width="10.42578125" style="9" customWidth="1"/>
    <col min="23" max="23" width="11.7109375" style="9" customWidth="1"/>
    <col min="24" max="16384" width="9.140625" style="5"/>
  </cols>
  <sheetData>
    <row r="1" spans="1:24" ht="7.5" customHeight="1" thickBot="1"/>
    <row r="2" spans="1:24" ht="15.75" thickBot="1">
      <c r="A2" s="531" t="s">
        <v>2</v>
      </c>
      <c r="B2" s="532"/>
      <c r="C2" s="532"/>
      <c r="D2" s="532"/>
      <c r="E2" s="532"/>
      <c r="F2" s="532"/>
      <c r="G2" s="533"/>
      <c r="H2" s="5"/>
      <c r="I2" s="5"/>
      <c r="J2" s="8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4">
      <c r="A3" s="120"/>
      <c r="B3" s="120"/>
      <c r="C3" s="120"/>
      <c r="D3" s="120"/>
      <c r="E3" s="120"/>
      <c r="F3" s="120"/>
      <c r="G3" s="120"/>
      <c r="H3" s="5"/>
      <c r="I3" s="5"/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4">
      <c r="H4" s="563" t="s">
        <v>582</v>
      </c>
      <c r="I4" s="564"/>
      <c r="J4" s="563" t="s">
        <v>804</v>
      </c>
      <c r="K4" s="564"/>
      <c r="L4" s="563" t="s">
        <v>805</v>
      </c>
      <c r="M4" s="564"/>
      <c r="N4" s="563" t="s">
        <v>782</v>
      </c>
      <c r="O4" s="564"/>
      <c r="P4" s="563" t="s">
        <v>783</v>
      </c>
      <c r="Q4" s="564"/>
      <c r="R4" s="563" t="s">
        <v>784</v>
      </c>
      <c r="S4" s="564"/>
      <c r="T4" s="563" t="s">
        <v>802</v>
      </c>
      <c r="U4" s="564"/>
      <c r="V4" s="561" t="s">
        <v>785</v>
      </c>
      <c r="W4" s="562"/>
      <c r="X4" s="5" t="s">
        <v>803</v>
      </c>
    </row>
    <row r="5" spans="1:24" ht="45">
      <c r="A5" s="1" t="s">
        <v>3</v>
      </c>
      <c r="B5" s="2" t="s">
        <v>4</v>
      </c>
      <c r="C5" s="2" t="s">
        <v>5</v>
      </c>
      <c r="D5" s="1" t="s">
        <v>6</v>
      </c>
      <c r="E5" s="4" t="s">
        <v>565</v>
      </c>
      <c r="F5" s="4" t="s">
        <v>566</v>
      </c>
      <c r="G5" s="4" t="s">
        <v>567</v>
      </c>
      <c r="H5" s="121" t="s">
        <v>780</v>
      </c>
      <c r="I5" s="121" t="s">
        <v>781</v>
      </c>
      <c r="J5" s="215" t="s">
        <v>780</v>
      </c>
      <c r="K5" s="121" t="s">
        <v>781</v>
      </c>
      <c r="L5" s="121" t="s">
        <v>780</v>
      </c>
      <c r="M5" s="121" t="s">
        <v>781</v>
      </c>
      <c r="N5" s="121" t="s">
        <v>780</v>
      </c>
      <c r="O5" s="121" t="s">
        <v>781</v>
      </c>
      <c r="P5" s="121" t="s">
        <v>780</v>
      </c>
      <c r="Q5" s="121" t="s">
        <v>781</v>
      </c>
      <c r="R5" s="121" t="s">
        <v>780</v>
      </c>
      <c r="S5" s="121" t="s">
        <v>781</v>
      </c>
      <c r="T5" s="121" t="s">
        <v>780</v>
      </c>
      <c r="U5" s="121" t="s">
        <v>781</v>
      </c>
      <c r="V5" s="121" t="s">
        <v>786</v>
      </c>
      <c r="W5" s="121" t="s">
        <v>787</v>
      </c>
    </row>
    <row r="6" spans="1:24">
      <c r="A6" s="11" t="s">
        <v>37</v>
      </c>
      <c r="B6" s="12" t="s">
        <v>503</v>
      </c>
      <c r="C6" s="12">
        <v>21</v>
      </c>
      <c r="D6" s="11" t="s">
        <v>393</v>
      </c>
      <c r="E6" s="62">
        <v>43160</v>
      </c>
      <c r="F6" s="14">
        <v>29409.599999999999</v>
      </c>
      <c r="G6" s="14" t="s">
        <v>568</v>
      </c>
      <c r="H6" s="62"/>
      <c r="I6" s="14"/>
      <c r="J6" s="62"/>
      <c r="K6" s="14"/>
      <c r="L6" s="62"/>
      <c r="M6" s="14"/>
      <c r="N6" s="62"/>
      <c r="O6" s="14"/>
      <c r="P6" s="62"/>
      <c r="Q6" s="14"/>
      <c r="R6" s="62"/>
      <c r="S6" s="14"/>
      <c r="T6" s="62">
        <v>43487</v>
      </c>
      <c r="U6" s="14">
        <v>66.900000000000006</v>
      </c>
      <c r="V6" s="14">
        <f>SUM(K6,M6,O6,Q6,S6,U6)</f>
        <v>66.900000000000006</v>
      </c>
      <c r="W6" s="14">
        <f>SUM(I6,K6,M6,O6,Q6,S6,U6)</f>
        <v>66.900000000000006</v>
      </c>
    </row>
    <row r="7" spans="1:24">
      <c r="A7" s="15" t="s">
        <v>33</v>
      </c>
      <c r="B7" s="16" t="s">
        <v>531</v>
      </c>
      <c r="C7" s="16">
        <v>39</v>
      </c>
      <c r="D7" s="15" t="s">
        <v>473</v>
      </c>
      <c r="E7" s="17">
        <v>43187</v>
      </c>
      <c r="F7" s="18">
        <v>0</v>
      </c>
      <c r="G7" s="18" t="s">
        <v>569</v>
      </c>
      <c r="H7" s="17"/>
      <c r="I7" s="18"/>
      <c r="J7" s="216"/>
      <c r="K7" s="18"/>
      <c r="L7" s="17"/>
      <c r="M7" s="18"/>
      <c r="N7" s="17"/>
      <c r="O7" s="18"/>
      <c r="P7" s="17"/>
      <c r="Q7" s="18"/>
      <c r="R7" s="17"/>
      <c r="S7" s="18"/>
      <c r="T7" s="17"/>
      <c r="U7" s="18"/>
      <c r="V7" s="18">
        <f t="shared" ref="V7:V28" si="0">SUM(O7,Q7,S7,U7)</f>
        <v>0</v>
      </c>
      <c r="W7" s="18">
        <f t="shared" ref="W7:W17" si="1">SUM(I7,O7,Q7,S7,U7)</f>
        <v>0</v>
      </c>
    </row>
    <row r="8" spans="1:24">
      <c r="A8" s="32" t="s">
        <v>36</v>
      </c>
      <c r="B8" s="16" t="s">
        <v>534</v>
      </c>
      <c r="C8" s="16">
        <v>17</v>
      </c>
      <c r="D8" s="34" t="s">
        <v>45</v>
      </c>
      <c r="E8" s="81">
        <v>43245</v>
      </c>
      <c r="F8" s="18">
        <v>0</v>
      </c>
      <c r="G8" s="18" t="s">
        <v>569</v>
      </c>
      <c r="H8" s="81"/>
      <c r="I8" s="18"/>
      <c r="J8" s="216"/>
      <c r="K8" s="18"/>
      <c r="L8" s="81"/>
      <c r="M8" s="18"/>
      <c r="N8" s="81"/>
      <c r="O8" s="18"/>
      <c r="P8" s="81"/>
      <c r="Q8" s="18"/>
      <c r="R8" s="81"/>
      <c r="S8" s="18"/>
      <c r="T8" s="81"/>
      <c r="U8" s="18"/>
      <c r="V8" s="35">
        <f t="shared" si="0"/>
        <v>0</v>
      </c>
      <c r="W8" s="18">
        <f t="shared" si="1"/>
        <v>0</v>
      </c>
    </row>
    <row r="9" spans="1:24">
      <c r="A9" s="15" t="s">
        <v>36</v>
      </c>
      <c r="B9" s="16" t="s">
        <v>521</v>
      </c>
      <c r="C9" s="16">
        <v>22</v>
      </c>
      <c r="D9" s="17" t="s">
        <v>451</v>
      </c>
      <c r="E9" s="17">
        <v>43203</v>
      </c>
      <c r="F9" s="18">
        <v>25000</v>
      </c>
      <c r="G9" s="18" t="s">
        <v>633</v>
      </c>
      <c r="H9" s="17"/>
      <c r="I9" s="18"/>
      <c r="J9" s="216"/>
      <c r="K9" s="18"/>
      <c r="L9" s="17"/>
      <c r="M9" s="18"/>
      <c r="N9" s="17"/>
      <c r="O9" s="18"/>
      <c r="P9" s="17"/>
      <c r="Q9" s="18"/>
      <c r="R9" s="17"/>
      <c r="S9" s="18"/>
      <c r="T9" s="17"/>
      <c r="U9" s="18"/>
      <c r="V9" s="18">
        <f t="shared" si="0"/>
        <v>0</v>
      </c>
      <c r="W9" s="18">
        <f t="shared" si="1"/>
        <v>0</v>
      </c>
    </row>
    <row r="10" spans="1:24">
      <c r="A10" s="15" t="s">
        <v>33</v>
      </c>
      <c r="B10" s="16" t="s">
        <v>530</v>
      </c>
      <c r="C10" s="16">
        <v>12</v>
      </c>
      <c r="D10" s="17" t="s">
        <v>133</v>
      </c>
      <c r="E10" s="17">
        <v>43210</v>
      </c>
      <c r="F10" s="18">
        <v>7000</v>
      </c>
      <c r="G10" s="18" t="s">
        <v>633</v>
      </c>
      <c r="H10" s="17"/>
      <c r="I10" s="18"/>
      <c r="J10" s="216"/>
      <c r="K10" s="18"/>
      <c r="L10" s="17"/>
      <c r="M10" s="18"/>
      <c r="N10" s="17"/>
      <c r="O10" s="18"/>
      <c r="P10" s="17"/>
      <c r="Q10" s="18"/>
      <c r="R10" s="17"/>
      <c r="S10" s="18"/>
      <c r="T10" s="17"/>
      <c r="U10" s="18"/>
      <c r="V10" s="18">
        <f t="shared" si="0"/>
        <v>0</v>
      </c>
      <c r="W10" s="18">
        <f t="shared" si="1"/>
        <v>0</v>
      </c>
    </row>
    <row r="11" spans="1:24">
      <c r="A11" s="15" t="s">
        <v>33</v>
      </c>
      <c r="B11" s="16" t="s">
        <v>526</v>
      </c>
      <c r="C11" s="16">
        <v>1</v>
      </c>
      <c r="D11" s="17" t="s">
        <v>207</v>
      </c>
      <c r="E11" s="17">
        <v>43245</v>
      </c>
      <c r="F11" s="18">
        <v>79442.77</v>
      </c>
      <c r="G11" s="18" t="s">
        <v>634</v>
      </c>
      <c r="H11" s="17"/>
      <c r="I11" s="18"/>
      <c r="J11" s="216"/>
      <c r="K11" s="18"/>
      <c r="L11" s="17"/>
      <c r="M11" s="18"/>
      <c r="N11" s="17"/>
      <c r="O11" s="18"/>
      <c r="P11" s="17"/>
      <c r="Q11" s="18"/>
      <c r="R11" s="17"/>
      <c r="S11" s="18"/>
      <c r="T11" s="17"/>
      <c r="U11" s="18"/>
      <c r="V11" s="18">
        <f t="shared" si="0"/>
        <v>0</v>
      </c>
      <c r="W11" s="18">
        <f t="shared" si="1"/>
        <v>0</v>
      </c>
    </row>
    <row r="12" spans="1:24">
      <c r="A12" s="82" t="s">
        <v>34</v>
      </c>
      <c r="B12" s="83" t="s">
        <v>507</v>
      </c>
      <c r="C12" s="83">
        <v>19</v>
      </c>
      <c r="D12" s="84" t="s">
        <v>469</v>
      </c>
      <c r="E12" s="84">
        <v>43227</v>
      </c>
      <c r="F12" s="85">
        <v>66386.880000000005</v>
      </c>
      <c r="G12" s="18" t="s">
        <v>635</v>
      </c>
      <c r="H12" s="84"/>
      <c r="I12" s="85"/>
      <c r="J12" s="217"/>
      <c r="K12" s="85"/>
      <c r="L12" s="84"/>
      <c r="M12" s="85"/>
      <c r="N12" s="84"/>
      <c r="O12" s="85"/>
      <c r="P12" s="84"/>
      <c r="Q12" s="85"/>
      <c r="R12" s="84"/>
      <c r="S12" s="85"/>
      <c r="T12" s="84"/>
      <c r="U12" s="85"/>
      <c r="V12" s="85">
        <f t="shared" si="0"/>
        <v>0</v>
      </c>
      <c r="W12" s="85">
        <f t="shared" si="1"/>
        <v>0</v>
      </c>
    </row>
    <row r="13" spans="1:24">
      <c r="A13" s="82" t="s">
        <v>36</v>
      </c>
      <c r="B13" s="83" t="s">
        <v>521</v>
      </c>
      <c r="C13" s="83">
        <v>7</v>
      </c>
      <c r="D13" s="84" t="s">
        <v>469</v>
      </c>
      <c r="E13" s="84">
        <v>43227</v>
      </c>
      <c r="F13" s="85">
        <v>35574.22</v>
      </c>
      <c r="G13" s="18" t="s">
        <v>635</v>
      </c>
      <c r="H13" s="84"/>
      <c r="I13" s="85"/>
      <c r="J13" s="217"/>
      <c r="K13" s="85"/>
      <c r="L13" s="84"/>
      <c r="M13" s="85"/>
      <c r="N13" s="84"/>
      <c r="O13" s="85"/>
      <c r="P13" s="84"/>
      <c r="Q13" s="85"/>
      <c r="R13" s="84"/>
      <c r="S13" s="85"/>
      <c r="T13" s="84"/>
      <c r="U13" s="85"/>
      <c r="V13" s="85">
        <f t="shared" si="0"/>
        <v>0</v>
      </c>
      <c r="W13" s="85">
        <f t="shared" si="1"/>
        <v>0</v>
      </c>
    </row>
    <row r="14" spans="1:24">
      <c r="A14" s="32" t="s">
        <v>34</v>
      </c>
      <c r="B14" s="33" t="s">
        <v>507</v>
      </c>
      <c r="C14" s="36">
        <v>20</v>
      </c>
      <c r="D14" s="34" t="s">
        <v>301</v>
      </c>
      <c r="E14" s="84">
        <v>43266</v>
      </c>
      <c r="F14" s="35">
        <v>5000</v>
      </c>
      <c r="G14" s="18" t="s">
        <v>633</v>
      </c>
      <c r="H14" s="84"/>
      <c r="I14" s="35"/>
      <c r="J14" s="218"/>
      <c r="K14" s="92"/>
      <c r="L14" s="84"/>
      <c r="M14" s="35"/>
      <c r="N14" s="84"/>
      <c r="O14" s="35"/>
      <c r="P14" s="84"/>
      <c r="Q14" s="35"/>
      <c r="R14" s="84"/>
      <c r="S14" s="35"/>
      <c r="T14" s="84"/>
      <c r="U14" s="35"/>
      <c r="V14" s="85">
        <f t="shared" si="0"/>
        <v>0</v>
      </c>
      <c r="W14" s="35">
        <f t="shared" si="1"/>
        <v>0</v>
      </c>
    </row>
    <row r="15" spans="1:24">
      <c r="A15" s="32" t="s">
        <v>35</v>
      </c>
      <c r="B15" s="33" t="s">
        <v>518</v>
      </c>
      <c r="C15" s="36">
        <v>14</v>
      </c>
      <c r="D15" s="34" t="s">
        <v>372</v>
      </c>
      <c r="E15" s="84">
        <v>43266</v>
      </c>
      <c r="F15" s="35">
        <v>2500</v>
      </c>
      <c r="G15" s="18" t="s">
        <v>633</v>
      </c>
      <c r="H15" s="84"/>
      <c r="I15" s="35"/>
      <c r="J15" s="218"/>
      <c r="K15" s="92"/>
      <c r="L15" s="84"/>
      <c r="M15" s="35"/>
      <c r="N15" s="84"/>
      <c r="O15" s="35"/>
      <c r="P15" s="84"/>
      <c r="Q15" s="35"/>
      <c r="R15" s="84"/>
      <c r="S15" s="35"/>
      <c r="T15" s="84"/>
      <c r="U15" s="35"/>
      <c r="V15" s="85">
        <f t="shared" si="0"/>
        <v>0</v>
      </c>
      <c r="W15" s="35">
        <f t="shared" si="1"/>
        <v>0</v>
      </c>
    </row>
    <row r="16" spans="1:24">
      <c r="A16" s="87" t="s">
        <v>38</v>
      </c>
      <c r="B16" s="88" t="s">
        <v>533</v>
      </c>
      <c r="C16" s="89">
        <v>28</v>
      </c>
      <c r="D16" s="90" t="s">
        <v>471</v>
      </c>
      <c r="E16" s="84">
        <v>43262</v>
      </c>
      <c r="F16" s="92">
        <v>3500</v>
      </c>
      <c r="G16" s="18" t="s">
        <v>633</v>
      </c>
      <c r="H16" s="84"/>
      <c r="I16" s="92"/>
      <c r="J16" s="218"/>
      <c r="K16" s="92"/>
      <c r="L16" s="84"/>
      <c r="M16" s="92"/>
      <c r="N16" s="84"/>
      <c r="O16" s="92"/>
      <c r="P16" s="84"/>
      <c r="Q16" s="92"/>
      <c r="R16" s="84"/>
      <c r="S16" s="92"/>
      <c r="T16" s="84"/>
      <c r="U16" s="92"/>
      <c r="V16" s="85">
        <f t="shared" si="0"/>
        <v>0</v>
      </c>
      <c r="W16" s="92">
        <f t="shared" si="1"/>
        <v>0</v>
      </c>
    </row>
    <row r="17" spans="1:23">
      <c r="A17" s="87" t="s">
        <v>33</v>
      </c>
      <c r="B17" s="88" t="s">
        <v>528</v>
      </c>
      <c r="C17" s="89">
        <v>25</v>
      </c>
      <c r="D17" s="90" t="s">
        <v>200</v>
      </c>
      <c r="E17" s="84">
        <v>43270</v>
      </c>
      <c r="F17" s="92">
        <v>0</v>
      </c>
      <c r="G17" s="18" t="s">
        <v>569</v>
      </c>
      <c r="H17" s="84"/>
      <c r="I17" s="92"/>
      <c r="J17" s="218"/>
      <c r="K17" s="92"/>
      <c r="L17" s="84"/>
      <c r="M17" s="92"/>
      <c r="N17" s="84"/>
      <c r="O17" s="92"/>
      <c r="P17" s="84"/>
      <c r="Q17" s="92"/>
      <c r="R17" s="84"/>
      <c r="S17" s="92"/>
      <c r="T17" s="84"/>
      <c r="U17" s="92"/>
      <c r="V17" s="85">
        <f t="shared" si="0"/>
        <v>0</v>
      </c>
      <c r="W17" s="92">
        <f t="shared" si="1"/>
        <v>0</v>
      </c>
    </row>
    <row r="18" spans="1:23">
      <c r="A18" s="32" t="s">
        <v>33</v>
      </c>
      <c r="B18" s="33" t="s">
        <v>529</v>
      </c>
      <c r="C18" s="36">
        <v>19</v>
      </c>
      <c r="D18" s="34" t="s">
        <v>175</v>
      </c>
      <c r="E18" s="84">
        <v>43266</v>
      </c>
      <c r="F18" s="92">
        <v>14000</v>
      </c>
      <c r="G18" s="18" t="s">
        <v>633</v>
      </c>
      <c r="H18" s="84"/>
      <c r="I18" s="92"/>
      <c r="J18" s="218"/>
      <c r="K18" s="92"/>
      <c r="L18" s="84"/>
      <c r="M18" s="92"/>
      <c r="N18" s="84"/>
      <c r="O18" s="92"/>
      <c r="P18" s="84"/>
      <c r="Q18" s="92"/>
      <c r="R18" s="84"/>
      <c r="S18" s="92"/>
      <c r="T18" s="84">
        <v>43487</v>
      </c>
      <c r="U18" s="92">
        <v>108.89</v>
      </c>
      <c r="V18" s="85">
        <f t="shared" si="0"/>
        <v>108.89</v>
      </c>
      <c r="W18" s="92">
        <f t="shared" ref="W18:W55" si="2">SUM(I18,K18,M18,O18,Q18,S18,U18)</f>
        <v>108.89</v>
      </c>
    </row>
    <row r="19" spans="1:23">
      <c r="A19" s="87" t="s">
        <v>33</v>
      </c>
      <c r="B19" s="88" t="s">
        <v>530</v>
      </c>
      <c r="C19" s="89">
        <v>14</v>
      </c>
      <c r="D19" s="90" t="s">
        <v>328</v>
      </c>
      <c r="E19" s="84">
        <v>43266</v>
      </c>
      <c r="F19" s="92">
        <v>2500</v>
      </c>
      <c r="G19" s="18" t="s">
        <v>633</v>
      </c>
      <c r="H19" s="84"/>
      <c r="I19" s="92"/>
      <c r="J19" s="218"/>
      <c r="K19" s="92"/>
      <c r="L19" s="84"/>
      <c r="M19" s="92"/>
      <c r="N19" s="84"/>
      <c r="O19" s="92"/>
      <c r="P19" s="84"/>
      <c r="Q19" s="92"/>
      <c r="R19" s="84"/>
      <c r="S19" s="92"/>
      <c r="T19" s="84"/>
      <c r="U19" s="92"/>
      <c r="V19" s="85">
        <f t="shared" si="0"/>
        <v>0</v>
      </c>
      <c r="W19" s="92">
        <f t="shared" si="2"/>
        <v>0</v>
      </c>
    </row>
    <row r="20" spans="1:23">
      <c r="A20" s="32" t="s">
        <v>33</v>
      </c>
      <c r="B20" s="33" t="s">
        <v>531</v>
      </c>
      <c r="C20" s="36">
        <v>2</v>
      </c>
      <c r="D20" s="34" t="s">
        <v>97</v>
      </c>
      <c r="E20" s="84">
        <v>43264</v>
      </c>
      <c r="F20" s="92">
        <v>0</v>
      </c>
      <c r="G20" s="85" t="s">
        <v>569</v>
      </c>
      <c r="H20" s="84"/>
      <c r="I20" s="92"/>
      <c r="J20" s="218"/>
      <c r="K20" s="92"/>
      <c r="L20" s="84"/>
      <c r="M20" s="92"/>
      <c r="N20" s="84"/>
      <c r="O20" s="92"/>
      <c r="P20" s="84"/>
      <c r="Q20" s="92"/>
      <c r="R20" s="84"/>
      <c r="S20" s="92"/>
      <c r="T20" s="84"/>
      <c r="U20" s="92"/>
      <c r="V20" s="85">
        <f t="shared" si="0"/>
        <v>0</v>
      </c>
      <c r="W20" s="92">
        <f t="shared" si="2"/>
        <v>0</v>
      </c>
    </row>
    <row r="21" spans="1:23">
      <c r="A21" s="87" t="s">
        <v>33</v>
      </c>
      <c r="B21" s="88" t="s">
        <v>531</v>
      </c>
      <c r="C21" s="89">
        <v>5</v>
      </c>
      <c r="D21" s="90" t="s">
        <v>132</v>
      </c>
      <c r="E21" s="84">
        <v>43266</v>
      </c>
      <c r="F21" s="92">
        <v>4624</v>
      </c>
      <c r="G21" s="18" t="s">
        <v>633</v>
      </c>
      <c r="H21" s="84"/>
      <c r="I21" s="92"/>
      <c r="J21" s="218"/>
      <c r="K21" s="92"/>
      <c r="L21" s="84"/>
      <c r="M21" s="92"/>
      <c r="N21" s="84"/>
      <c r="O21" s="92"/>
      <c r="P21" s="84"/>
      <c r="Q21" s="92"/>
      <c r="R21" s="84"/>
      <c r="S21" s="92"/>
      <c r="T21" s="84"/>
      <c r="U21" s="92"/>
      <c r="V21" s="85">
        <f t="shared" si="0"/>
        <v>0</v>
      </c>
      <c r="W21" s="92">
        <f t="shared" si="2"/>
        <v>0</v>
      </c>
    </row>
    <row r="22" spans="1:23">
      <c r="A22" s="32" t="s">
        <v>33</v>
      </c>
      <c r="B22" s="33" t="s">
        <v>527</v>
      </c>
      <c r="C22" s="36">
        <v>19</v>
      </c>
      <c r="D22" s="34" t="s">
        <v>142</v>
      </c>
      <c r="E22" s="84">
        <v>43266</v>
      </c>
      <c r="F22" s="92">
        <v>2500</v>
      </c>
      <c r="G22" s="18" t="s">
        <v>633</v>
      </c>
      <c r="H22" s="84"/>
      <c r="I22" s="92"/>
      <c r="J22" s="218">
        <v>43496</v>
      </c>
      <c r="K22" s="92">
        <v>3797.05</v>
      </c>
      <c r="L22" s="84"/>
      <c r="M22" s="92"/>
      <c r="N22" s="84"/>
      <c r="O22" s="92"/>
      <c r="P22" s="84">
        <v>43518</v>
      </c>
      <c r="Q22" s="92">
        <f>1583+1</f>
        <v>1584</v>
      </c>
      <c r="R22" s="84"/>
      <c r="S22" s="92"/>
      <c r="T22" s="84"/>
      <c r="U22" s="92"/>
      <c r="V22" s="85">
        <f t="shared" si="0"/>
        <v>1584</v>
      </c>
      <c r="W22" s="92">
        <f t="shared" si="2"/>
        <v>5381.05</v>
      </c>
    </row>
    <row r="23" spans="1:23">
      <c r="A23" s="87" t="s">
        <v>33</v>
      </c>
      <c r="B23" s="88" t="s">
        <v>526</v>
      </c>
      <c r="C23" s="89">
        <v>5</v>
      </c>
      <c r="D23" s="90" t="s">
        <v>64</v>
      </c>
      <c r="E23" s="84">
        <v>43272</v>
      </c>
      <c r="F23" s="92">
        <v>33704.01</v>
      </c>
      <c r="G23" s="18" t="s">
        <v>633</v>
      </c>
      <c r="H23" s="84"/>
      <c r="I23" s="92"/>
      <c r="J23" s="218"/>
      <c r="K23" s="92"/>
      <c r="L23" s="84"/>
      <c r="M23" s="92"/>
      <c r="N23" s="84"/>
      <c r="O23" s="92"/>
      <c r="P23" s="84"/>
      <c r="Q23" s="92"/>
      <c r="R23" s="84"/>
      <c r="S23" s="92"/>
      <c r="T23" s="84"/>
      <c r="U23" s="92"/>
      <c r="V23" s="85">
        <f t="shared" si="0"/>
        <v>0</v>
      </c>
      <c r="W23" s="92">
        <f t="shared" si="2"/>
        <v>0</v>
      </c>
    </row>
    <row r="24" spans="1:23">
      <c r="A24" s="87" t="s">
        <v>36</v>
      </c>
      <c r="B24" s="88" t="s">
        <v>522</v>
      </c>
      <c r="C24" s="89">
        <v>24</v>
      </c>
      <c r="D24" s="90" t="s">
        <v>397</v>
      </c>
      <c r="E24" s="84">
        <v>43266</v>
      </c>
      <c r="F24" s="92">
        <v>7000</v>
      </c>
      <c r="G24" s="18" t="s">
        <v>633</v>
      </c>
      <c r="H24" s="84"/>
      <c r="I24" s="92"/>
      <c r="J24" s="218"/>
      <c r="K24" s="92"/>
      <c r="L24" s="84"/>
      <c r="M24" s="92"/>
      <c r="N24" s="84"/>
      <c r="O24" s="92"/>
      <c r="P24" s="84"/>
      <c r="Q24" s="92"/>
      <c r="R24" s="84"/>
      <c r="S24" s="92"/>
      <c r="T24" s="84"/>
      <c r="U24" s="92"/>
      <c r="V24" s="85">
        <f t="shared" si="0"/>
        <v>0</v>
      </c>
      <c r="W24" s="92">
        <f t="shared" si="2"/>
        <v>0</v>
      </c>
    </row>
    <row r="25" spans="1:23">
      <c r="A25" s="87" t="s">
        <v>34</v>
      </c>
      <c r="B25" s="88" t="s">
        <v>538</v>
      </c>
      <c r="C25" s="89">
        <v>25</v>
      </c>
      <c r="D25" s="90" t="s">
        <v>217</v>
      </c>
      <c r="E25" s="84">
        <v>43282</v>
      </c>
      <c r="F25" s="92">
        <v>21681.52</v>
      </c>
      <c r="G25" s="18" t="s">
        <v>757</v>
      </c>
      <c r="H25" s="84"/>
      <c r="I25" s="92"/>
      <c r="J25" s="218"/>
      <c r="K25" s="92"/>
      <c r="L25" s="84"/>
      <c r="M25" s="92"/>
      <c r="N25" s="84"/>
      <c r="O25" s="92"/>
      <c r="P25" s="84"/>
      <c r="Q25" s="92"/>
      <c r="R25" s="84"/>
      <c r="S25" s="92"/>
      <c r="T25" s="84"/>
      <c r="U25" s="92"/>
      <c r="V25" s="85">
        <f t="shared" si="0"/>
        <v>0</v>
      </c>
      <c r="W25" s="92">
        <f t="shared" si="2"/>
        <v>0</v>
      </c>
    </row>
    <row r="26" spans="1:23">
      <c r="A26" s="87" t="s">
        <v>34</v>
      </c>
      <c r="B26" s="88" t="s">
        <v>508</v>
      </c>
      <c r="C26" s="89">
        <v>6</v>
      </c>
      <c r="D26" s="90" t="s">
        <v>120</v>
      </c>
      <c r="E26" s="84">
        <v>43299</v>
      </c>
      <c r="F26" s="92">
        <v>10000</v>
      </c>
      <c r="G26" s="18" t="s">
        <v>758</v>
      </c>
      <c r="H26" s="84"/>
      <c r="I26" s="92"/>
      <c r="J26" s="218">
        <v>43522</v>
      </c>
      <c r="K26" s="92">
        <v>2639.68</v>
      </c>
      <c r="L26" s="84">
        <v>43559</v>
      </c>
      <c r="M26" s="92">
        <v>3498.21</v>
      </c>
      <c r="N26" s="84"/>
      <c r="O26" s="92"/>
      <c r="P26" s="84"/>
      <c r="Q26" s="92"/>
      <c r="R26" s="84"/>
      <c r="S26" s="92"/>
      <c r="T26" s="84"/>
      <c r="U26" s="92"/>
      <c r="V26" s="85">
        <f t="shared" si="0"/>
        <v>0</v>
      </c>
      <c r="W26" s="92">
        <f t="shared" si="2"/>
        <v>6137.8899999999994</v>
      </c>
    </row>
    <row r="27" spans="1:23">
      <c r="A27" s="87" t="s">
        <v>35</v>
      </c>
      <c r="B27" s="88" t="s">
        <v>517</v>
      </c>
      <c r="C27" s="89">
        <v>47</v>
      </c>
      <c r="D27" s="90" t="s">
        <v>334</v>
      </c>
      <c r="E27" s="84">
        <v>43282</v>
      </c>
      <c r="F27" s="92">
        <v>79707.42</v>
      </c>
      <c r="G27" s="18" t="s">
        <v>759</v>
      </c>
      <c r="H27" s="84"/>
      <c r="I27" s="92"/>
      <c r="J27" s="218"/>
      <c r="K27" s="92"/>
      <c r="L27" s="84"/>
      <c r="M27" s="92"/>
      <c r="N27" s="84"/>
      <c r="O27" s="92"/>
      <c r="P27" s="84"/>
      <c r="Q27" s="92"/>
      <c r="R27" s="84"/>
      <c r="S27" s="92"/>
      <c r="T27" s="84"/>
      <c r="U27" s="92"/>
      <c r="V27" s="85">
        <f t="shared" si="0"/>
        <v>0</v>
      </c>
      <c r="W27" s="92">
        <f t="shared" si="2"/>
        <v>0</v>
      </c>
    </row>
    <row r="28" spans="1:23">
      <c r="A28" s="87" t="s">
        <v>35</v>
      </c>
      <c r="B28" s="88" t="s">
        <v>513</v>
      </c>
      <c r="C28" s="89">
        <v>44</v>
      </c>
      <c r="D28" s="90" t="s">
        <v>314</v>
      </c>
      <c r="E28" s="84">
        <v>43282</v>
      </c>
      <c r="F28" s="92">
        <v>60556.37</v>
      </c>
      <c r="G28" s="18" t="s">
        <v>760</v>
      </c>
      <c r="H28" s="84"/>
      <c r="I28" s="92"/>
      <c r="J28" s="218"/>
      <c r="K28" s="92"/>
      <c r="L28" s="84"/>
      <c r="M28" s="92"/>
      <c r="N28" s="84"/>
      <c r="O28" s="92"/>
      <c r="P28" s="84"/>
      <c r="Q28" s="92"/>
      <c r="R28" s="84"/>
      <c r="S28" s="92"/>
      <c r="T28" s="84"/>
      <c r="U28" s="92"/>
      <c r="V28" s="85">
        <f t="shared" si="0"/>
        <v>0</v>
      </c>
      <c r="W28" s="92">
        <f t="shared" si="2"/>
        <v>0</v>
      </c>
    </row>
    <row r="29" spans="1:23">
      <c r="A29" s="87" t="s">
        <v>35</v>
      </c>
      <c r="B29" s="88" t="s">
        <v>520</v>
      </c>
      <c r="C29" s="89">
        <v>11</v>
      </c>
      <c r="D29" s="90" t="s">
        <v>282</v>
      </c>
      <c r="E29" s="84">
        <v>41828</v>
      </c>
      <c r="F29" s="92">
        <v>101274.21</v>
      </c>
      <c r="G29" s="85"/>
      <c r="H29" s="84"/>
      <c r="I29" s="92"/>
      <c r="J29" s="218">
        <v>43488</v>
      </c>
      <c r="K29" s="92">
        <v>5124.3900000000003</v>
      </c>
      <c r="L29" s="84"/>
      <c r="M29" s="92"/>
      <c r="N29" s="84"/>
      <c r="O29" s="92"/>
      <c r="P29" s="84"/>
      <c r="Q29" s="92"/>
      <c r="R29" s="84"/>
      <c r="S29" s="92"/>
      <c r="T29" s="84"/>
      <c r="U29" s="92"/>
      <c r="V29" s="85">
        <f t="shared" ref="V29:V55" si="3">SUM(O29,Q29,S29,U29)</f>
        <v>0</v>
      </c>
      <c r="W29" s="92">
        <f t="shared" si="2"/>
        <v>5124.3900000000003</v>
      </c>
    </row>
    <row r="30" spans="1:23">
      <c r="A30" s="87" t="s">
        <v>36</v>
      </c>
      <c r="B30" s="88" t="s">
        <v>522</v>
      </c>
      <c r="C30" s="89">
        <v>11</v>
      </c>
      <c r="D30" s="90" t="s">
        <v>282</v>
      </c>
      <c r="E30" s="84">
        <v>41828</v>
      </c>
      <c r="F30" s="92">
        <v>89434.7</v>
      </c>
      <c r="G30" s="85"/>
      <c r="H30" s="84"/>
      <c r="I30" s="92"/>
      <c r="J30" s="218"/>
      <c r="K30" s="92"/>
      <c r="L30" s="84"/>
      <c r="M30" s="92"/>
      <c r="N30" s="84"/>
      <c r="O30" s="92"/>
      <c r="P30" s="84"/>
      <c r="Q30" s="92"/>
      <c r="R30" s="84"/>
      <c r="S30" s="92"/>
      <c r="T30" s="84"/>
      <c r="U30" s="92"/>
      <c r="V30" s="85">
        <f t="shared" si="3"/>
        <v>0</v>
      </c>
      <c r="W30" s="92">
        <f t="shared" si="2"/>
        <v>0</v>
      </c>
    </row>
    <row r="31" spans="1:23">
      <c r="A31" s="87" t="s">
        <v>35</v>
      </c>
      <c r="B31" s="88" t="s">
        <v>517</v>
      </c>
      <c r="C31" s="89">
        <v>39</v>
      </c>
      <c r="D31" s="90" t="s">
        <v>464</v>
      </c>
      <c r="E31" s="84">
        <v>41467</v>
      </c>
      <c r="F31" s="92">
        <v>96723.839999999997</v>
      </c>
      <c r="G31" s="85"/>
      <c r="H31" s="84"/>
      <c r="I31" s="92"/>
      <c r="J31" s="218">
        <v>43488</v>
      </c>
      <c r="K31" s="92">
        <v>9601.77</v>
      </c>
      <c r="L31" s="84"/>
      <c r="M31" s="92"/>
      <c r="N31" s="84"/>
      <c r="O31" s="92"/>
      <c r="P31" s="84"/>
      <c r="Q31" s="92"/>
      <c r="R31" s="84"/>
      <c r="S31" s="92"/>
      <c r="T31" s="84"/>
      <c r="U31" s="92"/>
      <c r="V31" s="85">
        <f t="shared" si="3"/>
        <v>0</v>
      </c>
      <c r="W31" s="92">
        <f t="shared" si="2"/>
        <v>9601.77</v>
      </c>
    </row>
    <row r="32" spans="1:23">
      <c r="A32" s="87" t="s">
        <v>34</v>
      </c>
      <c r="B32" s="88" t="s">
        <v>506</v>
      </c>
      <c r="C32" s="89">
        <v>22</v>
      </c>
      <c r="D32" s="90" t="s">
        <v>462</v>
      </c>
      <c r="E32" s="84">
        <v>41449</v>
      </c>
      <c r="F32" s="92">
        <v>97812.55</v>
      </c>
      <c r="G32" s="85"/>
      <c r="H32" s="84"/>
      <c r="I32" s="92"/>
      <c r="J32" s="218"/>
      <c r="K32" s="92"/>
      <c r="L32" s="84"/>
      <c r="M32" s="92"/>
      <c r="N32" s="84"/>
      <c r="O32" s="92"/>
      <c r="P32" s="84"/>
      <c r="Q32" s="92"/>
      <c r="R32" s="84"/>
      <c r="S32" s="92"/>
      <c r="T32" s="84"/>
      <c r="U32" s="92"/>
      <c r="V32" s="85">
        <f t="shared" si="3"/>
        <v>0</v>
      </c>
      <c r="W32" s="92">
        <f t="shared" si="2"/>
        <v>0</v>
      </c>
    </row>
    <row r="33" spans="1:23">
      <c r="A33" s="87" t="s">
        <v>35</v>
      </c>
      <c r="B33" s="88" t="s">
        <v>519</v>
      </c>
      <c r="C33" s="89">
        <v>12</v>
      </c>
      <c r="D33" s="90" t="s">
        <v>435</v>
      </c>
      <c r="E33" s="84">
        <v>41442</v>
      </c>
      <c r="F33" s="92">
        <v>91918.28</v>
      </c>
      <c r="G33" s="85"/>
      <c r="H33" s="84" t="s">
        <v>970</v>
      </c>
      <c r="I33" s="92">
        <f>2000+2000+2000+2000</f>
        <v>8000</v>
      </c>
      <c r="J33" s="218"/>
      <c r="K33" s="92"/>
      <c r="L33" s="84"/>
      <c r="M33" s="92"/>
      <c r="N33" s="84"/>
      <c r="O33" s="92"/>
      <c r="P33" s="84"/>
      <c r="Q33" s="92"/>
      <c r="R33" s="84"/>
      <c r="S33" s="92"/>
      <c r="T33" s="84"/>
      <c r="U33" s="92"/>
      <c r="V33" s="85">
        <f t="shared" si="3"/>
        <v>0</v>
      </c>
      <c r="W33" s="92">
        <f t="shared" si="2"/>
        <v>8000</v>
      </c>
    </row>
    <row r="34" spans="1:23">
      <c r="A34" s="87" t="s">
        <v>33</v>
      </c>
      <c r="B34" s="88" t="s">
        <v>524</v>
      </c>
      <c r="C34" s="89">
        <v>10</v>
      </c>
      <c r="D34" s="90" t="s">
        <v>213</v>
      </c>
      <c r="E34" s="84">
        <v>42403</v>
      </c>
      <c r="F34" s="92">
        <v>118710</v>
      </c>
      <c r="G34" s="85"/>
      <c r="H34" s="84" t="s">
        <v>968</v>
      </c>
      <c r="I34" s="92">
        <f>4000+4000</f>
        <v>8000</v>
      </c>
      <c r="J34" s="218"/>
      <c r="K34" s="92"/>
      <c r="L34" s="84"/>
      <c r="M34" s="92"/>
      <c r="N34" s="84"/>
      <c r="O34" s="92"/>
      <c r="P34" s="84"/>
      <c r="Q34" s="92"/>
      <c r="R34" s="84"/>
      <c r="S34" s="92"/>
      <c r="T34" s="84"/>
      <c r="U34" s="92"/>
      <c r="V34" s="85">
        <f t="shared" si="3"/>
        <v>0</v>
      </c>
      <c r="W34" s="92">
        <f t="shared" si="2"/>
        <v>8000</v>
      </c>
    </row>
    <row r="35" spans="1:23">
      <c r="A35" s="87" t="s">
        <v>35</v>
      </c>
      <c r="B35" s="88" t="s">
        <v>514</v>
      </c>
      <c r="C35" s="89">
        <v>9</v>
      </c>
      <c r="D35" s="90" t="s">
        <v>462</v>
      </c>
      <c r="E35" s="84">
        <v>41448</v>
      </c>
      <c r="F35" s="92">
        <v>95110.94</v>
      </c>
      <c r="G35" s="85"/>
      <c r="H35" s="84"/>
      <c r="I35" s="92"/>
      <c r="J35" s="218">
        <v>43488</v>
      </c>
      <c r="K35" s="92">
        <v>11684.83</v>
      </c>
      <c r="L35" s="84"/>
      <c r="M35" s="92"/>
      <c r="N35" s="84"/>
      <c r="O35" s="92"/>
      <c r="P35" s="84"/>
      <c r="Q35" s="92"/>
      <c r="R35" s="84"/>
      <c r="S35" s="92"/>
      <c r="T35" s="84"/>
      <c r="U35" s="92"/>
      <c r="V35" s="85">
        <f t="shared" si="3"/>
        <v>0</v>
      </c>
      <c r="W35" s="92">
        <f t="shared" si="2"/>
        <v>11684.83</v>
      </c>
    </row>
    <row r="36" spans="1:23">
      <c r="A36" s="87" t="s">
        <v>35</v>
      </c>
      <c r="B36" s="88" t="s">
        <v>517</v>
      </c>
      <c r="C36" s="89">
        <v>37</v>
      </c>
      <c r="D36" s="90" t="s">
        <v>966</v>
      </c>
      <c r="E36" s="84"/>
      <c r="F36" s="92"/>
      <c r="G36" s="85"/>
      <c r="H36" s="84"/>
      <c r="I36" s="92"/>
      <c r="J36" s="218">
        <v>43488</v>
      </c>
      <c r="K36" s="92">
        <v>6298.32</v>
      </c>
      <c r="L36" s="84"/>
      <c r="M36" s="92"/>
      <c r="N36" s="84"/>
      <c r="O36" s="92"/>
      <c r="P36" s="84"/>
      <c r="Q36" s="92"/>
      <c r="R36" s="84"/>
      <c r="S36" s="92"/>
      <c r="T36" s="84"/>
      <c r="U36" s="92"/>
      <c r="V36" s="85">
        <f t="shared" si="3"/>
        <v>0</v>
      </c>
      <c r="W36" s="92">
        <f t="shared" si="2"/>
        <v>6298.32</v>
      </c>
    </row>
    <row r="37" spans="1:23">
      <c r="A37" s="87" t="s">
        <v>34</v>
      </c>
      <c r="B37" s="88" t="s">
        <v>505</v>
      </c>
      <c r="C37" s="89">
        <v>4</v>
      </c>
      <c r="D37" s="90" t="s">
        <v>189</v>
      </c>
      <c r="E37" s="84">
        <v>41480</v>
      </c>
      <c r="F37" s="92">
        <v>98947.6</v>
      </c>
      <c r="G37" s="85"/>
      <c r="H37" s="84"/>
      <c r="I37" s="92"/>
      <c r="J37" s="218"/>
      <c r="K37" s="92"/>
      <c r="L37" s="84">
        <v>43524</v>
      </c>
      <c r="M37" s="92">
        <v>5615.2</v>
      </c>
      <c r="N37" s="84">
        <v>43487</v>
      </c>
      <c r="O37" s="92">
        <v>35.659999999999997</v>
      </c>
      <c r="P37" s="84"/>
      <c r="Q37" s="92"/>
      <c r="R37" s="84"/>
      <c r="S37" s="92"/>
      <c r="T37" s="84">
        <v>43487</v>
      </c>
      <c r="U37" s="92">
        <v>470.71</v>
      </c>
      <c r="V37" s="85">
        <f t="shared" si="3"/>
        <v>506.37</v>
      </c>
      <c r="W37" s="92">
        <f t="shared" si="2"/>
        <v>6121.57</v>
      </c>
    </row>
    <row r="38" spans="1:23">
      <c r="A38" s="87" t="s">
        <v>34</v>
      </c>
      <c r="B38" s="88" t="s">
        <v>506</v>
      </c>
      <c r="C38" s="89">
        <v>31</v>
      </c>
      <c r="D38" s="90" t="s">
        <v>208</v>
      </c>
      <c r="E38" s="84">
        <v>41441</v>
      </c>
      <c r="F38" s="92">
        <v>97812.6</v>
      </c>
      <c r="G38" s="85"/>
      <c r="H38" s="84"/>
      <c r="I38" s="92"/>
      <c r="J38" s="218"/>
      <c r="K38" s="92"/>
      <c r="L38" s="84">
        <v>43559</v>
      </c>
      <c r="M38" s="92">
        <v>5909.13</v>
      </c>
      <c r="N38" s="84">
        <v>43487</v>
      </c>
      <c r="O38" s="92">
        <v>36.119999999999997</v>
      </c>
      <c r="P38" s="84"/>
      <c r="Q38" s="92"/>
      <c r="R38" s="84"/>
      <c r="S38" s="92"/>
      <c r="T38" s="84">
        <v>43487</v>
      </c>
      <c r="U38" s="92">
        <v>470.71</v>
      </c>
      <c r="V38" s="85">
        <f t="shared" si="3"/>
        <v>506.83</v>
      </c>
      <c r="W38" s="92">
        <f t="shared" si="2"/>
        <v>6415.96</v>
      </c>
    </row>
    <row r="39" spans="1:23">
      <c r="A39" s="87"/>
      <c r="B39" s="88" t="s">
        <v>510</v>
      </c>
      <c r="C39" s="89">
        <v>29</v>
      </c>
      <c r="D39" s="90" t="s">
        <v>967</v>
      </c>
      <c r="E39" s="84"/>
      <c r="F39" s="92"/>
      <c r="G39" s="85"/>
      <c r="H39" s="84"/>
      <c r="I39" s="92"/>
      <c r="J39" s="218"/>
      <c r="K39" s="92"/>
      <c r="L39" s="84">
        <v>43524</v>
      </c>
      <c r="M39" s="92">
        <v>3288.63</v>
      </c>
      <c r="N39" s="84"/>
      <c r="O39" s="92"/>
      <c r="P39" s="84"/>
      <c r="Q39" s="92"/>
      <c r="R39" s="84"/>
      <c r="S39" s="92"/>
      <c r="T39" s="84">
        <v>43487</v>
      </c>
      <c r="U39" s="92">
        <v>127.78</v>
      </c>
      <c r="V39" s="85">
        <f t="shared" si="3"/>
        <v>127.78</v>
      </c>
      <c r="W39" s="92">
        <f t="shared" si="2"/>
        <v>3416.4100000000003</v>
      </c>
    </row>
    <row r="40" spans="1:23">
      <c r="A40" s="87"/>
      <c r="B40" s="88" t="s">
        <v>510</v>
      </c>
      <c r="C40" s="89">
        <v>30</v>
      </c>
      <c r="D40" s="90" t="s">
        <v>967</v>
      </c>
      <c r="E40" s="84"/>
      <c r="F40" s="92"/>
      <c r="G40" s="85"/>
      <c r="H40" s="84"/>
      <c r="I40" s="92"/>
      <c r="J40" s="218"/>
      <c r="K40" s="92"/>
      <c r="L40" s="84">
        <v>43524</v>
      </c>
      <c r="M40" s="92">
        <v>3288.63</v>
      </c>
      <c r="N40" s="84"/>
      <c r="O40" s="92"/>
      <c r="P40" s="84"/>
      <c r="Q40" s="92"/>
      <c r="R40" s="84"/>
      <c r="S40" s="92"/>
      <c r="T40" s="84">
        <v>43487</v>
      </c>
      <c r="U40" s="92">
        <v>127.78</v>
      </c>
      <c r="V40" s="85">
        <f t="shared" si="3"/>
        <v>127.78</v>
      </c>
      <c r="W40" s="92">
        <f t="shared" si="2"/>
        <v>3416.4100000000003</v>
      </c>
    </row>
    <row r="41" spans="1:23">
      <c r="A41" s="87" t="s">
        <v>35</v>
      </c>
      <c r="B41" s="88" t="s">
        <v>513</v>
      </c>
      <c r="C41" s="89">
        <v>14</v>
      </c>
      <c r="D41" s="90" t="s">
        <v>363</v>
      </c>
      <c r="E41" s="84">
        <v>41556</v>
      </c>
      <c r="F41" s="92">
        <v>104226.89</v>
      </c>
      <c r="G41" s="85"/>
      <c r="H41" s="84"/>
      <c r="I41" s="92"/>
      <c r="J41" s="218"/>
      <c r="K41" s="92"/>
      <c r="L41" s="84">
        <v>43524</v>
      </c>
      <c r="M41" s="92">
        <v>5639.69</v>
      </c>
      <c r="N41" s="84"/>
      <c r="O41" s="92"/>
      <c r="P41" s="84"/>
      <c r="Q41" s="92"/>
      <c r="R41" s="84"/>
      <c r="S41" s="92"/>
      <c r="T41" s="84"/>
      <c r="U41" s="92"/>
      <c r="V41" s="85">
        <f t="shared" si="3"/>
        <v>0</v>
      </c>
      <c r="W41" s="92">
        <f t="shared" si="2"/>
        <v>5639.69</v>
      </c>
    </row>
    <row r="42" spans="1:23">
      <c r="A42" s="87" t="s">
        <v>37</v>
      </c>
      <c r="B42" s="88" t="s">
        <v>503</v>
      </c>
      <c r="C42" s="89">
        <v>17</v>
      </c>
      <c r="D42" s="90" t="s">
        <v>79</v>
      </c>
      <c r="E42" s="84">
        <v>41440</v>
      </c>
      <c r="F42" s="92">
        <v>83154.75</v>
      </c>
      <c r="G42" s="85"/>
      <c r="H42" s="84"/>
      <c r="I42" s="92"/>
      <c r="J42" s="218"/>
      <c r="K42" s="92"/>
      <c r="L42" s="84">
        <v>43524</v>
      </c>
      <c r="M42" s="92">
        <v>5087.1099999999997</v>
      </c>
      <c r="N42" s="84"/>
      <c r="O42" s="92"/>
      <c r="P42" s="84"/>
      <c r="Q42" s="92"/>
      <c r="R42" s="84"/>
      <c r="S42" s="92"/>
      <c r="T42" s="84"/>
      <c r="U42" s="92"/>
      <c r="V42" s="85">
        <f t="shared" si="3"/>
        <v>0</v>
      </c>
      <c r="W42" s="92">
        <f t="shared" si="2"/>
        <v>5087.1099999999997</v>
      </c>
    </row>
    <row r="43" spans="1:23">
      <c r="A43" s="87" t="s">
        <v>34</v>
      </c>
      <c r="B43" s="88" t="s">
        <v>509</v>
      </c>
      <c r="C43" s="89">
        <v>12</v>
      </c>
      <c r="D43" s="90" t="s">
        <v>370</v>
      </c>
      <c r="E43" s="84">
        <v>41440</v>
      </c>
      <c r="F43" s="92">
        <v>94094</v>
      </c>
      <c r="G43" s="85"/>
      <c r="H43" s="84" t="s">
        <v>969</v>
      </c>
      <c r="I43" s="92">
        <f>13750+13750</f>
        <v>27500</v>
      </c>
      <c r="J43" s="218"/>
      <c r="K43" s="92"/>
      <c r="L43" s="84"/>
      <c r="M43" s="92"/>
      <c r="N43" s="84">
        <v>43508</v>
      </c>
      <c r="O43" s="92">
        <f>180+1.87</f>
        <v>181.87</v>
      </c>
      <c r="P43" s="84">
        <v>43560</v>
      </c>
      <c r="Q43" s="92">
        <f>2172+13</f>
        <v>2185</v>
      </c>
      <c r="R43" s="84">
        <v>43560</v>
      </c>
      <c r="S43" s="92">
        <f>1130+300</f>
        <v>1430</v>
      </c>
      <c r="T43" s="84">
        <v>43560</v>
      </c>
      <c r="U43" s="92">
        <v>1220</v>
      </c>
      <c r="V43" s="85">
        <f t="shared" si="3"/>
        <v>5016.87</v>
      </c>
      <c r="W43" s="92">
        <f t="shared" si="2"/>
        <v>32516.87</v>
      </c>
    </row>
    <row r="44" spans="1:23">
      <c r="A44" s="87" t="s">
        <v>35</v>
      </c>
      <c r="B44" s="88" t="s">
        <v>517</v>
      </c>
      <c r="C44" s="89">
        <v>22</v>
      </c>
      <c r="D44" s="90" t="s">
        <v>170</v>
      </c>
      <c r="E44" s="84">
        <v>41458</v>
      </c>
      <c r="F44" s="92">
        <v>101815.82</v>
      </c>
      <c r="G44" s="85"/>
      <c r="H44" s="84"/>
      <c r="I44" s="92"/>
      <c r="J44" s="84">
        <v>43544</v>
      </c>
      <c r="K44" s="92">
        <v>13649.81</v>
      </c>
      <c r="L44" s="84">
        <v>43535</v>
      </c>
      <c r="M44" s="92">
        <v>2440.14</v>
      </c>
      <c r="N44" s="84"/>
      <c r="O44" s="92"/>
      <c r="P44" s="84"/>
      <c r="Q44" s="92"/>
      <c r="R44" s="84"/>
      <c r="S44" s="92"/>
      <c r="T44" s="84">
        <v>43584</v>
      </c>
      <c r="U44" s="92">
        <v>350</v>
      </c>
      <c r="V44" s="85">
        <f t="shared" si="3"/>
        <v>350</v>
      </c>
      <c r="W44" s="92">
        <f t="shared" si="2"/>
        <v>16439.949999999997</v>
      </c>
    </row>
    <row r="45" spans="1:23">
      <c r="A45" s="87" t="s">
        <v>33</v>
      </c>
      <c r="B45" s="88" t="s">
        <v>527</v>
      </c>
      <c r="C45" s="89">
        <v>8</v>
      </c>
      <c r="D45" s="90" t="s">
        <v>483</v>
      </c>
      <c r="E45" s="84">
        <v>42488</v>
      </c>
      <c r="F45" s="92">
        <v>141100</v>
      </c>
      <c r="G45" s="85"/>
      <c r="H45" s="84">
        <v>43536</v>
      </c>
      <c r="I45" s="92">
        <v>4000</v>
      </c>
      <c r="J45" s="218">
        <v>43539</v>
      </c>
      <c r="K45" s="92">
        <v>7150</v>
      </c>
      <c r="L45" s="84"/>
      <c r="M45" s="92"/>
      <c r="N45" s="84"/>
      <c r="O45" s="92"/>
      <c r="P45" s="84"/>
      <c r="Q45" s="92"/>
      <c r="R45" s="84"/>
      <c r="S45" s="92"/>
      <c r="T45" s="84"/>
      <c r="U45" s="92"/>
      <c r="V45" s="85">
        <f t="shared" si="3"/>
        <v>0</v>
      </c>
      <c r="W45" s="92">
        <f t="shared" si="2"/>
        <v>11150</v>
      </c>
    </row>
    <row r="46" spans="1:23">
      <c r="A46" s="87" t="s">
        <v>38</v>
      </c>
      <c r="B46" s="88" t="s">
        <v>533</v>
      </c>
      <c r="C46" s="89">
        <v>14</v>
      </c>
      <c r="D46" s="90" t="s">
        <v>119</v>
      </c>
      <c r="E46" s="84">
        <v>41855</v>
      </c>
      <c r="F46" s="92">
        <v>95651.199999999997</v>
      </c>
      <c r="G46" s="85"/>
      <c r="H46" s="84"/>
      <c r="I46" s="92"/>
      <c r="J46" s="218"/>
      <c r="K46" s="92"/>
      <c r="L46" s="84"/>
      <c r="M46" s="92"/>
      <c r="N46" s="84">
        <v>43559</v>
      </c>
      <c r="O46" s="92">
        <v>184.98</v>
      </c>
      <c r="P46" s="84"/>
      <c r="Q46" s="92"/>
      <c r="R46" s="84"/>
      <c r="S46" s="92"/>
      <c r="T46" s="84">
        <v>43584</v>
      </c>
      <c r="U46" s="92">
        <f>2270-72.8</f>
        <v>2197.1999999999998</v>
      </c>
      <c r="V46" s="85">
        <f t="shared" si="3"/>
        <v>2382.1799999999998</v>
      </c>
      <c r="W46" s="92">
        <f t="shared" si="2"/>
        <v>2382.1799999999998</v>
      </c>
    </row>
    <row r="47" spans="1:23">
      <c r="A47" s="87" t="s">
        <v>38</v>
      </c>
      <c r="B47" s="88" t="s">
        <v>533</v>
      </c>
      <c r="C47" s="89">
        <v>26</v>
      </c>
      <c r="D47" s="90" t="s">
        <v>123</v>
      </c>
      <c r="E47" s="84">
        <v>41491</v>
      </c>
      <c r="F47" s="92">
        <v>83322.539999999994</v>
      </c>
      <c r="G47" s="85"/>
      <c r="H47" s="84"/>
      <c r="I47" s="92"/>
      <c r="J47" s="218"/>
      <c r="K47" s="92"/>
      <c r="L47" s="84"/>
      <c r="M47" s="92"/>
      <c r="N47" s="84"/>
      <c r="O47" s="92"/>
      <c r="P47" s="84"/>
      <c r="Q47" s="92"/>
      <c r="R47" s="84"/>
      <c r="S47" s="92"/>
      <c r="T47" s="84">
        <v>43584</v>
      </c>
      <c r="U47" s="92">
        <f>2270-72.8</f>
        <v>2197.1999999999998</v>
      </c>
      <c r="V47" s="85">
        <f t="shared" si="3"/>
        <v>2197.1999999999998</v>
      </c>
      <c r="W47" s="92">
        <f t="shared" si="2"/>
        <v>2197.1999999999998</v>
      </c>
    </row>
    <row r="48" spans="1:23">
      <c r="A48" s="87" t="s">
        <v>33</v>
      </c>
      <c r="B48" s="88" t="s">
        <v>530</v>
      </c>
      <c r="C48" s="89">
        <v>38</v>
      </c>
      <c r="D48" s="90" t="s">
        <v>251</v>
      </c>
      <c r="E48" s="84">
        <v>41883</v>
      </c>
      <c r="F48" s="92">
        <v>105891.06</v>
      </c>
      <c r="G48" s="85"/>
      <c r="H48" s="84"/>
      <c r="I48" s="92"/>
      <c r="J48" s="218"/>
      <c r="K48" s="92"/>
      <c r="L48" s="84"/>
      <c r="M48" s="92"/>
      <c r="N48" s="84" t="s">
        <v>971</v>
      </c>
      <c r="O48" s="92">
        <f>169.31+31.5</f>
        <v>200.81</v>
      </c>
      <c r="P48" s="84">
        <v>43601</v>
      </c>
      <c r="Q48" s="92">
        <f>1900+5</f>
        <v>1905</v>
      </c>
      <c r="R48" s="84">
        <v>43560</v>
      </c>
      <c r="S48" s="92">
        <v>87.31</v>
      </c>
      <c r="T48" s="84">
        <v>43584</v>
      </c>
      <c r="U48" s="92">
        <f>2270-72.8</f>
        <v>2197.1999999999998</v>
      </c>
      <c r="V48" s="85">
        <f t="shared" si="3"/>
        <v>4390.32</v>
      </c>
      <c r="W48" s="92">
        <f t="shared" si="2"/>
        <v>4390.32</v>
      </c>
    </row>
    <row r="49" spans="1:23">
      <c r="A49" s="87" t="s">
        <v>37</v>
      </c>
      <c r="B49" s="88" t="s">
        <v>503</v>
      </c>
      <c r="C49" s="89">
        <v>13</v>
      </c>
      <c r="D49" s="90" t="s">
        <v>69</v>
      </c>
      <c r="E49" s="84">
        <v>41446</v>
      </c>
      <c r="F49" s="92">
        <v>83154.75</v>
      </c>
      <c r="G49" s="85"/>
      <c r="H49" s="84"/>
      <c r="I49" s="92"/>
      <c r="J49" s="218"/>
      <c r="K49" s="92"/>
      <c r="L49" s="84"/>
      <c r="M49" s="92"/>
      <c r="N49" s="84">
        <v>43567</v>
      </c>
      <c r="O49" s="92">
        <v>159.99</v>
      </c>
      <c r="P49" s="84"/>
      <c r="Q49" s="92"/>
      <c r="R49" s="84"/>
      <c r="S49" s="92"/>
      <c r="T49" s="84">
        <v>43584</v>
      </c>
      <c r="U49" s="92">
        <f>2270-72.8</f>
        <v>2197.1999999999998</v>
      </c>
      <c r="V49" s="85">
        <f t="shared" si="3"/>
        <v>2357.1899999999996</v>
      </c>
      <c r="W49" s="92">
        <f t="shared" si="2"/>
        <v>2357.1899999999996</v>
      </c>
    </row>
    <row r="50" spans="1:23">
      <c r="A50" s="87" t="s">
        <v>38</v>
      </c>
      <c r="B50" s="88" t="s">
        <v>512</v>
      </c>
      <c r="C50" s="89">
        <v>13</v>
      </c>
      <c r="D50" s="90" t="s">
        <v>358</v>
      </c>
      <c r="E50" s="84">
        <v>41446</v>
      </c>
      <c r="F50" s="92">
        <v>81756.88</v>
      </c>
      <c r="G50" s="85"/>
      <c r="H50" s="84"/>
      <c r="I50" s="92"/>
      <c r="J50" s="218"/>
      <c r="K50" s="92"/>
      <c r="L50" s="84"/>
      <c r="M50" s="92"/>
      <c r="N50" s="84">
        <v>43559</v>
      </c>
      <c r="O50" s="92">
        <v>157.19999999999999</v>
      </c>
      <c r="P50" s="84"/>
      <c r="Q50" s="92"/>
      <c r="R50" s="84"/>
      <c r="S50" s="92"/>
      <c r="T50" s="84">
        <v>43584</v>
      </c>
      <c r="U50" s="92">
        <f>2270-72.8</f>
        <v>2197.1999999999998</v>
      </c>
      <c r="V50" s="85">
        <f t="shared" si="3"/>
        <v>2354.3999999999996</v>
      </c>
      <c r="W50" s="92">
        <f t="shared" si="2"/>
        <v>2354.3999999999996</v>
      </c>
    </row>
    <row r="51" spans="1:23">
      <c r="A51" s="87" t="s">
        <v>33</v>
      </c>
      <c r="B51" s="88" t="s">
        <v>525</v>
      </c>
      <c r="C51" s="89">
        <v>19</v>
      </c>
      <c r="D51" s="90" t="s">
        <v>93</v>
      </c>
      <c r="E51" s="84">
        <v>42207</v>
      </c>
      <c r="F51" s="92">
        <v>157100.4</v>
      </c>
      <c r="G51" s="85"/>
      <c r="H51" s="84"/>
      <c r="I51" s="92"/>
      <c r="J51" s="218">
        <v>43601</v>
      </c>
      <c r="K51" s="92">
        <v>9801.84</v>
      </c>
      <c r="L51" s="84"/>
      <c r="M51" s="92"/>
      <c r="N51" s="84"/>
      <c r="O51" s="92"/>
      <c r="P51" s="84"/>
      <c r="Q51" s="92"/>
      <c r="R51" s="84"/>
      <c r="S51" s="92"/>
      <c r="T51" s="84"/>
      <c r="U51" s="92"/>
      <c r="V51" s="85">
        <f t="shared" si="3"/>
        <v>0</v>
      </c>
      <c r="W51" s="92">
        <f t="shared" si="2"/>
        <v>9801.84</v>
      </c>
    </row>
    <row r="52" spans="1:23">
      <c r="A52" s="87" t="s">
        <v>33</v>
      </c>
      <c r="B52" s="88" t="s">
        <v>523</v>
      </c>
      <c r="C52" s="89">
        <v>12</v>
      </c>
      <c r="D52" s="90" t="s">
        <v>187</v>
      </c>
      <c r="E52" s="84">
        <v>42411</v>
      </c>
      <c r="F52" s="92">
        <v>144809.95000000001</v>
      </c>
      <c r="G52" s="85"/>
      <c r="H52" s="84">
        <v>43595</v>
      </c>
      <c r="I52" s="92">
        <v>5000</v>
      </c>
      <c r="J52" s="218"/>
      <c r="K52" s="92"/>
      <c r="L52" s="84"/>
      <c r="M52" s="92"/>
      <c r="N52" s="84"/>
      <c r="O52" s="92"/>
      <c r="P52" s="84"/>
      <c r="Q52" s="92"/>
      <c r="R52" s="84"/>
      <c r="S52" s="92"/>
      <c r="T52" s="84"/>
      <c r="U52" s="92"/>
      <c r="V52" s="85">
        <f t="shared" si="3"/>
        <v>0</v>
      </c>
      <c r="W52" s="92">
        <f t="shared" si="2"/>
        <v>5000</v>
      </c>
    </row>
    <row r="53" spans="1:23">
      <c r="A53" s="87"/>
      <c r="B53" s="88"/>
      <c r="C53" s="89"/>
      <c r="D53" s="90"/>
      <c r="E53" s="84"/>
      <c r="F53" s="92"/>
      <c r="G53" s="85"/>
      <c r="H53" s="84"/>
      <c r="I53" s="92"/>
      <c r="J53" s="218"/>
      <c r="K53" s="92"/>
      <c r="L53" s="84"/>
      <c r="M53" s="92"/>
      <c r="N53" s="84"/>
      <c r="O53" s="92"/>
      <c r="P53" s="84"/>
      <c r="Q53" s="92"/>
      <c r="R53" s="84"/>
      <c r="S53" s="92"/>
      <c r="T53" s="84"/>
      <c r="U53" s="92"/>
      <c r="V53" s="85">
        <f t="shared" si="3"/>
        <v>0</v>
      </c>
      <c r="W53" s="92">
        <f t="shared" si="2"/>
        <v>0</v>
      </c>
    </row>
    <row r="54" spans="1:23">
      <c r="A54" s="87"/>
      <c r="B54" s="88"/>
      <c r="C54" s="89"/>
      <c r="D54" s="90"/>
      <c r="E54" s="84"/>
      <c r="F54" s="92"/>
      <c r="G54" s="85"/>
      <c r="H54" s="84"/>
      <c r="I54" s="92"/>
      <c r="J54" s="218"/>
      <c r="K54" s="92"/>
      <c r="L54" s="84"/>
      <c r="M54" s="92"/>
      <c r="N54" s="84"/>
      <c r="O54" s="92"/>
      <c r="P54" s="84"/>
      <c r="Q54" s="92"/>
      <c r="R54" s="84"/>
      <c r="S54" s="92"/>
      <c r="T54" s="84"/>
      <c r="U54" s="92"/>
      <c r="V54" s="85">
        <f t="shared" si="3"/>
        <v>0</v>
      </c>
      <c r="W54" s="92">
        <f t="shared" si="2"/>
        <v>0</v>
      </c>
    </row>
    <row r="55" spans="1:23">
      <c r="A55" s="19"/>
      <c r="B55" s="20"/>
      <c r="C55" s="20"/>
      <c r="D55" s="19"/>
      <c r="E55" s="21"/>
      <c r="F55" s="22"/>
      <c r="G55" s="22"/>
      <c r="H55" s="21"/>
      <c r="I55" s="22"/>
      <c r="J55" s="219"/>
      <c r="K55" s="22"/>
      <c r="L55" s="21"/>
      <c r="M55" s="22"/>
      <c r="N55" s="21"/>
      <c r="O55" s="22"/>
      <c r="P55" s="21"/>
      <c r="Q55" s="22"/>
      <c r="R55" s="21"/>
      <c r="S55" s="22"/>
      <c r="T55" s="21"/>
      <c r="U55" s="22"/>
      <c r="V55" s="22">
        <f t="shared" si="3"/>
        <v>0</v>
      </c>
      <c r="W55" s="22">
        <f t="shared" si="2"/>
        <v>0</v>
      </c>
    </row>
    <row r="56" spans="1:23">
      <c r="I56" s="220">
        <f>SUBTOTAL(9,I6:I55)</f>
        <v>52500</v>
      </c>
      <c r="K56" s="220">
        <f>SUBTOTAL(9,K6:K55)</f>
        <v>69747.69</v>
      </c>
      <c r="M56" s="220">
        <f>SUBTOTAL(9,M6:M55)</f>
        <v>34766.740000000005</v>
      </c>
      <c r="O56" s="220">
        <f>SUBTOTAL(9,O6:O55)</f>
        <v>956.63000000000011</v>
      </c>
      <c r="Q56" s="220">
        <f>SUBTOTAL(9,Q6:Q55)</f>
        <v>5674</v>
      </c>
      <c r="S56" s="220">
        <f>SUBTOTAL(9,S6:S55)</f>
        <v>1517.31</v>
      </c>
      <c r="U56" s="220">
        <f>SUBTOTAL(9,U6:U55)</f>
        <v>13928.77</v>
      </c>
      <c r="V56" s="220">
        <f>SUBTOTAL(9,V6:V55)</f>
        <v>22076.71</v>
      </c>
      <c r="W56" s="220">
        <f>SUBTOTAL(9,W6:W55)</f>
        <v>179091.14</v>
      </c>
    </row>
    <row r="60" spans="1:23">
      <c r="F60" t="s">
        <v>849</v>
      </c>
      <c r="G60" t="s">
        <v>960</v>
      </c>
      <c r="H60" t="s">
        <v>961</v>
      </c>
      <c r="I60" t="s">
        <v>962</v>
      </c>
    </row>
    <row r="61" spans="1:23">
      <c r="F61"/>
      <c r="G61"/>
      <c r="H61" s="168"/>
      <c r="I61" s="168"/>
    </row>
    <row r="62" spans="1:23">
      <c r="F62"/>
      <c r="G62"/>
      <c r="H62" s="168"/>
      <c r="I62" s="168"/>
    </row>
    <row r="63" spans="1:23">
      <c r="F63" t="s">
        <v>963</v>
      </c>
      <c r="G63" t="s">
        <v>964</v>
      </c>
      <c r="H63" s="168">
        <v>-1444.55</v>
      </c>
      <c r="I63" s="213" t="s">
        <v>965</v>
      </c>
    </row>
    <row r="64" spans="1:23">
      <c r="F64" s="5"/>
      <c r="H64" s="5"/>
      <c r="I64" s="5"/>
    </row>
    <row r="65" spans="6:9">
      <c r="F65" s="5"/>
      <c r="H65" s="5"/>
      <c r="I65" s="5"/>
    </row>
    <row r="66" spans="6:9">
      <c r="F66" s="5"/>
      <c r="H66" s="5"/>
      <c r="I66" s="5"/>
    </row>
    <row r="67" spans="6:9">
      <c r="F67"/>
      <c r="G67"/>
      <c r="H67" s="168"/>
      <c r="I67" s="213"/>
    </row>
    <row r="68" spans="6:9">
      <c r="F68"/>
      <c r="G68"/>
      <c r="H68" s="168"/>
      <c r="I68" s="213"/>
    </row>
  </sheetData>
  <autoFilter ref="A5:X54" xr:uid="{00000000-0009-0000-0000-00000F000000}"/>
  <mergeCells count="9">
    <mergeCell ref="V4:W4"/>
    <mergeCell ref="A2:G2"/>
    <mergeCell ref="H4:I4"/>
    <mergeCell ref="N4:O4"/>
    <mergeCell ref="P4:Q4"/>
    <mergeCell ref="R4:S4"/>
    <mergeCell ref="T4:U4"/>
    <mergeCell ref="L4:M4"/>
    <mergeCell ref="J4:K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8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Geral</vt:lpstr>
      <vt:lpstr>Planilha2</vt:lpstr>
      <vt:lpstr>Recebíveis</vt:lpstr>
      <vt:lpstr>Inadimplencia</vt:lpstr>
      <vt:lpstr>Vendas</vt:lpstr>
      <vt:lpstr>LTV</vt:lpstr>
      <vt:lpstr>Estoque</vt:lpstr>
      <vt:lpstr>Recuperações</vt:lpstr>
      <vt:lpstr>Planilha1</vt:lpstr>
      <vt:lpstr>nexus</vt:lpstr>
      <vt:lpstr>Ações Ativas e Passivas</vt:lpstr>
      <vt:lpstr>Cessões</vt:lpstr>
      <vt:lpstr>Distratos</vt:lpstr>
      <vt:lpstr>Ações Passivas</vt:lpstr>
      <vt:lpstr>Ações Ativas</vt:lpstr>
      <vt:lpstr>Pagtos Distratos</vt:lpstr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Miriã Alves Millrath Alcantara</dc:creator>
  <cp:lastModifiedBy>User</cp:lastModifiedBy>
  <cp:lastPrinted>2020-08-04T17:38:31Z</cp:lastPrinted>
  <dcterms:created xsi:type="dcterms:W3CDTF">2018-03-13T19:14:27Z</dcterms:created>
  <dcterms:modified xsi:type="dcterms:W3CDTF">2021-04-07T14:51:29Z</dcterms:modified>
</cp:coreProperties>
</file>