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class\Excel\"/>
    </mc:Choice>
  </mc:AlternateContent>
  <bookViews>
    <workbookView xWindow="9705" yWindow="-15" windowWidth="9510" windowHeight="3720" tabRatio="741" firstSheet="6" activeTab="6"/>
  </bookViews>
  <sheets>
    <sheet name="Employees" sheetId="4" r:id="rId1"/>
    <sheet name="Interim Totals" sheetId="5" r:id="rId2"/>
    <sheet name="Separated Groups" sheetId="6" r:id="rId3"/>
    <sheet name="Multi-row Titles" sheetId="7" r:id="rId4"/>
    <sheet name="OS Tax" sheetId="9" r:id="rId5"/>
    <sheet name="Contact Names" sheetId="11" r:id="rId6"/>
    <sheet name="Contact List" sheetId="8" r:id="rId7"/>
  </sheets>
  <definedNames>
    <definedName name="_xlnm._FilterDatabase" localSheetId="0" hidden="1">Employees!$A$1:$O$742</definedName>
    <definedName name="_xlnm._FilterDatabase" localSheetId="3" hidden="1">'Multi-row Titles'!$A$2:$O$743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0" hidden="1">Employees!$A$1:$O$742</definedName>
    <definedName name="Z_32E1B1E0_F29A_4FB3_9E7F_F78F245BC75E_.wvu.FilterData" localSheetId="3" hidden="1">'Multi-row Titles'!$A$2:$O$743</definedName>
  </definedNames>
  <calcPr calcId="152511"/>
</workbook>
</file>

<file path=xl/calcChain.xml><?xml version="1.0" encoding="utf-8"?>
<calcChain xmlns="http://schemas.openxmlformats.org/spreadsheetml/2006/main">
  <c r="I9" i="11" l="1"/>
  <c r="I6" i="11"/>
  <c r="N23" i="11"/>
  <c r="N22" i="11"/>
  <c r="N3" i="11"/>
  <c r="N4" i="11"/>
  <c r="N2" i="11"/>
  <c r="I3" i="11"/>
  <c r="L19" i="11"/>
  <c r="L18" i="11"/>
  <c r="L17" i="11"/>
  <c r="L14" i="11"/>
  <c r="L13" i="11"/>
  <c r="L12" i="11"/>
  <c r="L9" i="11"/>
  <c r="L8" i="11"/>
  <c r="L7" i="11"/>
  <c r="L23" i="11"/>
  <c r="L22" i="11"/>
  <c r="L4" i="11"/>
  <c r="L3" i="11"/>
  <c r="L2" i="11"/>
  <c r="L29" i="11"/>
  <c r="L28" i="11"/>
  <c r="L27" i="11"/>
  <c r="L26" i="11"/>
  <c r="AF1" i="9" l="1"/>
  <c r="AI2" i="9"/>
  <c r="AJ2" i="9"/>
  <c r="AM2" i="9"/>
  <c r="O3" i="9"/>
  <c r="Q3" i="9" s="1"/>
  <c r="AI3" i="9"/>
  <c r="AJ3" i="9"/>
  <c r="AM3" i="9"/>
  <c r="O4" i="9"/>
  <c r="Q4" i="9" s="1"/>
  <c r="AI4" i="9"/>
  <c r="AJ4" i="9"/>
  <c r="AM4" i="9"/>
  <c r="O5" i="9"/>
  <c r="Q5" i="9" s="1"/>
  <c r="AI5" i="9"/>
  <c r="AK5" i="9" s="1" a="1"/>
  <c r="AK5" i="9" s="1"/>
  <c r="AJ5" i="9"/>
  <c r="AM5" i="9"/>
  <c r="O6" i="9"/>
  <c r="Q6" i="9" s="1"/>
  <c r="AI6" i="9"/>
  <c r="AK6" i="9" s="1" a="1"/>
  <c r="AK6" i="9" s="1"/>
  <c r="AJ6" i="9"/>
  <c r="AM6" i="9"/>
  <c r="O7" i="9"/>
  <c r="Q7" i="9"/>
  <c r="AI7" i="9"/>
  <c r="AJ7" i="9"/>
  <c r="AM7" i="9"/>
  <c r="O8" i="9"/>
  <c r="Q8" i="9" s="1"/>
  <c r="AI8" i="9"/>
  <c r="AJ8" i="9"/>
  <c r="AM8" i="9"/>
  <c r="O9" i="9"/>
  <c r="Q9" i="9" s="1"/>
  <c r="AI9" i="9"/>
  <c r="AJ9" i="9"/>
  <c r="AM9" i="9"/>
  <c r="O10" i="9"/>
  <c r="Q10" i="9" s="1"/>
  <c r="AI10" i="9"/>
  <c r="AJ10" i="9"/>
  <c r="AM10" i="9"/>
  <c r="O11" i="9"/>
  <c r="Q11" i="9" s="1"/>
  <c r="AI11" i="9"/>
  <c r="AJ11" i="9"/>
  <c r="AM11" i="9"/>
  <c r="O12" i="9"/>
  <c r="Q12" i="9" s="1"/>
  <c r="AI12" i="9"/>
  <c r="AJ12" i="9"/>
  <c r="AM12" i="9"/>
  <c r="O13" i="9"/>
  <c r="Q13" i="9" s="1"/>
  <c r="AI13" i="9"/>
  <c r="AJ13" i="9"/>
  <c r="AM13" i="9"/>
  <c r="O14" i="9"/>
  <c r="Q14" i="9" s="1"/>
  <c r="AI14" i="9"/>
  <c r="AJ14" i="9"/>
  <c r="AM14" i="9"/>
  <c r="O15" i="9"/>
  <c r="Q15" i="9" s="1"/>
  <c r="AI15" i="9"/>
  <c r="AJ15" i="9"/>
  <c r="AM15" i="9"/>
  <c r="O16" i="9"/>
  <c r="Q16" i="9" s="1"/>
  <c r="AI16" i="9"/>
  <c r="AJ16" i="9"/>
  <c r="AM16" i="9"/>
  <c r="O17" i="9"/>
  <c r="Q17" i="9" s="1"/>
  <c r="AI17" i="9"/>
  <c r="AJ17" i="9"/>
  <c r="AM17" i="9"/>
  <c r="O18" i="9"/>
  <c r="Q18" i="9" s="1"/>
  <c r="AI18" i="9"/>
  <c r="AK18" i="9" s="1" a="1"/>
  <c r="AK18" i="9" s="1"/>
  <c r="AJ18" i="9"/>
  <c r="AM18" i="9"/>
  <c r="O19" i="9"/>
  <c r="Q19" i="9" s="1"/>
  <c r="AI19" i="9"/>
  <c r="AJ19" i="9"/>
  <c r="AM19" i="9"/>
  <c r="O20" i="9"/>
  <c r="Q20" i="9" s="1"/>
  <c r="AI20" i="9"/>
  <c r="AJ20" i="9"/>
  <c r="AM20" i="9"/>
  <c r="O21" i="9"/>
  <c r="Q21" i="9" s="1"/>
  <c r="AI21" i="9"/>
  <c r="AK21" i="9" s="1" a="1"/>
  <c r="AK21" i="9" s="1"/>
  <c r="AJ21" i="9"/>
  <c r="AM21" i="9"/>
  <c r="O22" i="9"/>
  <c r="Q22" i="9" s="1"/>
  <c r="AI22" i="9"/>
  <c r="AK22" i="9" s="1" a="1"/>
  <c r="AK22" i="9" s="1"/>
  <c r="AJ22" i="9"/>
  <c r="AM22" i="9"/>
  <c r="O23" i="9"/>
  <c r="Q23" i="9"/>
  <c r="AI23" i="9"/>
  <c r="AJ23" i="9"/>
  <c r="AM23" i="9"/>
  <c r="O24" i="9"/>
  <c r="Q24" i="9" s="1"/>
  <c r="AI24" i="9"/>
  <c r="AJ24" i="9"/>
  <c r="AM24" i="9"/>
  <c r="C25" i="9"/>
  <c r="D25" i="9"/>
  <c r="E25" i="9"/>
  <c r="F25" i="9"/>
  <c r="G25" i="9"/>
  <c r="H25" i="9"/>
  <c r="I25" i="9"/>
  <c r="J25" i="9"/>
  <c r="K25" i="9"/>
  <c r="L25" i="9"/>
  <c r="M25" i="9"/>
  <c r="N25" i="9"/>
  <c r="P25" i="9"/>
  <c r="AI25" i="9"/>
  <c r="AJ25" i="9"/>
  <c r="AM25" i="9"/>
  <c r="C26" i="9"/>
  <c r="D26" i="9"/>
  <c r="E26" i="9"/>
  <c r="F26" i="9"/>
  <c r="G26" i="9"/>
  <c r="H26" i="9"/>
  <c r="I26" i="9"/>
  <c r="J26" i="9"/>
  <c r="K26" i="9"/>
  <c r="L26" i="9"/>
  <c r="M26" i="9"/>
  <c r="N26" i="9"/>
  <c r="P26" i="9"/>
  <c r="AI26" i="9"/>
  <c r="AJ26" i="9"/>
  <c r="AM26" i="9"/>
  <c r="AI27" i="9"/>
  <c r="AJ27" i="9"/>
  <c r="AM27" i="9"/>
  <c r="AI28" i="9"/>
  <c r="AK28" i="9" s="1" a="1"/>
  <c r="AK28" i="9" s="1"/>
  <c r="AJ28" i="9"/>
  <c r="AM28" i="9"/>
  <c r="AI29" i="9"/>
  <c r="AJ29" i="9"/>
  <c r="AM29" i="9"/>
  <c r="AI30" i="9"/>
  <c r="AJ30" i="9"/>
  <c r="AM30" i="9"/>
  <c r="O31" i="9"/>
  <c r="Q31" i="9" s="1"/>
  <c r="AI31" i="9"/>
  <c r="AJ31" i="9"/>
  <c r="AM31" i="9"/>
  <c r="O32" i="9"/>
  <c r="Q32" i="9" s="1"/>
  <c r="AI32" i="9"/>
  <c r="AK32" i="9" s="1" a="1"/>
  <c r="AK32" i="9" s="1"/>
  <c r="AJ32" i="9"/>
  <c r="AM32" i="9"/>
  <c r="O33" i="9"/>
  <c r="Q33" i="9"/>
  <c r="AI33" i="9"/>
  <c r="AJ33" i="9"/>
  <c r="AM33" i="9"/>
  <c r="O34" i="9"/>
  <c r="Q34" i="9" s="1"/>
  <c r="AI34" i="9"/>
  <c r="AJ34" i="9"/>
  <c r="AM34" i="9"/>
  <c r="O35" i="9"/>
  <c r="Q35" i="9" s="1"/>
  <c r="AI35" i="9"/>
  <c r="AJ35" i="9"/>
  <c r="AM35" i="9"/>
  <c r="C36" i="9"/>
  <c r="D36" i="9"/>
  <c r="E36" i="9"/>
  <c r="F36" i="9"/>
  <c r="G36" i="9"/>
  <c r="H36" i="9"/>
  <c r="I36" i="9"/>
  <c r="J36" i="9"/>
  <c r="K36" i="9"/>
  <c r="L36" i="9"/>
  <c r="M36" i="9"/>
  <c r="N36" i="9"/>
  <c r="P36" i="9"/>
  <c r="AI36" i="9"/>
  <c r="AJ36" i="9"/>
  <c r="AM36" i="9"/>
  <c r="C37" i="9"/>
  <c r="D37" i="9"/>
  <c r="E37" i="9"/>
  <c r="F37" i="9"/>
  <c r="G37" i="9"/>
  <c r="H37" i="9"/>
  <c r="I37" i="9"/>
  <c r="J37" i="9"/>
  <c r="K37" i="9"/>
  <c r="L37" i="9"/>
  <c r="M37" i="9"/>
  <c r="N37" i="9"/>
  <c r="P37" i="9"/>
  <c r="AI37" i="9"/>
  <c r="AJ37" i="9"/>
  <c r="AM37" i="9"/>
  <c r="AI38" i="9"/>
  <c r="AJ38" i="9"/>
  <c r="AM38" i="9"/>
  <c r="AI39" i="9"/>
  <c r="AJ39" i="9"/>
  <c r="AM39" i="9"/>
  <c r="AI40" i="9"/>
  <c r="AJ40" i="9"/>
  <c r="AM40" i="9"/>
  <c r="AI41" i="9"/>
  <c r="AK41" i="9" s="1" a="1"/>
  <c r="AK41" i="9" s="1"/>
  <c r="AJ41" i="9"/>
  <c r="AM41" i="9"/>
  <c r="O42" i="9"/>
  <c r="Q42" i="9"/>
  <c r="AI42" i="9"/>
  <c r="AJ42" i="9"/>
  <c r="AM42" i="9"/>
  <c r="O43" i="9"/>
  <c r="Q43" i="9" s="1"/>
  <c r="AI43" i="9"/>
  <c r="AJ43" i="9"/>
  <c r="AM43" i="9"/>
  <c r="O44" i="9"/>
  <c r="Q44" i="9"/>
  <c r="AI44" i="9"/>
  <c r="AJ44" i="9"/>
  <c r="AM44" i="9"/>
  <c r="O45" i="9"/>
  <c r="Q45" i="9" s="1"/>
  <c r="AI45" i="9"/>
  <c r="AJ45" i="9"/>
  <c r="AM45" i="9"/>
  <c r="C46" i="9"/>
  <c r="D46" i="9"/>
  <c r="E46" i="9"/>
  <c r="F46" i="9"/>
  <c r="G46" i="9"/>
  <c r="H46" i="9"/>
  <c r="I46" i="9"/>
  <c r="J46" i="9"/>
  <c r="K46" i="9"/>
  <c r="L46" i="9"/>
  <c r="M46" i="9"/>
  <c r="N46" i="9"/>
  <c r="P46" i="9"/>
  <c r="AI46" i="9"/>
  <c r="AJ46" i="9"/>
  <c r="AM46" i="9"/>
  <c r="C47" i="9"/>
  <c r="D47" i="9"/>
  <c r="E47" i="9"/>
  <c r="F47" i="9"/>
  <c r="G47" i="9"/>
  <c r="H47" i="9"/>
  <c r="I47" i="9"/>
  <c r="J47" i="9"/>
  <c r="K47" i="9"/>
  <c r="L47" i="9"/>
  <c r="M47" i="9"/>
  <c r="N47" i="9"/>
  <c r="P47" i="9"/>
  <c r="AI47" i="9"/>
  <c r="AJ47" i="9"/>
  <c r="AK47" i="9" a="1"/>
  <c r="AK47" i="9" s="1"/>
  <c r="AM47" i="9"/>
  <c r="AI48" i="9"/>
  <c r="AJ48" i="9"/>
  <c r="AM48" i="9"/>
  <c r="AI49" i="9"/>
  <c r="AJ49" i="9"/>
  <c r="AM49" i="9"/>
  <c r="AI50" i="9"/>
  <c r="AK50" i="9" s="1" a="1"/>
  <c r="AK50" i="9" s="1"/>
  <c r="AJ50" i="9"/>
  <c r="AM50" i="9"/>
  <c r="AI51" i="9"/>
  <c r="AK51" i="9" s="1" a="1"/>
  <c r="AK51" i="9" s="1"/>
  <c r="AJ51" i="9"/>
  <c r="AM51" i="9"/>
  <c r="AI52" i="9"/>
  <c r="AJ52" i="9"/>
  <c r="AM52" i="9"/>
  <c r="AI53" i="9"/>
  <c r="AJ53" i="9"/>
  <c r="AM53" i="9"/>
  <c r="AI54" i="9"/>
  <c r="AJ54" i="9"/>
  <c r="AM54" i="9"/>
  <c r="AI55" i="9"/>
  <c r="AK55" i="9" s="1" a="1"/>
  <c r="AK55" i="9" s="1"/>
  <c r="AJ55" i="9"/>
  <c r="AM55" i="9"/>
  <c r="AI56" i="9"/>
  <c r="AJ56" i="9"/>
  <c r="AM56" i="9"/>
  <c r="AI57" i="9"/>
  <c r="AJ57" i="9"/>
  <c r="AM57" i="9"/>
  <c r="AI58" i="9"/>
  <c r="AK58" i="9" s="1" a="1"/>
  <c r="AK58" i="9" s="1"/>
  <c r="AJ58" i="9"/>
  <c r="AM58" i="9"/>
  <c r="AI59" i="9"/>
  <c r="AK59" i="9" s="1" a="1"/>
  <c r="AK59" i="9" s="1"/>
  <c r="AJ59" i="9"/>
  <c r="AM59" i="9"/>
  <c r="AI60" i="9"/>
  <c r="AJ60" i="9"/>
  <c r="AM60" i="9"/>
  <c r="AI61" i="9"/>
  <c r="AJ61" i="9"/>
  <c r="AM61" i="9"/>
  <c r="AK61" i="9" s="1" a="1"/>
  <c r="AK61" i="9" s="1"/>
  <c r="AI62" i="9"/>
  <c r="AK62" i="9" s="1" a="1"/>
  <c r="AK62" i="9" s="1"/>
  <c r="AJ62" i="9"/>
  <c r="AM62" i="9"/>
  <c r="AI63" i="9"/>
  <c r="AJ63" i="9"/>
  <c r="AM63" i="9"/>
  <c r="AI64" i="9"/>
  <c r="AJ64" i="9"/>
  <c r="AM64" i="9"/>
  <c r="AI65" i="9"/>
  <c r="AJ65" i="9"/>
  <c r="AM65" i="9"/>
  <c r="AI66" i="9"/>
  <c r="AJ66" i="9"/>
  <c r="AM66" i="9"/>
  <c r="AI67" i="9"/>
  <c r="AK67" i="9" s="1" a="1"/>
  <c r="AK67" i="9" s="1"/>
  <c r="AJ67" i="9"/>
  <c r="AM67" i="9"/>
  <c r="AI68" i="9"/>
  <c r="AJ68" i="9"/>
  <c r="AM68" i="9"/>
  <c r="AI69" i="9"/>
  <c r="AJ69" i="9"/>
  <c r="AM69" i="9"/>
  <c r="AI70" i="9"/>
  <c r="AJ70" i="9"/>
  <c r="AM70" i="9"/>
  <c r="AI71" i="9"/>
  <c r="AJ71" i="9"/>
  <c r="AM71" i="9"/>
  <c r="AI72" i="9"/>
  <c r="AJ72" i="9"/>
  <c r="AM72" i="9"/>
  <c r="AI73" i="9"/>
  <c r="AJ73" i="9"/>
  <c r="AM73" i="9"/>
  <c r="AI74" i="9"/>
  <c r="AK74" i="9" s="1" a="1"/>
  <c r="AK74" i="9" s="1"/>
  <c r="AJ74" i="9"/>
  <c r="AM74" i="9"/>
  <c r="AI75" i="9"/>
  <c r="AJ75" i="9"/>
  <c r="AM75" i="9"/>
  <c r="AI76" i="9"/>
  <c r="AJ76" i="9"/>
  <c r="AM76" i="9"/>
  <c r="AI77" i="9"/>
  <c r="AJ77" i="9"/>
  <c r="AM77" i="9"/>
  <c r="AI78" i="9"/>
  <c r="AJ78" i="9"/>
  <c r="AM78" i="9"/>
  <c r="AI79" i="9"/>
  <c r="AJ79" i="9"/>
  <c r="AM79" i="9"/>
  <c r="AI80" i="9"/>
  <c r="AJ80" i="9"/>
  <c r="AM80" i="9"/>
  <c r="AI81" i="9"/>
  <c r="AJ81" i="9"/>
  <c r="AM81" i="9"/>
  <c r="AI82" i="9"/>
  <c r="AK82" i="9" s="1" a="1"/>
  <c r="AK82" i="9" s="1"/>
  <c r="AJ82" i="9"/>
  <c r="AM82" i="9"/>
  <c r="AI83" i="9"/>
  <c r="AJ83" i="9"/>
  <c r="AM83" i="9"/>
  <c r="AI84" i="9"/>
  <c r="AJ84" i="9"/>
  <c r="AM84" i="9"/>
  <c r="AI85" i="9"/>
  <c r="AJ85" i="9"/>
  <c r="AM85" i="9"/>
  <c r="AI86" i="9"/>
  <c r="AK86" i="9" s="1" a="1"/>
  <c r="AK86" i="9" s="1"/>
  <c r="AJ86" i="9"/>
  <c r="AM86" i="9"/>
  <c r="AI87" i="9"/>
  <c r="AK87" i="9" s="1" a="1"/>
  <c r="AK87" i="9" s="1"/>
  <c r="AJ87" i="9"/>
  <c r="AM87" i="9"/>
  <c r="AI88" i="9"/>
  <c r="AJ88" i="9"/>
  <c r="AM88" i="9"/>
  <c r="AI89" i="9"/>
  <c r="AJ89" i="9"/>
  <c r="AM89" i="9"/>
  <c r="AI90" i="9"/>
  <c r="AJ90" i="9"/>
  <c r="AM90" i="9"/>
  <c r="AK90" i="9" s="1" a="1"/>
  <c r="AK90" i="9" s="1"/>
  <c r="AI91" i="9"/>
  <c r="AJ91" i="9"/>
  <c r="AM91" i="9"/>
  <c r="AI92" i="9"/>
  <c r="AJ92" i="9"/>
  <c r="AM92" i="9"/>
  <c r="AI93" i="9"/>
  <c r="AJ93" i="9"/>
  <c r="AM93" i="9"/>
  <c r="AI94" i="9"/>
  <c r="AK94" i="9" s="1" a="1"/>
  <c r="AK94" i="9" s="1"/>
  <c r="AJ94" i="9"/>
  <c r="AM94" i="9"/>
  <c r="AI95" i="9"/>
  <c r="AK95" i="9" s="1" a="1"/>
  <c r="AK95" i="9" s="1"/>
  <c r="AJ95" i="9"/>
  <c r="AM95" i="9"/>
  <c r="AI96" i="9"/>
  <c r="AJ96" i="9"/>
  <c r="AM96" i="9"/>
  <c r="AI97" i="9"/>
  <c r="AJ97" i="9"/>
  <c r="AM97" i="9"/>
  <c r="AI98" i="9"/>
  <c r="AK98" i="9" s="1" a="1"/>
  <c r="AK98" i="9" s="1"/>
  <c r="AJ98" i="9"/>
  <c r="AM98" i="9"/>
  <c r="AI99" i="9"/>
  <c r="AK99" i="9" s="1" a="1"/>
  <c r="AK99" i="9" s="1"/>
  <c r="AJ99" i="9"/>
  <c r="AM99" i="9"/>
  <c r="AI100" i="9"/>
  <c r="AJ100" i="9"/>
  <c r="AM100" i="9"/>
  <c r="AI101" i="9"/>
  <c r="AJ101" i="9"/>
  <c r="AM101" i="9"/>
  <c r="AI102" i="9"/>
  <c r="AJ102" i="9"/>
  <c r="AM102" i="9"/>
  <c r="AI103" i="9"/>
  <c r="AK103" i="9" s="1" a="1"/>
  <c r="AK103" i="9" s="1"/>
  <c r="AJ103" i="9"/>
  <c r="AM103" i="9"/>
  <c r="AI104" i="9"/>
  <c r="AJ104" i="9"/>
  <c r="AM104" i="9"/>
  <c r="AI105" i="9"/>
  <c r="AJ105" i="9"/>
  <c r="AM105" i="9"/>
  <c r="AK105" i="9" s="1" a="1"/>
  <c r="AK105" i="9" s="1"/>
  <c r="AI106" i="9"/>
  <c r="AK106" i="9" s="1" a="1"/>
  <c r="AK106" i="9" s="1"/>
  <c r="AJ106" i="9"/>
  <c r="AM106" i="9"/>
  <c r="AI107" i="9"/>
  <c r="AK107" i="9" s="1" a="1"/>
  <c r="AK107" i="9" s="1"/>
  <c r="AJ107" i="9"/>
  <c r="AM107" i="9"/>
  <c r="AI108" i="9"/>
  <c r="AJ108" i="9"/>
  <c r="AM108" i="9"/>
  <c r="AK108" i="9" s="1" a="1"/>
  <c r="AK108" i="9" s="1"/>
  <c r="AI109" i="9"/>
  <c r="AJ109" i="9"/>
  <c r="AM109" i="9"/>
  <c r="AI110" i="9"/>
  <c r="AK110" i="9" s="1" a="1"/>
  <c r="AK110" i="9" s="1"/>
  <c r="AJ110" i="9"/>
  <c r="AM110" i="9"/>
  <c r="AI111" i="9"/>
  <c r="AJ111" i="9"/>
  <c r="AM111" i="9"/>
  <c r="AI112" i="9"/>
  <c r="AJ112" i="9"/>
  <c r="AM112" i="9"/>
  <c r="AI113" i="9"/>
  <c r="AJ113" i="9"/>
  <c r="AM113" i="9"/>
  <c r="AI114" i="9"/>
  <c r="AJ114" i="9"/>
  <c r="AM114" i="9"/>
  <c r="AI115" i="9"/>
  <c r="AJ115" i="9"/>
  <c r="AM115" i="9"/>
  <c r="AI116" i="9"/>
  <c r="AJ116" i="9"/>
  <c r="AM116" i="9"/>
  <c r="AI117" i="9"/>
  <c r="AJ117" i="9"/>
  <c r="AM117" i="9"/>
  <c r="AI118" i="9"/>
  <c r="AK118" i="9" s="1" a="1"/>
  <c r="AK118" i="9" s="1"/>
  <c r="AJ118" i="9"/>
  <c r="AM118" i="9"/>
  <c r="AI119" i="9"/>
  <c r="AJ119" i="9"/>
  <c r="AM119" i="9"/>
  <c r="AI120" i="9"/>
  <c r="AJ120" i="9"/>
  <c r="AM120" i="9"/>
  <c r="AI121" i="9"/>
  <c r="AJ121" i="9"/>
  <c r="AM121" i="9"/>
  <c r="AI122" i="9"/>
  <c r="AJ122" i="9"/>
  <c r="AM122" i="9"/>
  <c r="AI123" i="9"/>
  <c r="AJ123" i="9"/>
  <c r="AM123" i="9"/>
  <c r="AI124" i="9"/>
  <c r="AJ124" i="9"/>
  <c r="AM124" i="9"/>
  <c r="AI125" i="9"/>
  <c r="AJ125" i="9"/>
  <c r="AM125" i="9"/>
  <c r="AI126" i="9"/>
  <c r="AJ126" i="9"/>
  <c r="AM126" i="9"/>
  <c r="AI127" i="9"/>
  <c r="AJ127" i="9"/>
  <c r="AM127" i="9"/>
  <c r="AI128" i="9"/>
  <c r="AJ128" i="9"/>
  <c r="AM128" i="9"/>
  <c r="AK128" i="9" s="1" a="1"/>
  <c r="AK128" i="9" s="1"/>
  <c r="AI129" i="9"/>
  <c r="AJ129" i="9"/>
  <c r="AM129" i="9"/>
  <c r="AI130" i="9"/>
  <c r="AK130" i="9" s="1" a="1"/>
  <c r="AK130" i="9" s="1"/>
  <c r="AJ130" i="9"/>
  <c r="AM130" i="9"/>
  <c r="AI131" i="9"/>
  <c r="AJ131" i="9"/>
  <c r="AM131" i="9"/>
  <c r="AI132" i="9"/>
  <c r="AJ132" i="9"/>
  <c r="AM132" i="9"/>
  <c r="AI133" i="9"/>
  <c r="AK133" i="9" s="1" a="1"/>
  <c r="AK133" i="9" s="1"/>
  <c r="AJ133" i="9"/>
  <c r="AM133" i="9"/>
  <c r="AI134" i="9"/>
  <c r="AK134" i="9" s="1" a="1"/>
  <c r="AK134" i="9" s="1"/>
  <c r="AJ134" i="9"/>
  <c r="AM134" i="9"/>
  <c r="AI135" i="9"/>
  <c r="AJ135" i="9"/>
  <c r="AM135" i="9"/>
  <c r="AI136" i="9"/>
  <c r="AJ136" i="9"/>
  <c r="AM136" i="9"/>
  <c r="AI137" i="9"/>
  <c r="AJ137" i="9"/>
  <c r="AM137" i="9"/>
  <c r="AI138" i="9"/>
  <c r="AJ138" i="9"/>
  <c r="AM138" i="9"/>
  <c r="AI139" i="9"/>
  <c r="AJ139" i="9"/>
  <c r="AM139" i="9"/>
  <c r="AI140" i="9"/>
  <c r="AJ140" i="9"/>
  <c r="AM140" i="9"/>
  <c r="AK140" i="9" s="1" a="1"/>
  <c r="AK140" i="9" s="1"/>
  <c r="AI141" i="9"/>
  <c r="AJ141" i="9"/>
  <c r="AM141" i="9"/>
  <c r="AI142" i="9"/>
  <c r="AJ142" i="9"/>
  <c r="AM142" i="9"/>
  <c r="AI143" i="9"/>
  <c r="AJ143" i="9"/>
  <c r="AM143" i="9"/>
  <c r="AI144" i="9"/>
  <c r="AK144" i="9" s="1" a="1"/>
  <c r="AK144" i="9" s="1"/>
  <c r="AJ144" i="9"/>
  <c r="AM144" i="9"/>
  <c r="AI145" i="9"/>
  <c r="AJ145" i="9"/>
  <c r="AM145" i="9"/>
  <c r="AI146" i="9"/>
  <c r="AJ146" i="9"/>
  <c r="AM146" i="9"/>
  <c r="AI147" i="9"/>
  <c r="AJ147" i="9"/>
  <c r="AM147" i="9"/>
  <c r="AI148" i="9"/>
  <c r="AJ148" i="9"/>
  <c r="AM148" i="9"/>
  <c r="AI149" i="9"/>
  <c r="AJ149" i="9"/>
  <c r="AM149" i="9"/>
  <c r="AI150" i="9"/>
  <c r="AK150" i="9" s="1" a="1"/>
  <c r="AK150" i="9" s="1"/>
  <c r="AJ150" i="9"/>
  <c r="AM150" i="9"/>
  <c r="AI151" i="9"/>
  <c r="AJ151" i="9"/>
  <c r="AM151" i="9"/>
  <c r="AI152" i="9"/>
  <c r="AJ152" i="9"/>
  <c r="AM152" i="9"/>
  <c r="AI153" i="9"/>
  <c r="AJ153" i="9"/>
  <c r="AM153" i="9"/>
  <c r="AI154" i="9"/>
  <c r="AJ154" i="9"/>
  <c r="AM154" i="9"/>
  <c r="AI155" i="9"/>
  <c r="AJ155" i="9"/>
  <c r="AM155" i="9"/>
  <c r="AI156" i="9"/>
  <c r="AJ156" i="9"/>
  <c r="AM156" i="9"/>
  <c r="AK156" i="9" s="1" a="1"/>
  <c r="AK156" i="9" s="1"/>
  <c r="AI157" i="9"/>
  <c r="AJ157" i="9"/>
  <c r="AM157" i="9"/>
  <c r="AI158" i="9"/>
  <c r="AJ158" i="9"/>
  <c r="AM158" i="9"/>
  <c r="AI159" i="9"/>
  <c r="AJ159" i="9"/>
  <c r="AM159" i="9"/>
  <c r="AI160" i="9"/>
  <c r="AJ160" i="9"/>
  <c r="AM160" i="9"/>
  <c r="AK160" i="9" s="1" a="1"/>
  <c r="AK160" i="9" s="1"/>
  <c r="AI161" i="9"/>
  <c r="AK161" i="9" s="1" a="1"/>
  <c r="AK161" i="9" s="1"/>
  <c r="AJ161" i="9"/>
  <c r="AM161" i="9"/>
  <c r="AI162" i="9"/>
  <c r="AJ162" i="9"/>
  <c r="AM162" i="9"/>
  <c r="AI163" i="9"/>
  <c r="AJ163" i="9"/>
  <c r="AM163" i="9"/>
  <c r="AI164" i="9"/>
  <c r="AJ164" i="9"/>
  <c r="AM164" i="9"/>
  <c r="AI165" i="9"/>
  <c r="AJ165" i="9"/>
  <c r="AM165" i="9"/>
  <c r="AI166" i="9"/>
  <c r="AK166" i="9" s="1" a="1"/>
  <c r="AK166" i="9" s="1"/>
  <c r="AJ166" i="9"/>
  <c r="AM166" i="9"/>
  <c r="AI167" i="9"/>
  <c r="AJ167" i="9"/>
  <c r="AM167" i="9"/>
  <c r="AI168" i="9"/>
  <c r="AJ168" i="9"/>
  <c r="AM168" i="9"/>
  <c r="AI169" i="9"/>
  <c r="AJ169" i="9"/>
  <c r="AM169" i="9"/>
  <c r="AI170" i="9"/>
  <c r="AJ170" i="9"/>
  <c r="AM170" i="9"/>
  <c r="AI171" i="9"/>
  <c r="AJ171" i="9"/>
  <c r="AM171" i="9"/>
  <c r="AI172" i="9"/>
  <c r="AJ172" i="9"/>
  <c r="AM172" i="9"/>
  <c r="AI173" i="9"/>
  <c r="AJ173" i="9"/>
  <c r="AM173" i="9"/>
  <c r="AI174" i="9"/>
  <c r="AJ174" i="9"/>
  <c r="AM174" i="9"/>
  <c r="AI175" i="9"/>
  <c r="AJ175" i="9"/>
  <c r="AM175" i="9"/>
  <c r="AI176" i="9"/>
  <c r="AK176" i="9" s="1" a="1"/>
  <c r="AK176" i="9" s="1"/>
  <c r="AJ176" i="9"/>
  <c r="AM176" i="9"/>
  <c r="AI177" i="9"/>
  <c r="AJ177" i="9"/>
  <c r="AM177" i="9"/>
  <c r="AI178" i="9"/>
  <c r="AJ178" i="9"/>
  <c r="AM178" i="9"/>
  <c r="AI179" i="9"/>
  <c r="AJ179" i="9"/>
  <c r="AM179" i="9"/>
  <c r="AI180" i="9"/>
  <c r="AJ180" i="9"/>
  <c r="AM180" i="9"/>
  <c r="AI181" i="9"/>
  <c r="AJ181" i="9"/>
  <c r="AM181" i="9"/>
  <c r="AI182" i="9"/>
  <c r="AJ182" i="9"/>
  <c r="AM182" i="9"/>
  <c r="AI183" i="9"/>
  <c r="AJ183" i="9"/>
  <c r="AM183" i="9"/>
  <c r="AI184" i="9"/>
  <c r="AJ184" i="9"/>
  <c r="AM184" i="9"/>
  <c r="AK184" i="9" s="1" a="1"/>
  <c r="AK184" i="9" s="1"/>
  <c r="AI185" i="9"/>
  <c r="AK185" i="9" s="1" a="1"/>
  <c r="AK185" i="9" s="1"/>
  <c r="AJ185" i="9"/>
  <c r="AM185" i="9"/>
  <c r="AI186" i="9"/>
  <c r="AJ186" i="9"/>
  <c r="AM186" i="9"/>
  <c r="AI187" i="9"/>
  <c r="AJ187" i="9"/>
  <c r="AM187" i="9"/>
  <c r="AI188" i="9"/>
  <c r="AJ188" i="9"/>
  <c r="AM188" i="9"/>
  <c r="AI189" i="9"/>
  <c r="AK189" i="9" s="1" a="1"/>
  <c r="AK189" i="9" s="1"/>
  <c r="AJ189" i="9"/>
  <c r="AM189" i="9"/>
  <c r="AI190" i="9"/>
  <c r="AJ190" i="9"/>
  <c r="AM190" i="9"/>
  <c r="AI191" i="9"/>
  <c r="AJ191" i="9"/>
  <c r="AM191" i="9"/>
  <c r="AI192" i="9"/>
  <c r="AJ192" i="9"/>
  <c r="AM192" i="9"/>
  <c r="AK192" i="9" s="1" a="1"/>
  <c r="AK192" i="9" s="1"/>
  <c r="AI193" i="9"/>
  <c r="AJ193" i="9"/>
  <c r="AM193" i="9"/>
  <c r="AI194" i="9"/>
  <c r="AJ194" i="9"/>
  <c r="AM194" i="9"/>
  <c r="AI195" i="9"/>
  <c r="AJ195" i="9"/>
  <c r="AM195" i="9"/>
  <c r="AI196" i="9"/>
  <c r="AJ196" i="9"/>
  <c r="AM196" i="9"/>
  <c r="AI197" i="9"/>
  <c r="AJ197" i="9"/>
  <c r="AM197" i="9"/>
  <c r="AI198" i="9"/>
  <c r="AJ198" i="9"/>
  <c r="AM198" i="9"/>
  <c r="AI199" i="9"/>
  <c r="AJ199" i="9"/>
  <c r="AM199" i="9"/>
  <c r="AI200" i="9"/>
  <c r="AJ200" i="9"/>
  <c r="AK200" i="9" a="1"/>
  <c r="AK200" i="9" s="1"/>
  <c r="AM200" i="9"/>
  <c r="AI201" i="9"/>
  <c r="AJ201" i="9"/>
  <c r="AM201" i="9"/>
  <c r="AI202" i="9"/>
  <c r="AJ202" i="9"/>
  <c r="AM202" i="9"/>
  <c r="AI203" i="9"/>
  <c r="AJ203" i="9"/>
  <c r="AM203" i="9"/>
  <c r="AI204" i="9"/>
  <c r="AJ204" i="9"/>
  <c r="AM204" i="9"/>
  <c r="AI205" i="9"/>
  <c r="AJ205" i="9"/>
  <c r="AM205" i="9"/>
  <c r="AI206" i="9"/>
  <c r="AJ206" i="9"/>
  <c r="AM206" i="9"/>
  <c r="AI207" i="9"/>
  <c r="AJ207" i="9"/>
  <c r="AM207" i="9"/>
  <c r="AI208" i="9"/>
  <c r="AK208" i="9" s="1" a="1"/>
  <c r="AK208" i="9" s="1"/>
  <c r="AJ208" i="9"/>
  <c r="AM208" i="9"/>
  <c r="AI209" i="9"/>
  <c r="AK209" i="9" s="1" a="1"/>
  <c r="AK209" i="9" s="1"/>
  <c r="AJ209" i="9"/>
  <c r="AM209" i="9"/>
  <c r="AI210" i="9"/>
  <c r="AJ210" i="9"/>
  <c r="AM210" i="9"/>
  <c r="AI211" i="9"/>
  <c r="AJ211" i="9"/>
  <c r="AM211" i="9"/>
  <c r="AI212" i="9"/>
  <c r="AJ212" i="9"/>
  <c r="AM212" i="9"/>
  <c r="AI213" i="9"/>
  <c r="AK213" i="9" s="1" a="1"/>
  <c r="AK213" i="9" s="1"/>
  <c r="AJ213" i="9"/>
  <c r="AM213" i="9"/>
  <c r="AI214" i="9"/>
  <c r="AJ214" i="9"/>
  <c r="AM214" i="9"/>
  <c r="AI215" i="9"/>
  <c r="AJ215" i="9"/>
  <c r="AM215" i="9"/>
  <c r="AI216" i="9"/>
  <c r="AJ216" i="9"/>
  <c r="AM216" i="9"/>
  <c r="AI217" i="9"/>
  <c r="AK217" i="9" s="1" a="1"/>
  <c r="AK217" i="9" s="1"/>
  <c r="AJ217" i="9"/>
  <c r="AM217" i="9"/>
  <c r="AI218" i="9"/>
  <c r="AJ218" i="9"/>
  <c r="AM218" i="9"/>
  <c r="AI219" i="9"/>
  <c r="AJ219" i="9"/>
  <c r="AM219" i="9"/>
  <c r="AI220" i="9"/>
  <c r="AJ220" i="9"/>
  <c r="AM220" i="9"/>
  <c r="AI221" i="9"/>
  <c r="AK221" i="9" s="1" a="1"/>
  <c r="AK221" i="9" s="1"/>
  <c r="AJ221" i="9"/>
  <c r="AM221" i="9"/>
  <c r="AI222" i="9"/>
  <c r="AJ222" i="9"/>
  <c r="AM222" i="9"/>
  <c r="AI223" i="9"/>
  <c r="AJ223" i="9"/>
  <c r="AM223" i="9"/>
  <c r="AI224" i="9"/>
  <c r="AJ224" i="9"/>
  <c r="AM224" i="9"/>
  <c r="AI225" i="9"/>
  <c r="AJ225" i="9"/>
  <c r="AM225" i="9"/>
  <c r="AI226" i="9"/>
  <c r="AJ226" i="9"/>
  <c r="AM226" i="9"/>
  <c r="AI227" i="9"/>
  <c r="AJ227" i="9"/>
  <c r="AM227" i="9"/>
  <c r="AI228" i="9"/>
  <c r="AJ228" i="9"/>
  <c r="AM228" i="9"/>
  <c r="AI229" i="9"/>
  <c r="AJ229" i="9"/>
  <c r="AM229" i="9"/>
  <c r="AI230" i="9"/>
  <c r="AJ230" i="9"/>
  <c r="AM230" i="9"/>
  <c r="AI231" i="9"/>
  <c r="AJ231" i="9"/>
  <c r="AM231" i="9"/>
  <c r="AI232" i="9"/>
  <c r="AK232" i="9" s="1" a="1"/>
  <c r="AK232" i="9" s="1"/>
  <c r="AJ232" i="9"/>
  <c r="AM232" i="9"/>
  <c r="AI233" i="9"/>
  <c r="AJ233" i="9"/>
  <c r="AM233" i="9"/>
  <c r="AI234" i="9"/>
  <c r="AJ234" i="9"/>
  <c r="AM234" i="9"/>
  <c r="AI235" i="9"/>
  <c r="AJ235" i="9"/>
  <c r="AM235" i="9"/>
  <c r="AI236" i="9"/>
  <c r="AJ236" i="9"/>
  <c r="AM236" i="9"/>
  <c r="AI237" i="9"/>
  <c r="AJ237" i="9"/>
  <c r="AM237" i="9"/>
  <c r="AI238" i="9"/>
  <c r="AJ238" i="9"/>
  <c r="AM238" i="9"/>
  <c r="AI239" i="9"/>
  <c r="AJ239" i="9"/>
  <c r="AM239" i="9"/>
  <c r="AI240" i="9"/>
  <c r="AJ240" i="9"/>
  <c r="AM240" i="9"/>
  <c r="AI241" i="9"/>
  <c r="AK241" i="9" s="1" a="1"/>
  <c r="AK241" i="9" s="1"/>
  <c r="AJ241" i="9"/>
  <c r="AM241" i="9"/>
  <c r="AI242" i="9"/>
  <c r="AJ242" i="9"/>
  <c r="AM242" i="9"/>
  <c r="AI243" i="9"/>
  <c r="AJ243" i="9"/>
  <c r="AM243" i="9"/>
  <c r="AI244" i="9"/>
  <c r="AJ244" i="9"/>
  <c r="AM244" i="9"/>
  <c r="AI245" i="9"/>
  <c r="AK245" i="9" s="1" a="1"/>
  <c r="AK245" i="9" s="1"/>
  <c r="AJ245" i="9"/>
  <c r="AM245" i="9"/>
  <c r="AI246" i="9"/>
  <c r="AJ246" i="9"/>
  <c r="AM246" i="9"/>
  <c r="AI247" i="9"/>
  <c r="AJ247" i="9"/>
  <c r="AM247" i="9"/>
  <c r="AI248" i="9"/>
  <c r="AJ248" i="9"/>
  <c r="AM248" i="9"/>
  <c r="AI249" i="9"/>
  <c r="AK249" i="9" s="1" a="1"/>
  <c r="AK249" i="9" s="1"/>
  <c r="AJ249" i="9"/>
  <c r="AM249" i="9"/>
  <c r="AI250" i="9"/>
  <c r="AJ250" i="9"/>
  <c r="AM250" i="9"/>
  <c r="AI251" i="9"/>
  <c r="AJ251" i="9"/>
  <c r="AM251" i="9"/>
  <c r="AI252" i="9"/>
  <c r="AJ252" i="9"/>
  <c r="AM252" i="9"/>
  <c r="AI253" i="9"/>
  <c r="AK253" i="9" s="1" a="1"/>
  <c r="AK253" i="9" s="1"/>
  <c r="AJ253" i="9"/>
  <c r="AM253" i="9"/>
  <c r="AI254" i="9"/>
  <c r="AJ254" i="9"/>
  <c r="AM254" i="9"/>
  <c r="AI255" i="9"/>
  <c r="AJ255" i="9"/>
  <c r="AM255" i="9"/>
  <c r="AI256" i="9"/>
  <c r="AJ256" i="9"/>
  <c r="AM256" i="9"/>
  <c r="AI257" i="9"/>
  <c r="AJ257" i="9"/>
  <c r="AM257" i="9"/>
  <c r="AI258" i="9"/>
  <c r="AJ258" i="9"/>
  <c r="AM258" i="9"/>
  <c r="AI259" i="9"/>
  <c r="AJ259" i="9"/>
  <c r="AM259" i="9"/>
  <c r="AI260" i="9"/>
  <c r="AJ260" i="9"/>
  <c r="AM260" i="9"/>
  <c r="AI261" i="9"/>
  <c r="AJ261" i="9"/>
  <c r="AM261" i="9"/>
  <c r="AI262" i="9"/>
  <c r="AJ262" i="9"/>
  <c r="AM262" i="9"/>
  <c r="AI263" i="9"/>
  <c r="AJ263" i="9"/>
  <c r="AM263" i="9"/>
  <c r="AI264" i="9"/>
  <c r="AK264" i="9" s="1" a="1"/>
  <c r="AK264" i="9" s="1"/>
  <c r="AJ264" i="9"/>
  <c r="AM264" i="9"/>
  <c r="AI265" i="9"/>
  <c r="AK265" i="9" s="1" a="1"/>
  <c r="AK265" i="9" s="1"/>
  <c r="AJ265" i="9"/>
  <c r="AM265" i="9"/>
  <c r="AF266" i="9"/>
  <c r="AI266" i="9"/>
  <c r="AJ266" i="9"/>
  <c r="AM266" i="9"/>
  <c r="AI267" i="9"/>
  <c r="AJ267" i="9"/>
  <c r="AM267" i="9"/>
  <c r="AI268" i="9"/>
  <c r="AK268" i="9" s="1" a="1"/>
  <c r="AK268" i="9" s="1"/>
  <c r="AJ268" i="9"/>
  <c r="AM268" i="9"/>
  <c r="AI269" i="9"/>
  <c r="AK269" i="9" s="1" a="1"/>
  <c r="AK269" i="9" s="1"/>
  <c r="AJ269" i="9"/>
  <c r="AM269" i="9"/>
  <c r="AI270" i="9"/>
  <c r="AJ270" i="9"/>
  <c r="AM270" i="9"/>
  <c r="AI271" i="9"/>
  <c r="AJ271" i="9"/>
  <c r="AM271" i="9"/>
  <c r="AI272" i="9"/>
  <c r="AJ272" i="9"/>
  <c r="AM272" i="9"/>
  <c r="AK272" i="9" s="1" a="1"/>
  <c r="AK272" i="9" s="1"/>
  <c r="AI273" i="9"/>
  <c r="AJ273" i="9"/>
  <c r="AM273" i="9"/>
  <c r="AK273" i="9" s="1" a="1"/>
  <c r="AK273" i="9" s="1"/>
  <c r="AI274" i="9"/>
  <c r="AJ274" i="9"/>
  <c r="AM274" i="9"/>
  <c r="AI275" i="9"/>
  <c r="AJ275" i="9"/>
  <c r="AM275" i="9"/>
  <c r="AI276" i="9"/>
  <c r="AJ276" i="9"/>
  <c r="AM276" i="9"/>
  <c r="AK276" i="9" s="1" a="1"/>
  <c r="AK276" i="9" s="1"/>
  <c r="AI277" i="9"/>
  <c r="AJ277" i="9"/>
  <c r="AM277" i="9"/>
  <c r="AI278" i="9"/>
  <c r="AJ278" i="9"/>
  <c r="AM278" i="9"/>
  <c r="AI279" i="9"/>
  <c r="AJ279" i="9"/>
  <c r="AM279" i="9"/>
  <c r="AI280" i="9"/>
  <c r="AJ280" i="9"/>
  <c r="AK280" i="9" a="1"/>
  <c r="AK280" i="9" s="1"/>
  <c r="AM280" i="9"/>
  <c r="AI281" i="9"/>
  <c r="AJ281" i="9"/>
  <c r="AM281" i="9"/>
  <c r="AI282" i="9"/>
  <c r="AJ282" i="9"/>
  <c r="AM282" i="9"/>
  <c r="AK282" i="9" s="1" a="1"/>
  <c r="AK282" i="9" s="1"/>
  <c r="AI283" i="9"/>
  <c r="AK283" i="9" s="1" a="1"/>
  <c r="AK283" i="9" s="1"/>
  <c r="AJ283" i="9"/>
  <c r="AM283" i="9"/>
  <c r="AI284" i="9"/>
  <c r="AK284" i="9" s="1" a="1"/>
  <c r="AK284" i="9" s="1"/>
  <c r="AJ284" i="9"/>
  <c r="AM284" i="9"/>
  <c r="AI285" i="9"/>
  <c r="AJ285" i="9"/>
  <c r="AM285" i="9"/>
  <c r="AI286" i="9"/>
  <c r="AJ286" i="9"/>
  <c r="AM286" i="9"/>
  <c r="AI287" i="9"/>
  <c r="AJ287" i="9"/>
  <c r="AM287" i="9"/>
  <c r="AI288" i="9"/>
  <c r="AJ288" i="9"/>
  <c r="AM288" i="9"/>
  <c r="AI289" i="9"/>
  <c r="AJ289" i="9"/>
  <c r="AM289" i="9"/>
  <c r="AI290" i="9"/>
  <c r="AJ290" i="9"/>
  <c r="AM290" i="9"/>
  <c r="AI291" i="9"/>
  <c r="AJ291" i="9"/>
  <c r="AM291" i="9"/>
  <c r="AI292" i="9"/>
  <c r="AK292" i="9" s="1" a="1"/>
  <c r="AK292" i="9" s="1"/>
  <c r="AJ292" i="9"/>
  <c r="AM292" i="9"/>
  <c r="AI293" i="9"/>
  <c r="AK293" i="9" s="1" a="1"/>
  <c r="AK293" i="9" s="1"/>
  <c r="AJ293" i="9"/>
  <c r="AM293" i="9"/>
  <c r="AI294" i="9"/>
  <c r="AJ294" i="9"/>
  <c r="AM294" i="9"/>
  <c r="AI295" i="9"/>
  <c r="AJ295" i="9"/>
  <c r="AM295" i="9"/>
  <c r="AK295" i="9" s="1" a="1"/>
  <c r="AK295" i="9" s="1"/>
  <c r="AI296" i="9"/>
  <c r="AJ296" i="9"/>
  <c r="AK296" i="9" a="1"/>
  <c r="AK296" i="9"/>
  <c r="AM296" i="9"/>
  <c r="AI297" i="9"/>
  <c r="AJ297" i="9"/>
  <c r="AM297" i="9"/>
  <c r="AK297" i="9" s="1" a="1"/>
  <c r="AK297" i="9" s="1"/>
  <c r="AI298" i="9"/>
  <c r="AJ298" i="9"/>
  <c r="AM298" i="9"/>
  <c r="AK298" i="9" s="1" a="1"/>
  <c r="AK298" i="9" s="1"/>
  <c r="AI299" i="9"/>
  <c r="AJ299" i="9"/>
  <c r="AM299" i="9"/>
  <c r="AI300" i="9"/>
  <c r="AJ300" i="9"/>
  <c r="AM300" i="9"/>
  <c r="AI301" i="9"/>
  <c r="AJ301" i="9"/>
  <c r="AM301" i="9"/>
  <c r="AI302" i="9"/>
  <c r="AJ302" i="9"/>
  <c r="AM302" i="9"/>
  <c r="AK302" i="9" s="1" a="1"/>
  <c r="AK302" i="9" s="1"/>
  <c r="AI303" i="9"/>
  <c r="AJ303" i="9"/>
  <c r="AM303" i="9"/>
  <c r="AI304" i="9"/>
  <c r="AJ304" i="9"/>
  <c r="AM304" i="9"/>
  <c r="AI305" i="9"/>
  <c r="AJ305" i="9"/>
  <c r="AM305" i="9"/>
  <c r="AI306" i="9"/>
  <c r="AJ306" i="9"/>
  <c r="AM306" i="9"/>
  <c r="AK306" i="9" s="1" a="1"/>
  <c r="AK306" i="9" s="1"/>
  <c r="AI307" i="9"/>
  <c r="AK307" i="9" s="1" a="1"/>
  <c r="AK307" i="9" s="1"/>
  <c r="AJ307" i="9"/>
  <c r="AM307" i="9"/>
  <c r="AI308" i="9"/>
  <c r="AJ308" i="9"/>
  <c r="AM308" i="9"/>
  <c r="AI309" i="9"/>
  <c r="AJ309" i="9"/>
  <c r="AM309" i="9"/>
  <c r="AI310" i="9"/>
  <c r="AJ310" i="9"/>
  <c r="AM310" i="9"/>
  <c r="AI311" i="9"/>
  <c r="AJ311" i="9"/>
  <c r="AM311" i="9"/>
  <c r="AI312" i="9"/>
  <c r="AJ312" i="9"/>
  <c r="AM312" i="9"/>
  <c r="AI313" i="9"/>
  <c r="AJ313" i="9"/>
  <c r="AM313" i="9"/>
  <c r="AI314" i="9"/>
  <c r="AJ314" i="9"/>
  <c r="AM314" i="9"/>
  <c r="AI315" i="9"/>
  <c r="AK315" i="9" s="1" a="1"/>
  <c r="AK315" i="9" s="1"/>
  <c r="AJ315" i="9"/>
  <c r="AM315" i="9"/>
  <c r="AI316" i="9"/>
  <c r="AJ316" i="9"/>
  <c r="AM316" i="9"/>
  <c r="AI317" i="9"/>
  <c r="AJ317" i="9"/>
  <c r="AM317" i="9"/>
  <c r="AI318" i="9"/>
  <c r="AK318" i="9" s="1" a="1"/>
  <c r="AK318" i="9" s="1"/>
  <c r="AJ318" i="9"/>
  <c r="AM318" i="9"/>
  <c r="AI319" i="9"/>
  <c r="AJ319" i="9"/>
  <c r="AK319" i="9" a="1"/>
  <c r="AK319" i="9" s="1"/>
  <c r="AM319" i="9"/>
  <c r="AI320" i="9"/>
  <c r="AJ320" i="9"/>
  <c r="AM320" i="9"/>
  <c r="AK320" i="9" s="1" a="1"/>
  <c r="AK320" i="9" s="1"/>
  <c r="AI321" i="9"/>
  <c r="AJ321" i="9"/>
  <c r="AM321" i="9"/>
  <c r="AI322" i="9"/>
  <c r="AJ322" i="9"/>
  <c r="AM322" i="9"/>
  <c r="AI323" i="9"/>
  <c r="AJ323" i="9"/>
  <c r="AM323" i="9"/>
  <c r="AK323" i="9" s="1" a="1"/>
  <c r="AK323" i="9" s="1"/>
  <c r="AI324" i="9"/>
  <c r="AJ324" i="9"/>
  <c r="AM324" i="9"/>
  <c r="AI325" i="9"/>
  <c r="AJ325" i="9"/>
  <c r="AM325" i="9"/>
  <c r="AF326" i="9"/>
  <c r="AI326" i="9"/>
  <c r="AJ326" i="9"/>
  <c r="AM326" i="9"/>
  <c r="AI327" i="9"/>
  <c r="AJ327" i="9"/>
  <c r="AM327" i="9"/>
  <c r="AI328" i="9"/>
  <c r="AJ328" i="9"/>
  <c r="AM328" i="9"/>
  <c r="AK328" i="9" s="1" a="1"/>
  <c r="AK328" i="9" s="1"/>
  <c r="AI329" i="9"/>
  <c r="AJ329" i="9"/>
  <c r="AM329" i="9"/>
  <c r="AK329" i="9" s="1" a="1"/>
  <c r="AK329" i="9" s="1"/>
  <c r="AI330" i="9"/>
  <c r="AJ330" i="9"/>
  <c r="AM330" i="9"/>
  <c r="AI331" i="9"/>
  <c r="AJ331" i="9"/>
  <c r="AM331" i="9"/>
  <c r="AI332" i="9"/>
  <c r="AJ332" i="9"/>
  <c r="AM332" i="9"/>
  <c r="AK332" i="9" s="1" a="1"/>
  <c r="AK332" i="9" s="1"/>
  <c r="AI333" i="9"/>
  <c r="AJ333" i="9"/>
  <c r="AM333" i="9"/>
  <c r="AI334" i="9"/>
  <c r="AJ334" i="9"/>
  <c r="AM334" i="9"/>
  <c r="AI335" i="9"/>
  <c r="AJ335" i="9"/>
  <c r="AM335" i="9"/>
  <c r="AI336" i="9"/>
  <c r="AJ336" i="9"/>
  <c r="AM336" i="9"/>
  <c r="AI337" i="9"/>
  <c r="AJ337" i="9"/>
  <c r="AM337" i="9"/>
  <c r="AI338" i="9"/>
  <c r="AK338" i="9" s="1" a="1"/>
  <c r="AK338" i="9" s="1"/>
  <c r="AJ338" i="9"/>
  <c r="AM338" i="9"/>
  <c r="AI339" i="9"/>
  <c r="AJ339" i="9"/>
  <c r="AM339" i="9"/>
  <c r="AI340" i="9"/>
  <c r="AJ340" i="9"/>
  <c r="AM340" i="9"/>
  <c r="AI341" i="9"/>
  <c r="AJ341" i="9"/>
  <c r="AM341" i="9"/>
  <c r="AK341" i="9" s="1" a="1"/>
  <c r="AK341" i="9" s="1"/>
  <c r="AI342" i="9"/>
  <c r="AK342" i="9" s="1" a="1"/>
  <c r="AK342" i="9" s="1"/>
  <c r="AJ342" i="9"/>
  <c r="AM342" i="9"/>
  <c r="AI343" i="9"/>
  <c r="AJ343" i="9"/>
  <c r="AK343" i="9" a="1"/>
  <c r="AK343" i="9" s="1"/>
  <c r="AM343" i="9"/>
  <c r="AI344" i="9"/>
  <c r="AJ344" i="9"/>
  <c r="AM344" i="9"/>
  <c r="AK344" i="9" s="1" a="1"/>
  <c r="AK344" i="9" s="1"/>
  <c r="AI345" i="9"/>
  <c r="AJ345" i="9"/>
  <c r="AM345" i="9"/>
  <c r="AI346" i="9"/>
  <c r="AJ346" i="9"/>
  <c r="AM346" i="9"/>
  <c r="AI347" i="9"/>
  <c r="AJ347" i="9"/>
  <c r="AM347" i="9"/>
  <c r="AI348" i="9"/>
  <c r="AJ348" i="9"/>
  <c r="AM348" i="9"/>
  <c r="AK348" i="9" s="1" a="1"/>
  <c r="AK348" i="9" s="1"/>
  <c r="AI349" i="9"/>
  <c r="AJ349" i="9"/>
  <c r="AM349" i="9"/>
  <c r="AI350" i="9"/>
  <c r="AJ350" i="9"/>
  <c r="AM350" i="9"/>
  <c r="AI351" i="9"/>
  <c r="AJ351" i="9"/>
  <c r="AM351" i="9"/>
  <c r="AI352" i="9"/>
  <c r="AJ352" i="9"/>
  <c r="AM352" i="9"/>
  <c r="AI353" i="9"/>
  <c r="AJ353" i="9"/>
  <c r="AM353" i="9"/>
  <c r="AI354" i="9"/>
  <c r="AK354" i="9" s="1" a="1"/>
  <c r="AK354" i="9" s="1"/>
  <c r="AJ354" i="9"/>
  <c r="AM354" i="9"/>
  <c r="AI355" i="9"/>
  <c r="AK355" i="9" s="1" a="1"/>
  <c r="AK355" i="9" s="1"/>
  <c r="AJ355" i="9"/>
  <c r="AM355" i="9"/>
  <c r="AI356" i="9"/>
  <c r="AJ356" i="9"/>
  <c r="AM356" i="9"/>
  <c r="AI357" i="9"/>
  <c r="AJ357" i="9"/>
  <c r="AM357" i="9"/>
  <c r="AI358" i="9"/>
  <c r="AK358" i="9" s="1" a="1"/>
  <c r="AK358" i="9" s="1"/>
  <c r="AJ358" i="9"/>
  <c r="AM358" i="9"/>
  <c r="AI359" i="9"/>
  <c r="AK359" i="9" s="1" a="1"/>
  <c r="AK359" i="9" s="1"/>
  <c r="AJ359" i="9"/>
  <c r="AM359" i="9"/>
  <c r="AI360" i="9"/>
  <c r="AJ360" i="9"/>
  <c r="AM360" i="9"/>
  <c r="AI361" i="9"/>
  <c r="AJ361" i="9"/>
  <c r="AM361" i="9"/>
  <c r="AI362" i="9"/>
  <c r="AJ362" i="9"/>
  <c r="AM362" i="9"/>
  <c r="AI363" i="9"/>
  <c r="AJ363" i="9"/>
  <c r="AM363" i="9"/>
  <c r="AI364" i="9"/>
  <c r="AJ364" i="9"/>
  <c r="AM364" i="9"/>
  <c r="AI365" i="9"/>
  <c r="AJ365" i="9"/>
  <c r="AM365" i="9"/>
  <c r="AI366" i="9"/>
  <c r="AJ366" i="9"/>
  <c r="AM366" i="9"/>
  <c r="AI367" i="9"/>
  <c r="AJ367" i="9"/>
  <c r="AM367" i="9"/>
  <c r="AI368" i="9"/>
  <c r="AJ368" i="9"/>
  <c r="AM368" i="9"/>
  <c r="AI369" i="9"/>
  <c r="AJ369" i="9"/>
  <c r="AM369" i="9"/>
  <c r="AI370" i="9"/>
  <c r="AK370" i="9" s="1" a="1"/>
  <c r="AK370" i="9" s="1"/>
  <c r="AJ370" i="9"/>
  <c r="AM370" i="9"/>
  <c r="AI371" i="9"/>
  <c r="AJ371" i="9"/>
  <c r="AM371" i="9"/>
  <c r="AI372" i="9"/>
  <c r="AJ372" i="9"/>
  <c r="AM372" i="9"/>
  <c r="AI373" i="9"/>
  <c r="AJ373" i="9"/>
  <c r="AM373" i="9"/>
  <c r="O47" i="9" l="1"/>
  <c r="Q47" i="9" s="1"/>
  <c r="O37" i="9"/>
  <c r="Q37" i="9" s="1"/>
  <c r="AK251" i="9" a="1"/>
  <c r="AK251" i="9" s="1"/>
  <c r="AK243" i="9" a="1"/>
  <c r="AK243" i="9" s="1"/>
  <c r="AK92" i="9" a="1"/>
  <c r="AK92" i="9" s="1"/>
  <c r="AK37" i="9" a="1"/>
  <c r="AK37" i="9" s="1"/>
  <c r="AK35" i="9" a="1"/>
  <c r="AK35" i="9" s="1"/>
  <c r="AK360" i="9" a="1"/>
  <c r="AK360" i="9" s="1"/>
  <c r="AK345" i="9" a="1"/>
  <c r="AK345" i="9" s="1"/>
  <c r="AK373" i="9" a="1"/>
  <c r="AK373" i="9" s="1"/>
  <c r="AK317" i="9" a="1"/>
  <c r="AK317" i="9" s="1"/>
  <c r="AK312" i="9" a="1"/>
  <c r="AK312" i="9" s="1"/>
  <c r="AK181" i="9" a="1"/>
  <c r="AK181" i="9" s="1"/>
  <c r="AK165" i="9" a="1"/>
  <c r="AK165" i="9" s="1"/>
  <c r="AK149" i="9" a="1"/>
  <c r="AK149" i="9" s="1"/>
  <c r="AK96" i="9" a="1"/>
  <c r="AK96" i="9" s="1"/>
  <c r="AK91" i="9" a="1"/>
  <c r="AK91" i="9" s="1"/>
  <c r="AK75" i="9" a="1"/>
  <c r="AK75" i="9" s="1"/>
  <c r="AK70" i="9" a="1"/>
  <c r="AK70" i="9" s="1"/>
  <c r="AK54" i="9" a="1"/>
  <c r="AK54" i="9" s="1"/>
  <c r="AK14" i="9" a="1"/>
  <c r="AK14" i="9" s="1"/>
  <c r="AK111" i="9" a="1"/>
  <c r="AK111" i="9" s="1"/>
  <c r="AK311" i="9" a="1"/>
  <c r="AK311" i="9" s="1"/>
  <c r="AK364" i="9" a="1"/>
  <c r="AK364" i="9" s="1"/>
  <c r="AK357" i="9" a="1"/>
  <c r="AK357" i="9" s="1"/>
  <c r="AK288" i="9" a="1"/>
  <c r="AK288" i="9" s="1"/>
  <c r="AK361" i="9" a="1"/>
  <c r="AK361" i="9" s="1"/>
  <c r="AK308" i="9" a="1"/>
  <c r="AK308" i="9" s="1"/>
  <c r="AK177" i="9" a="1"/>
  <c r="AK177" i="9" s="1"/>
  <c r="AK145" i="9" a="1"/>
  <c r="AK145" i="9" s="1"/>
  <c r="AK79" i="9" a="1"/>
  <c r="AK79" i="9" s="1"/>
  <c r="AK13" i="9" a="1"/>
  <c r="AK13" i="9" s="1"/>
  <c r="AK9" i="9" a="1"/>
  <c r="AK9" i="9" s="1"/>
  <c r="AK7" i="9" a="1"/>
  <c r="AK7" i="9" s="1"/>
  <c r="AK80" i="9" a="1"/>
  <c r="AK80" i="9" s="1"/>
  <c r="AK371" i="9" a="1"/>
  <c r="AK371" i="9" s="1"/>
  <c r="AK366" i="9" a="1"/>
  <c r="AK366" i="9" s="1"/>
  <c r="AK346" i="9" a="1"/>
  <c r="AK346" i="9" s="1"/>
  <c r="AK339" i="9" a="1"/>
  <c r="AK339" i="9" s="1"/>
  <c r="AK334" i="9" a="1"/>
  <c r="AK334" i="9" s="1"/>
  <c r="AK326" i="9" a="1"/>
  <c r="AK326" i="9" s="1"/>
  <c r="AK309" i="9" a="1"/>
  <c r="AK309" i="9" s="1"/>
  <c r="AK299" i="9" a="1"/>
  <c r="AK299" i="9" s="1"/>
  <c r="AK256" i="9" a="1"/>
  <c r="AK256" i="9" s="1"/>
  <c r="AK248" i="9" a="1"/>
  <c r="AK248" i="9" s="1"/>
  <c r="AK240" i="9" a="1"/>
  <c r="AK240" i="9" s="1"/>
  <c r="AK182" i="9" a="1"/>
  <c r="AK182" i="9" s="1"/>
  <c r="AK174" i="9" a="1"/>
  <c r="AK174" i="9" s="1"/>
  <c r="AK158" i="9" a="1"/>
  <c r="AK158" i="9" s="1"/>
  <c r="AK142" i="9" a="1"/>
  <c r="AK142" i="9" s="1"/>
  <c r="AK77" i="9" a="1"/>
  <c r="AK77" i="9" s="1"/>
  <c r="AK57" i="9" a="1"/>
  <c r="AK57" i="9" s="1"/>
  <c r="AK45" i="9" a="1"/>
  <c r="AK45" i="9" s="1"/>
  <c r="AK26" i="9" a="1"/>
  <c r="AK26" i="9" s="1"/>
  <c r="AK25" i="9" a="1"/>
  <c r="AK25" i="9" s="1"/>
  <c r="AK24" i="9" a="1"/>
  <c r="AK24" i="9" s="1"/>
  <c r="AK363" i="9" a="1"/>
  <c r="AK363" i="9" s="1"/>
  <c r="AK351" i="9" a="1"/>
  <c r="AK351" i="9" s="1"/>
  <c r="AK331" i="9" a="1"/>
  <c r="AK331" i="9" s="1"/>
  <c r="AK275" i="9" a="1"/>
  <c r="AK275" i="9" s="1"/>
  <c r="AK224" i="9" a="1"/>
  <c r="AK224" i="9" s="1"/>
  <c r="AK216" i="9" a="1"/>
  <c r="AK216" i="9" s="1"/>
  <c r="AK123" i="9" a="1"/>
  <c r="AK123" i="9" s="1"/>
  <c r="AK63" i="9" a="1"/>
  <c r="AK63" i="9" s="1"/>
  <c r="AK48" i="9" a="1"/>
  <c r="AK48" i="9" s="1"/>
  <c r="AK2" i="9" a="1"/>
  <c r="AK2" i="9" s="1"/>
  <c r="AK362" i="9" a="1"/>
  <c r="AK362" i="9" s="1"/>
  <c r="AK330" i="9" a="1"/>
  <c r="AK330" i="9" s="1"/>
  <c r="AK303" i="9" a="1"/>
  <c r="AK303" i="9" s="1"/>
  <c r="AK267" i="9" a="1"/>
  <c r="AK267" i="9" s="1"/>
  <c r="AK138" i="9" a="1"/>
  <c r="AK138" i="9" s="1"/>
  <c r="AK122" i="9" a="1"/>
  <c r="AK122" i="9" s="1"/>
  <c r="AK109" i="9" a="1"/>
  <c r="AK109" i="9" s="1"/>
  <c r="AK102" i="9" a="1"/>
  <c r="AK102" i="9" s="1"/>
  <c r="AK89" i="9" a="1"/>
  <c r="AK89" i="9" s="1"/>
  <c r="AK60" i="9" a="1"/>
  <c r="AK60" i="9" s="1"/>
  <c r="AK23" i="9" a="1"/>
  <c r="AK23" i="9" s="1"/>
  <c r="AK350" i="9" a="1"/>
  <c r="AK350" i="9" s="1"/>
  <c r="AK367" i="9" a="1"/>
  <c r="AK367" i="9" s="1"/>
  <c r="AK347" i="9" a="1"/>
  <c r="AK347" i="9" s="1"/>
  <c r="AK335" i="9" a="1"/>
  <c r="AK335" i="9" s="1"/>
  <c r="AK310" i="9" a="1"/>
  <c r="AK310" i="9" s="1"/>
  <c r="AK300" i="9" a="1"/>
  <c r="AK300" i="9" s="1"/>
  <c r="AK291" i="9" a="1"/>
  <c r="AK291" i="9" s="1"/>
  <c r="AK271" i="9" a="1"/>
  <c r="AK271" i="9" s="1"/>
  <c r="AK127" i="9" a="1"/>
  <c r="AK127" i="9" s="1"/>
  <c r="AK42" i="9" a="1"/>
  <c r="AK42" i="9" s="1"/>
  <c r="AK372" i="9" a="1"/>
  <c r="AK372" i="9" s="1"/>
  <c r="AK353" i="9" a="1"/>
  <c r="AK353" i="9" s="1"/>
  <c r="AK340" i="9" a="1"/>
  <c r="AK340" i="9" s="1"/>
  <c r="AK327" i="9" a="1"/>
  <c r="AK327" i="9" s="1"/>
  <c r="AK325" i="9" a="1"/>
  <c r="AK325" i="9" s="1"/>
  <c r="AK316" i="9" a="1"/>
  <c r="AK316" i="9" s="1"/>
  <c r="AK314" i="9" a="1"/>
  <c r="AK314" i="9" s="1"/>
  <c r="AK281" i="9" a="1"/>
  <c r="AK281" i="9" s="1"/>
  <c r="AK279" i="9" a="1"/>
  <c r="AK279" i="9" s="1"/>
  <c r="AK277" i="9" a="1"/>
  <c r="AK277" i="9" s="1"/>
  <c r="AK259" i="9" a="1"/>
  <c r="AK259" i="9" s="1"/>
  <c r="AK257" i="9" a="1"/>
  <c r="AK257" i="9" s="1"/>
  <c r="AK229" i="9" a="1"/>
  <c r="AK229" i="9" s="1"/>
  <c r="AK193" i="9" a="1"/>
  <c r="AK193" i="9" s="1"/>
  <c r="AK169" i="9" a="1"/>
  <c r="AK169" i="9" s="1"/>
  <c r="AK157" i="9" a="1"/>
  <c r="AK157" i="9" s="1"/>
  <c r="AK146" i="9" a="1"/>
  <c r="AK146" i="9" s="1"/>
  <c r="AK139" i="9" a="1"/>
  <c r="AK139" i="9" s="1"/>
  <c r="AK115" i="9" a="1"/>
  <c r="AK115" i="9" s="1"/>
  <c r="AK76" i="9" a="1"/>
  <c r="AK76" i="9" s="1"/>
  <c r="AK64" i="9" a="1"/>
  <c r="AK64" i="9" s="1"/>
  <c r="O46" i="9"/>
  <c r="Q46" i="9" s="1"/>
  <c r="AK38" i="9" a="1"/>
  <c r="AK38" i="9" s="1"/>
  <c r="AK12" i="9" a="1"/>
  <c r="AK12" i="9" s="1"/>
  <c r="O36" i="9"/>
  <c r="Q36" i="9" s="1"/>
  <c r="AK8" i="9" a="1"/>
  <c r="AK8" i="9" s="1"/>
  <c r="AK365" i="9" a="1"/>
  <c r="AK365" i="9" s="1"/>
  <c r="AK333" i="9" a="1"/>
  <c r="AK333" i="9" s="1"/>
  <c r="AK324" i="9" a="1"/>
  <c r="AK324" i="9" s="1"/>
  <c r="AK322" i="9" a="1"/>
  <c r="AK322" i="9" s="1"/>
  <c r="AK304" i="9" a="1"/>
  <c r="AK304" i="9" s="1"/>
  <c r="AK289" i="9" a="1"/>
  <c r="AK289" i="9" s="1"/>
  <c r="AK287" i="9" a="1"/>
  <c r="AK287" i="9" s="1"/>
  <c r="AK285" i="9" a="1"/>
  <c r="AK285" i="9" s="1"/>
  <c r="AK235" i="9" a="1"/>
  <c r="AK235" i="9" s="1"/>
  <c r="AK233" i="9" a="1"/>
  <c r="AK233" i="9" s="1"/>
  <c r="AK205" i="9" a="1"/>
  <c r="AK205" i="9" s="1"/>
  <c r="AK175" i="9" a="1"/>
  <c r="AK175" i="9" s="1"/>
  <c r="AK168" i="9" a="1"/>
  <c r="AK168" i="9" s="1"/>
  <c r="AK143" i="9" a="1"/>
  <c r="AK143" i="9" s="1"/>
  <c r="AK131" i="9" a="1"/>
  <c r="AK131" i="9" s="1"/>
  <c r="AK126" i="9" a="1"/>
  <c r="AK126" i="9" s="1"/>
  <c r="AK121" i="9" a="1"/>
  <c r="AK121" i="9" s="1"/>
  <c r="AK119" i="9" a="1"/>
  <c r="AK119" i="9" s="1"/>
  <c r="AK114" i="9" a="1"/>
  <c r="AK114" i="9" s="1"/>
  <c r="AK83" i="9" a="1"/>
  <c r="AK83" i="9" s="1"/>
  <c r="AK34" i="9" a="1"/>
  <c r="AK34" i="9" s="1"/>
  <c r="AK29" i="9" a="1"/>
  <c r="AK29" i="9" s="1"/>
  <c r="AK17" i="9" a="1"/>
  <c r="AK17" i="9" s="1"/>
  <c r="AK10" i="9" a="1"/>
  <c r="AK10" i="9" s="1"/>
  <c r="AK352" i="9" a="1"/>
  <c r="AK352" i="9" s="1"/>
  <c r="AK369" i="9" a="1"/>
  <c r="AK369" i="9" s="1"/>
  <c r="AK356" i="9" a="1"/>
  <c r="AK356" i="9" s="1"/>
  <c r="AK337" i="9" a="1"/>
  <c r="AK337" i="9" s="1"/>
  <c r="AK261" i="9" a="1"/>
  <c r="AK261" i="9" s="1"/>
  <c r="AK227" i="9" a="1"/>
  <c r="AK227" i="9" s="1"/>
  <c r="AK225" i="9" a="1"/>
  <c r="AK225" i="9" s="1"/>
  <c r="AK197" i="9" a="1"/>
  <c r="AK197" i="9" s="1"/>
  <c r="AK173" i="9" a="1"/>
  <c r="AK173" i="9" s="1"/>
  <c r="AK162" i="9" a="1"/>
  <c r="AK162" i="9" s="1"/>
  <c r="AK153" i="9" a="1"/>
  <c r="AK153" i="9" s="1"/>
  <c r="AK141" i="9" a="1"/>
  <c r="AK141" i="9" s="1"/>
  <c r="AK125" i="9" a="1"/>
  <c r="AK125" i="9" s="1"/>
  <c r="AK78" i="9" a="1"/>
  <c r="AK78" i="9" s="1"/>
  <c r="AK73" i="9" a="1"/>
  <c r="AK73" i="9" s="1"/>
  <c r="AK71" i="9" a="1"/>
  <c r="AK71" i="9" s="1"/>
  <c r="AK66" i="9" a="1"/>
  <c r="AK66" i="9" s="1"/>
  <c r="AK46" i="9" a="1"/>
  <c r="AK46" i="9" s="1"/>
  <c r="AK40" i="9" a="1"/>
  <c r="AK40" i="9" s="1"/>
  <c r="AK31" i="9" a="1"/>
  <c r="AK31" i="9" s="1"/>
  <c r="AK11" i="9" a="1"/>
  <c r="AK11" i="9" s="1"/>
  <c r="AK183" i="9" a="1"/>
  <c r="AK183" i="9" s="1"/>
  <c r="AK368" i="9" a="1"/>
  <c r="AK368" i="9" s="1"/>
  <c r="AK349" i="9" a="1"/>
  <c r="AK349" i="9" s="1"/>
  <c r="AK336" i="9" a="1"/>
  <c r="AK336" i="9" s="1"/>
  <c r="AK301" i="9" a="1"/>
  <c r="AK301" i="9" s="1"/>
  <c r="AK237" i="9" a="1"/>
  <c r="AK237" i="9" s="1"/>
  <c r="AK201" i="9" a="1"/>
  <c r="AK201" i="9" s="1"/>
  <c r="AK159" i="9" a="1"/>
  <c r="AK159" i="9" s="1"/>
  <c r="AK152" i="9" a="1"/>
  <c r="AK152" i="9" s="1"/>
  <c r="AK124" i="9" a="1"/>
  <c r="AK124" i="9" s="1"/>
  <c r="AK112" i="9" a="1"/>
  <c r="AK112" i="9" s="1"/>
  <c r="AK93" i="9" a="1"/>
  <c r="AK93" i="9" s="1"/>
  <c r="AK44" i="9" a="1"/>
  <c r="AK44" i="9" s="1"/>
  <c r="AK36" i="9" a="1"/>
  <c r="AK36" i="9" s="1"/>
  <c r="AK33" i="9" a="1"/>
  <c r="AK33" i="9" s="1"/>
  <c r="AK27" i="9" a="1"/>
  <c r="AK27" i="9" s="1"/>
  <c r="AK132" i="9" a="1"/>
  <c r="AK132" i="9" s="1"/>
  <c r="AK262" i="9" a="1"/>
  <c r="AK262" i="9" s="1"/>
  <c r="AK254" i="9" a="1"/>
  <c r="AK254" i="9" s="1"/>
  <c r="AK246" i="9" a="1"/>
  <c r="AK246" i="9" s="1"/>
  <c r="AK238" i="9" a="1"/>
  <c r="AK238" i="9" s="1"/>
  <c r="AK230" i="9" a="1"/>
  <c r="AK230" i="9" s="1"/>
  <c r="AK222" i="9" a="1"/>
  <c r="AK222" i="9" s="1"/>
  <c r="AK214" i="9" a="1"/>
  <c r="AK214" i="9" s="1"/>
  <c r="AK206" i="9" a="1"/>
  <c r="AK206" i="9" s="1"/>
  <c r="AK198" i="9" a="1"/>
  <c r="AK198" i="9" s="1"/>
  <c r="AK190" i="9" a="1"/>
  <c r="AK190" i="9" s="1"/>
  <c r="AK167" i="9" a="1"/>
  <c r="AK167" i="9" s="1"/>
  <c r="AK163" i="9" a="1"/>
  <c r="AK163" i="9" s="1"/>
  <c r="AK151" i="9" a="1"/>
  <c r="AK151" i="9" s="1"/>
  <c r="AK135" i="9" a="1"/>
  <c r="AK135" i="9" s="1"/>
  <c r="AK129" i="9" a="1"/>
  <c r="AK129" i="9" s="1"/>
  <c r="AK116" i="9" a="1"/>
  <c r="AK116" i="9" s="1"/>
  <c r="AK113" i="9" a="1"/>
  <c r="AK113" i="9" s="1"/>
  <c r="AK100" i="9" a="1"/>
  <c r="AK100" i="9" s="1"/>
  <c r="AK97" i="9" a="1"/>
  <c r="AK97" i="9" s="1"/>
  <c r="AK84" i="9" a="1"/>
  <c r="AK84" i="9" s="1"/>
  <c r="AK81" i="9" a="1"/>
  <c r="AK81" i="9" s="1"/>
  <c r="AK68" i="9" a="1"/>
  <c r="AK68" i="9" s="1"/>
  <c r="AK65" i="9" a="1"/>
  <c r="AK65" i="9" s="1"/>
  <c r="AK52" i="9" a="1"/>
  <c r="AK52" i="9" s="1"/>
  <c r="AK49" i="9" a="1"/>
  <c r="AK49" i="9" s="1"/>
  <c r="AK39" i="9" a="1"/>
  <c r="AK39" i="9" s="1"/>
  <c r="AK16" i="9" a="1"/>
  <c r="AK16" i="9" s="1"/>
  <c r="AK15" i="9" a="1"/>
  <c r="AK15" i="9" s="1"/>
  <c r="AK263" i="9" a="1"/>
  <c r="AK263" i="9" s="1"/>
  <c r="AK258" i="9" a="1"/>
  <c r="AK258" i="9" s="1"/>
  <c r="AK255" i="9" a="1"/>
  <c r="AK255" i="9" s="1"/>
  <c r="AK250" i="9" a="1"/>
  <c r="AK250" i="9" s="1"/>
  <c r="AK247" i="9" a="1"/>
  <c r="AK247" i="9" s="1"/>
  <c r="AK242" i="9" a="1"/>
  <c r="AK242" i="9" s="1"/>
  <c r="AK239" i="9" a="1"/>
  <c r="AK239" i="9" s="1"/>
  <c r="AK234" i="9" a="1"/>
  <c r="AK234" i="9" s="1"/>
  <c r="AK231" i="9" a="1"/>
  <c r="AK231" i="9" s="1"/>
  <c r="AK226" i="9" a="1"/>
  <c r="AK226" i="9" s="1"/>
  <c r="AK223" i="9" a="1"/>
  <c r="AK223" i="9" s="1"/>
  <c r="AK218" i="9" a="1"/>
  <c r="AK218" i="9" s="1"/>
  <c r="AK215" i="9" a="1"/>
  <c r="AK215" i="9" s="1"/>
  <c r="AK207" i="9" a="1"/>
  <c r="AK207" i="9" s="1"/>
  <c r="AK199" i="9" a="1"/>
  <c r="AK199" i="9" s="1"/>
  <c r="AK191" i="9" a="1"/>
  <c r="AK191" i="9" s="1"/>
  <c r="AK170" i="9" a="1"/>
  <c r="AK170" i="9" s="1"/>
  <c r="AK136" i="9" a="1"/>
  <c r="AK136" i="9" s="1"/>
  <c r="AK120" i="9" a="1"/>
  <c r="AK120" i="9" s="1"/>
  <c r="AK117" i="9" a="1"/>
  <c r="AK117" i="9" s="1"/>
  <c r="AK104" i="9" a="1"/>
  <c r="AK104" i="9" s="1"/>
  <c r="AK101" i="9" a="1"/>
  <c r="AK101" i="9" s="1"/>
  <c r="AK88" i="9" a="1"/>
  <c r="AK88" i="9" s="1"/>
  <c r="AK85" i="9" a="1"/>
  <c r="AK85" i="9" s="1"/>
  <c r="AK72" i="9" a="1"/>
  <c r="AK72" i="9" s="1"/>
  <c r="AK69" i="9" a="1"/>
  <c r="AK69" i="9" s="1"/>
  <c r="AK56" i="9" a="1"/>
  <c r="AK56" i="9" s="1"/>
  <c r="AK53" i="9" a="1"/>
  <c r="AK53" i="9" s="1"/>
  <c r="AK20" i="9" a="1"/>
  <c r="AK20" i="9" s="1"/>
  <c r="AK19" i="9" a="1"/>
  <c r="AK19" i="9" s="1"/>
  <c r="AK4" i="9" a="1"/>
  <c r="AK4" i="9" s="1"/>
  <c r="AK3" i="9" a="1"/>
  <c r="AK3" i="9" s="1"/>
  <c r="AK321" i="9" a="1"/>
  <c r="AK321" i="9" s="1"/>
  <c r="AK313" i="9" a="1"/>
  <c r="AK313" i="9" s="1"/>
  <c r="AK305" i="9" a="1"/>
  <c r="AK305" i="9" s="1"/>
  <c r="AK266" i="9" a="1"/>
  <c r="AK266" i="9" s="1"/>
  <c r="AK274" i="9" a="1"/>
  <c r="AK274" i="9" s="1"/>
  <c r="AK164" i="9" a="1"/>
  <c r="AK164" i="9" s="1"/>
  <c r="AK210" i="9" a="1"/>
  <c r="AK210" i="9" s="1"/>
  <c r="AK202" i="9" a="1"/>
  <c r="AK202" i="9" s="1"/>
  <c r="AK194" i="9" a="1"/>
  <c r="AK194" i="9" s="1"/>
  <c r="AK186" i="9" a="1"/>
  <c r="AK186" i="9" s="1"/>
  <c r="AK178" i="9" a="1"/>
  <c r="AK178" i="9" s="1"/>
  <c r="AK172" i="9" a="1"/>
  <c r="AK172" i="9" s="1"/>
  <c r="AK171" i="9" a="1"/>
  <c r="AK171" i="9" s="1"/>
  <c r="AK154" i="9" a="1"/>
  <c r="AK154" i="9" s="1"/>
  <c r="AK148" i="9" a="1"/>
  <c r="AK148" i="9" s="1"/>
  <c r="AK290" i="9" a="1"/>
  <c r="AK290" i="9" s="1"/>
  <c r="AK260" i="9" a="1"/>
  <c r="AK260" i="9" s="1"/>
  <c r="AK252" i="9" a="1"/>
  <c r="AK252" i="9" s="1"/>
  <c r="AK244" i="9" a="1"/>
  <c r="AK244" i="9" s="1"/>
  <c r="AK236" i="9" a="1"/>
  <c r="AK236" i="9" s="1"/>
  <c r="AK228" i="9" a="1"/>
  <c r="AK228" i="9" s="1"/>
  <c r="AK220" i="9" a="1"/>
  <c r="AK220" i="9" s="1"/>
  <c r="AK219" i="9" a="1"/>
  <c r="AK219" i="9" s="1"/>
  <c r="AK212" i="9" a="1"/>
  <c r="AK212" i="9" s="1"/>
  <c r="AK211" i="9" a="1"/>
  <c r="AK211" i="9" s="1"/>
  <c r="AK204" i="9" a="1"/>
  <c r="AK204" i="9" s="1"/>
  <c r="AK203" i="9" a="1"/>
  <c r="AK203" i="9" s="1"/>
  <c r="AK196" i="9" a="1"/>
  <c r="AK196" i="9" s="1"/>
  <c r="AK195" i="9" a="1"/>
  <c r="AK195" i="9" s="1"/>
  <c r="AK188" i="9" a="1"/>
  <c r="AK188" i="9" s="1"/>
  <c r="AK187" i="9" a="1"/>
  <c r="AK187" i="9" s="1"/>
  <c r="AK180" i="9" a="1"/>
  <c r="AK180" i="9" s="1"/>
  <c r="AK179" i="9" a="1"/>
  <c r="AK179" i="9" s="1"/>
  <c r="AK155" i="9" a="1"/>
  <c r="AK155" i="9" s="1"/>
  <c r="AK147" i="9" a="1"/>
  <c r="AK147" i="9" s="1"/>
  <c r="AK137" i="9" a="1"/>
  <c r="AK137" i="9" s="1"/>
  <c r="AK294" i="9" a="1"/>
  <c r="AK294" i="9" s="1"/>
  <c r="AK286" i="9" a="1"/>
  <c r="AK286" i="9" s="1"/>
  <c r="AK278" i="9" a="1"/>
  <c r="AK278" i="9" s="1"/>
  <c r="AK270" i="9" a="1"/>
  <c r="AK270" i="9" s="1"/>
  <c r="O26" i="9"/>
  <c r="Q26" i="9" s="1"/>
  <c r="O25" i="9"/>
  <c r="Q25" i="9" s="1"/>
  <c r="AK43" i="9" a="1"/>
  <c r="AK43" i="9" s="1"/>
  <c r="AK30" i="9" a="1"/>
  <c r="AK30" i="9" s="1"/>
  <c r="G3" i="7"/>
  <c r="H3" i="7" s="1"/>
  <c r="I3" i="7"/>
  <c r="M3" i="7"/>
  <c r="G4" i="7"/>
  <c r="H4" i="7" s="1"/>
  <c r="M4" i="7"/>
  <c r="G5" i="7"/>
  <c r="H5" i="7" s="1"/>
  <c r="M5" i="7"/>
  <c r="G6" i="7"/>
  <c r="H6" i="7" s="1"/>
  <c r="M6" i="7"/>
  <c r="G7" i="7"/>
  <c r="H7" i="7" s="1"/>
  <c r="I7" i="7"/>
  <c r="M7" i="7"/>
  <c r="G8" i="7"/>
  <c r="H8" i="7" s="1"/>
  <c r="M8" i="7"/>
  <c r="G9" i="7"/>
  <c r="H9" i="7" s="1"/>
  <c r="I9" i="7"/>
  <c r="M9" i="7"/>
  <c r="G10" i="7"/>
  <c r="M10" i="7"/>
  <c r="G11" i="7"/>
  <c r="H11" i="7" s="1"/>
  <c r="I11" i="7"/>
  <c r="M11" i="7"/>
  <c r="G12" i="7"/>
  <c r="M12" i="7"/>
  <c r="G13" i="7"/>
  <c r="H13" i="7" s="1"/>
  <c r="M13" i="7"/>
  <c r="G14" i="7"/>
  <c r="H14" i="7" s="1"/>
  <c r="M14" i="7"/>
  <c r="G15" i="7"/>
  <c r="H15" i="7" s="1"/>
  <c r="I15" i="7"/>
  <c r="M15" i="7"/>
  <c r="G16" i="7"/>
  <c r="H16" i="7" s="1"/>
  <c r="M16" i="7"/>
  <c r="G17" i="7"/>
  <c r="H17" i="7" s="1"/>
  <c r="I17" i="7"/>
  <c r="M17" i="7"/>
  <c r="G18" i="7"/>
  <c r="M18" i="7"/>
  <c r="G19" i="7"/>
  <c r="H19" i="7" s="1"/>
  <c r="I19" i="7"/>
  <c r="M19" i="7"/>
  <c r="G20" i="7"/>
  <c r="M20" i="7"/>
  <c r="G21" i="7"/>
  <c r="H21" i="7" s="1"/>
  <c r="M21" i="7"/>
  <c r="G22" i="7"/>
  <c r="H22" i="7" s="1"/>
  <c r="M22" i="7"/>
  <c r="G23" i="7"/>
  <c r="H23" i="7" s="1"/>
  <c r="I23" i="7"/>
  <c r="M23" i="7"/>
  <c r="G24" i="7"/>
  <c r="H24" i="7" s="1"/>
  <c r="M24" i="7"/>
  <c r="G25" i="7"/>
  <c r="H25" i="7" s="1"/>
  <c r="I25" i="7"/>
  <c r="M25" i="7"/>
  <c r="G26" i="7"/>
  <c r="M26" i="7"/>
  <c r="G27" i="7"/>
  <c r="H27" i="7" s="1"/>
  <c r="I27" i="7"/>
  <c r="M27" i="7"/>
  <c r="G28" i="7"/>
  <c r="M28" i="7"/>
  <c r="G29" i="7"/>
  <c r="H29" i="7" s="1"/>
  <c r="M29" i="7"/>
  <c r="G30" i="7"/>
  <c r="H30" i="7" s="1"/>
  <c r="M30" i="7"/>
  <c r="G31" i="7"/>
  <c r="H31" i="7" s="1"/>
  <c r="I31" i="7"/>
  <c r="M31" i="7"/>
  <c r="G32" i="7"/>
  <c r="H32" i="7" s="1"/>
  <c r="M32" i="7"/>
  <c r="G33" i="7"/>
  <c r="H33" i="7" s="1"/>
  <c r="I33" i="7"/>
  <c r="M33" i="7"/>
  <c r="G34" i="7"/>
  <c r="M34" i="7"/>
  <c r="G35" i="7"/>
  <c r="H35" i="7" s="1"/>
  <c r="I35" i="7"/>
  <c r="M35" i="7"/>
  <c r="G36" i="7"/>
  <c r="M36" i="7"/>
  <c r="G37" i="7"/>
  <c r="H37" i="7" s="1"/>
  <c r="M37" i="7"/>
  <c r="G38" i="7"/>
  <c r="H38" i="7" s="1"/>
  <c r="M38" i="7"/>
  <c r="G39" i="7"/>
  <c r="H39" i="7" s="1"/>
  <c r="I39" i="7"/>
  <c r="M39" i="7"/>
  <c r="G40" i="7"/>
  <c r="H40" i="7" s="1"/>
  <c r="M40" i="7"/>
  <c r="G41" i="7"/>
  <c r="H41" i="7" s="1"/>
  <c r="I41" i="7"/>
  <c r="M41" i="7"/>
  <c r="G42" i="7"/>
  <c r="M42" i="7"/>
  <c r="G43" i="7"/>
  <c r="H43" i="7" s="1"/>
  <c r="I43" i="7"/>
  <c r="M43" i="7"/>
  <c r="G44" i="7"/>
  <c r="M44" i="7"/>
  <c r="G45" i="7"/>
  <c r="H45" i="7" s="1"/>
  <c r="M45" i="7"/>
  <c r="G46" i="7"/>
  <c r="H46" i="7" s="1"/>
  <c r="M46" i="7"/>
  <c r="G47" i="7"/>
  <c r="H47" i="7" s="1"/>
  <c r="I47" i="7"/>
  <c r="M47" i="7"/>
  <c r="G48" i="7"/>
  <c r="H48" i="7" s="1"/>
  <c r="M48" i="7"/>
  <c r="G49" i="7"/>
  <c r="H49" i="7" s="1"/>
  <c r="I49" i="7"/>
  <c r="M49" i="7"/>
  <c r="G50" i="7"/>
  <c r="M50" i="7"/>
  <c r="G51" i="7"/>
  <c r="H51" i="7" s="1"/>
  <c r="I51" i="7"/>
  <c r="M51" i="7"/>
  <c r="G52" i="7"/>
  <c r="M52" i="7"/>
  <c r="G53" i="7"/>
  <c r="H53" i="7" s="1"/>
  <c r="M53" i="7"/>
  <c r="G54" i="7"/>
  <c r="H54" i="7" s="1"/>
  <c r="I54" i="7"/>
  <c r="M54" i="7"/>
  <c r="G55" i="7"/>
  <c r="H55" i="7" s="1"/>
  <c r="M55" i="7"/>
  <c r="G56" i="7"/>
  <c r="M56" i="7"/>
  <c r="G57" i="7"/>
  <c r="H57" i="7" s="1"/>
  <c r="M57" i="7"/>
  <c r="G58" i="7"/>
  <c r="H58" i="7" s="1"/>
  <c r="I58" i="7"/>
  <c r="M58" i="7"/>
  <c r="G59" i="7"/>
  <c r="H59" i="7" s="1"/>
  <c r="M59" i="7"/>
  <c r="G60" i="7"/>
  <c r="H60" i="7" s="1"/>
  <c r="M60" i="7"/>
  <c r="G61" i="7"/>
  <c r="H61" i="7" s="1"/>
  <c r="M61" i="7"/>
  <c r="G62" i="7"/>
  <c r="H62" i="7" s="1"/>
  <c r="I62" i="7"/>
  <c r="M62" i="7"/>
  <c r="G63" i="7"/>
  <c r="H63" i="7" s="1"/>
  <c r="M63" i="7"/>
  <c r="G64" i="7"/>
  <c r="H64" i="7" s="1"/>
  <c r="M64" i="7"/>
  <c r="G65" i="7"/>
  <c r="H65" i="7" s="1"/>
  <c r="M65" i="7"/>
  <c r="G66" i="7"/>
  <c r="H66" i="7" s="1"/>
  <c r="M66" i="7"/>
  <c r="G67" i="7"/>
  <c r="H67" i="7" s="1"/>
  <c r="M67" i="7"/>
  <c r="G68" i="7"/>
  <c r="M68" i="7"/>
  <c r="G69" i="7"/>
  <c r="H69" i="7" s="1"/>
  <c r="M69" i="7"/>
  <c r="G70" i="7"/>
  <c r="H70" i="7" s="1"/>
  <c r="I70" i="7"/>
  <c r="M70" i="7"/>
  <c r="G71" i="7"/>
  <c r="H71" i="7" s="1"/>
  <c r="M71" i="7"/>
  <c r="G72" i="7"/>
  <c r="M72" i="7"/>
  <c r="G73" i="7"/>
  <c r="H73" i="7" s="1"/>
  <c r="M73" i="7"/>
  <c r="G74" i="7"/>
  <c r="H74" i="7" s="1"/>
  <c r="I74" i="7"/>
  <c r="M74" i="7"/>
  <c r="G75" i="7"/>
  <c r="H75" i="7" s="1"/>
  <c r="M75" i="7"/>
  <c r="G76" i="7"/>
  <c r="H76" i="7" s="1"/>
  <c r="M76" i="7"/>
  <c r="G77" i="7"/>
  <c r="H77" i="7" s="1"/>
  <c r="M77" i="7"/>
  <c r="G78" i="7"/>
  <c r="H78" i="7" s="1"/>
  <c r="I78" i="7"/>
  <c r="M78" i="7"/>
  <c r="G79" i="7"/>
  <c r="H79" i="7" s="1"/>
  <c r="M79" i="7"/>
  <c r="G80" i="7"/>
  <c r="M80" i="7"/>
  <c r="G81" i="7"/>
  <c r="H81" i="7" s="1"/>
  <c r="M81" i="7"/>
  <c r="G82" i="7"/>
  <c r="H82" i="7" s="1"/>
  <c r="M82" i="7"/>
  <c r="G83" i="7"/>
  <c r="H83" i="7" s="1"/>
  <c r="M83" i="7"/>
  <c r="G84" i="7"/>
  <c r="M84" i="7"/>
  <c r="G85" i="7"/>
  <c r="H85" i="7" s="1"/>
  <c r="M85" i="7"/>
  <c r="G86" i="7"/>
  <c r="H86" i="7" s="1"/>
  <c r="I86" i="7"/>
  <c r="M86" i="7"/>
  <c r="G87" i="7"/>
  <c r="H87" i="7" s="1"/>
  <c r="M87" i="7"/>
  <c r="G88" i="7"/>
  <c r="M88" i="7"/>
  <c r="G89" i="7"/>
  <c r="H89" i="7" s="1"/>
  <c r="I89" i="7"/>
  <c r="M89" i="7"/>
  <c r="G90" i="7"/>
  <c r="M90" i="7"/>
  <c r="G91" i="7"/>
  <c r="H91" i="7" s="1"/>
  <c r="I91" i="7"/>
  <c r="M91" i="7"/>
  <c r="G92" i="7"/>
  <c r="M92" i="7"/>
  <c r="G93" i="7"/>
  <c r="H93" i="7" s="1"/>
  <c r="I93" i="7"/>
  <c r="M93" i="7"/>
  <c r="G94" i="7"/>
  <c r="M94" i="7"/>
  <c r="G95" i="7"/>
  <c r="M95" i="7"/>
  <c r="G96" i="7"/>
  <c r="M96" i="7"/>
  <c r="G97" i="7"/>
  <c r="H97" i="7" s="1"/>
  <c r="I97" i="7"/>
  <c r="M97" i="7"/>
  <c r="G98" i="7"/>
  <c r="M98" i="7"/>
  <c r="G99" i="7"/>
  <c r="H99" i="7" s="1"/>
  <c r="M99" i="7"/>
  <c r="G100" i="7"/>
  <c r="M100" i="7"/>
  <c r="G101" i="7"/>
  <c r="H101" i="7" s="1"/>
  <c r="I101" i="7"/>
  <c r="M101" i="7"/>
  <c r="G102" i="7"/>
  <c r="M102" i="7"/>
  <c r="G103" i="7"/>
  <c r="H103" i="7" s="1"/>
  <c r="M103" i="7"/>
  <c r="G104" i="7"/>
  <c r="M104" i="7"/>
  <c r="G105" i="7"/>
  <c r="H105" i="7" s="1"/>
  <c r="I105" i="7"/>
  <c r="M105" i="7"/>
  <c r="G106" i="7"/>
  <c r="M106" i="7"/>
  <c r="G107" i="7"/>
  <c r="H107" i="7" s="1"/>
  <c r="I107" i="7"/>
  <c r="M107" i="7"/>
  <c r="G108" i="7"/>
  <c r="M108" i="7"/>
  <c r="G109" i="7"/>
  <c r="H109" i="7" s="1"/>
  <c r="I109" i="7"/>
  <c r="M109" i="7"/>
  <c r="G110" i="7"/>
  <c r="M110" i="7"/>
  <c r="G111" i="7"/>
  <c r="M111" i="7"/>
  <c r="G112" i="7"/>
  <c r="M112" i="7"/>
  <c r="G113" i="7"/>
  <c r="H113" i="7" s="1"/>
  <c r="I113" i="7"/>
  <c r="M113" i="7"/>
  <c r="G114" i="7"/>
  <c r="M114" i="7"/>
  <c r="G115" i="7"/>
  <c r="H115" i="7" s="1"/>
  <c r="M115" i="7"/>
  <c r="G116" i="7"/>
  <c r="M116" i="7"/>
  <c r="G117" i="7"/>
  <c r="H117" i="7" s="1"/>
  <c r="I117" i="7"/>
  <c r="M117" i="7"/>
  <c r="G118" i="7"/>
  <c r="M118" i="7"/>
  <c r="G119" i="7"/>
  <c r="H119" i="7" s="1"/>
  <c r="M119" i="7"/>
  <c r="G120" i="7"/>
  <c r="M120" i="7"/>
  <c r="G121" i="7"/>
  <c r="H121" i="7" s="1"/>
  <c r="I121" i="7"/>
  <c r="M121" i="7"/>
  <c r="G122" i="7"/>
  <c r="M122" i="7"/>
  <c r="G123" i="7"/>
  <c r="H123" i="7" s="1"/>
  <c r="I123" i="7"/>
  <c r="M123" i="7"/>
  <c r="G124" i="7"/>
  <c r="M124" i="7"/>
  <c r="G125" i="7"/>
  <c r="H125" i="7" s="1"/>
  <c r="I125" i="7"/>
  <c r="M125" i="7"/>
  <c r="G126" i="7"/>
  <c r="M126" i="7"/>
  <c r="G127" i="7"/>
  <c r="M127" i="7"/>
  <c r="G128" i="7"/>
  <c r="M128" i="7"/>
  <c r="G129" i="7"/>
  <c r="H129" i="7" s="1"/>
  <c r="I129" i="7"/>
  <c r="M129" i="7"/>
  <c r="G130" i="7"/>
  <c r="M130" i="7"/>
  <c r="G131" i="7"/>
  <c r="H131" i="7" s="1"/>
  <c r="M131" i="7"/>
  <c r="G132" i="7"/>
  <c r="M132" i="7"/>
  <c r="G133" i="7"/>
  <c r="H133" i="7" s="1"/>
  <c r="I133" i="7"/>
  <c r="M133" i="7"/>
  <c r="G134" i="7"/>
  <c r="M134" i="7"/>
  <c r="G135" i="7"/>
  <c r="H135" i="7" s="1"/>
  <c r="M135" i="7"/>
  <c r="G136" i="7"/>
  <c r="M136" i="7"/>
  <c r="G137" i="7"/>
  <c r="H137" i="7" s="1"/>
  <c r="I137" i="7"/>
  <c r="M137" i="7"/>
  <c r="G138" i="7"/>
  <c r="M138" i="7"/>
  <c r="G139" i="7"/>
  <c r="H139" i="7" s="1"/>
  <c r="I139" i="7"/>
  <c r="M139" i="7"/>
  <c r="G140" i="7"/>
  <c r="M140" i="7"/>
  <c r="G141" i="7"/>
  <c r="H141" i="7" s="1"/>
  <c r="I141" i="7"/>
  <c r="M141" i="7"/>
  <c r="G142" i="7"/>
  <c r="M142" i="7"/>
  <c r="G143" i="7"/>
  <c r="M143" i="7"/>
  <c r="G144" i="7"/>
  <c r="M144" i="7"/>
  <c r="G145" i="7"/>
  <c r="H145" i="7" s="1"/>
  <c r="I145" i="7"/>
  <c r="M145" i="7"/>
  <c r="G146" i="7"/>
  <c r="M146" i="7"/>
  <c r="G147" i="7"/>
  <c r="H147" i="7" s="1"/>
  <c r="M147" i="7"/>
  <c r="G148" i="7"/>
  <c r="M148" i="7"/>
  <c r="G149" i="7"/>
  <c r="H149" i="7" s="1"/>
  <c r="I149" i="7"/>
  <c r="M149" i="7"/>
  <c r="G150" i="7"/>
  <c r="M150" i="7"/>
  <c r="G151" i="7"/>
  <c r="H151" i="7" s="1"/>
  <c r="M151" i="7"/>
  <c r="G152" i="7"/>
  <c r="M152" i="7"/>
  <c r="G153" i="7"/>
  <c r="H153" i="7" s="1"/>
  <c r="I153" i="7"/>
  <c r="M153" i="7"/>
  <c r="G154" i="7"/>
  <c r="M154" i="7"/>
  <c r="G155" i="7"/>
  <c r="H155" i="7" s="1"/>
  <c r="I155" i="7"/>
  <c r="M155" i="7"/>
  <c r="G156" i="7"/>
  <c r="M156" i="7"/>
  <c r="G157" i="7"/>
  <c r="H157" i="7" s="1"/>
  <c r="I157" i="7"/>
  <c r="M157" i="7"/>
  <c r="G158" i="7"/>
  <c r="M158" i="7"/>
  <c r="G159" i="7"/>
  <c r="M159" i="7"/>
  <c r="G160" i="7"/>
  <c r="M160" i="7"/>
  <c r="G161" i="7"/>
  <c r="H161" i="7" s="1"/>
  <c r="I161" i="7"/>
  <c r="M161" i="7"/>
  <c r="G162" i="7"/>
  <c r="M162" i="7"/>
  <c r="G163" i="7"/>
  <c r="H163" i="7" s="1"/>
  <c r="M163" i="7"/>
  <c r="G164" i="7"/>
  <c r="M164" i="7"/>
  <c r="G165" i="7"/>
  <c r="H165" i="7" s="1"/>
  <c r="I165" i="7"/>
  <c r="M165" i="7"/>
  <c r="G166" i="7"/>
  <c r="M166" i="7"/>
  <c r="G167" i="7"/>
  <c r="H167" i="7" s="1"/>
  <c r="M167" i="7"/>
  <c r="G168" i="7"/>
  <c r="M168" i="7"/>
  <c r="G169" i="7"/>
  <c r="H169" i="7" s="1"/>
  <c r="I169" i="7"/>
  <c r="M169" i="7"/>
  <c r="G170" i="7"/>
  <c r="M170" i="7"/>
  <c r="G171" i="7"/>
  <c r="H171" i="7" s="1"/>
  <c r="I171" i="7"/>
  <c r="M171" i="7"/>
  <c r="G172" i="7"/>
  <c r="M172" i="7"/>
  <c r="G173" i="7"/>
  <c r="H173" i="7" s="1"/>
  <c r="I173" i="7"/>
  <c r="M173" i="7"/>
  <c r="G174" i="7"/>
  <c r="M174" i="7"/>
  <c r="G175" i="7"/>
  <c r="M175" i="7"/>
  <c r="G176" i="7"/>
  <c r="M176" i="7"/>
  <c r="G177" i="7"/>
  <c r="H177" i="7" s="1"/>
  <c r="I177" i="7"/>
  <c r="M177" i="7"/>
  <c r="G178" i="7"/>
  <c r="M178" i="7"/>
  <c r="G179" i="7"/>
  <c r="H179" i="7" s="1"/>
  <c r="M179" i="7"/>
  <c r="G180" i="7"/>
  <c r="M180" i="7"/>
  <c r="G181" i="7"/>
  <c r="H181" i="7" s="1"/>
  <c r="I181" i="7"/>
  <c r="M181" i="7"/>
  <c r="G182" i="7"/>
  <c r="M182" i="7"/>
  <c r="G183" i="7"/>
  <c r="H183" i="7" s="1"/>
  <c r="M183" i="7"/>
  <c r="G184" i="7"/>
  <c r="M184" i="7"/>
  <c r="G185" i="7"/>
  <c r="H185" i="7" s="1"/>
  <c r="I185" i="7"/>
  <c r="M185" i="7"/>
  <c r="G186" i="7"/>
  <c r="H186" i="7" s="1"/>
  <c r="I186" i="7"/>
  <c r="M186" i="7"/>
  <c r="G187" i="7"/>
  <c r="M187" i="7"/>
  <c r="G188" i="7"/>
  <c r="I188" i="7" s="1"/>
  <c r="H188" i="7"/>
  <c r="M188" i="7"/>
  <c r="G189" i="7"/>
  <c r="H189" i="7" s="1"/>
  <c r="I189" i="7"/>
  <c r="M189" i="7"/>
  <c r="G190" i="7"/>
  <c r="H190" i="7" s="1"/>
  <c r="M190" i="7"/>
  <c r="G191" i="7"/>
  <c r="H191" i="7" s="1"/>
  <c r="I191" i="7"/>
  <c r="M191" i="7"/>
  <c r="G192" i="7"/>
  <c r="I192" i="7" s="1"/>
  <c r="H192" i="7"/>
  <c r="M192" i="7"/>
  <c r="G193" i="7"/>
  <c r="H193" i="7" s="1"/>
  <c r="I193" i="7"/>
  <c r="M193" i="7"/>
  <c r="G194" i="7"/>
  <c r="M194" i="7"/>
  <c r="G195" i="7"/>
  <c r="H195" i="7" s="1"/>
  <c r="M195" i="7"/>
  <c r="G196" i="7"/>
  <c r="I196" i="7" s="1"/>
  <c r="H196" i="7"/>
  <c r="M196" i="7"/>
  <c r="G197" i="7"/>
  <c r="H197" i="7" s="1"/>
  <c r="I197" i="7"/>
  <c r="M197" i="7"/>
  <c r="G198" i="7"/>
  <c r="H198" i="7"/>
  <c r="I198" i="7"/>
  <c r="M198" i="7"/>
  <c r="G199" i="7"/>
  <c r="H199" i="7" s="1"/>
  <c r="M199" i="7"/>
  <c r="G200" i="7"/>
  <c r="H200" i="7"/>
  <c r="I200" i="7"/>
  <c r="M200" i="7"/>
  <c r="G201" i="7"/>
  <c r="H201" i="7" s="1"/>
  <c r="I201" i="7"/>
  <c r="M201" i="7"/>
  <c r="G202" i="7"/>
  <c r="H202" i="7" s="1"/>
  <c r="I202" i="7"/>
  <c r="M202" i="7"/>
  <c r="G203" i="7"/>
  <c r="M203" i="7"/>
  <c r="G204" i="7"/>
  <c r="I204" i="7" s="1"/>
  <c r="H204" i="7"/>
  <c r="M204" i="7"/>
  <c r="G205" i="7"/>
  <c r="H205" i="7" s="1"/>
  <c r="I205" i="7"/>
  <c r="M205" i="7"/>
  <c r="G206" i="7"/>
  <c r="H206" i="7" s="1"/>
  <c r="M206" i="7"/>
  <c r="G207" i="7"/>
  <c r="H207" i="7" s="1"/>
  <c r="I207" i="7"/>
  <c r="M207" i="7"/>
  <c r="G208" i="7"/>
  <c r="I208" i="7" s="1"/>
  <c r="H208" i="7"/>
  <c r="M208" i="7"/>
  <c r="G209" i="7"/>
  <c r="H209" i="7" s="1"/>
  <c r="I209" i="7"/>
  <c r="M209" i="7"/>
  <c r="G210" i="7"/>
  <c r="M210" i="7"/>
  <c r="G211" i="7"/>
  <c r="H211" i="7" s="1"/>
  <c r="M211" i="7"/>
  <c r="G212" i="7"/>
  <c r="I212" i="7" s="1"/>
  <c r="H212" i="7"/>
  <c r="M212" i="7"/>
  <c r="G213" i="7"/>
  <c r="H213" i="7" s="1"/>
  <c r="I213" i="7"/>
  <c r="M213" i="7"/>
  <c r="G214" i="7"/>
  <c r="H214" i="7"/>
  <c r="I214" i="7"/>
  <c r="M214" i="7"/>
  <c r="G215" i="7"/>
  <c r="H215" i="7" s="1"/>
  <c r="M215" i="7"/>
  <c r="G216" i="7"/>
  <c r="H216" i="7"/>
  <c r="I216" i="7"/>
  <c r="M216" i="7"/>
  <c r="G217" i="7"/>
  <c r="H217" i="7" s="1"/>
  <c r="I217" i="7"/>
  <c r="M217" i="7"/>
  <c r="G218" i="7"/>
  <c r="H218" i="7" s="1"/>
  <c r="I218" i="7"/>
  <c r="M218" i="7"/>
  <c r="G219" i="7"/>
  <c r="M219" i="7"/>
  <c r="G220" i="7"/>
  <c r="I220" i="7" s="1"/>
  <c r="H220" i="7"/>
  <c r="M220" i="7"/>
  <c r="G221" i="7"/>
  <c r="H221" i="7" s="1"/>
  <c r="I221" i="7"/>
  <c r="M221" i="7"/>
  <c r="G222" i="7"/>
  <c r="H222" i="7" s="1"/>
  <c r="M222" i="7"/>
  <c r="G223" i="7"/>
  <c r="H223" i="7" s="1"/>
  <c r="I223" i="7"/>
  <c r="M223" i="7"/>
  <c r="G224" i="7"/>
  <c r="I224" i="7" s="1"/>
  <c r="H224" i="7"/>
  <c r="M224" i="7"/>
  <c r="G225" i="7"/>
  <c r="H225" i="7" s="1"/>
  <c r="I225" i="7"/>
  <c r="M225" i="7"/>
  <c r="G226" i="7"/>
  <c r="M226" i="7"/>
  <c r="G227" i="7"/>
  <c r="H227" i="7" s="1"/>
  <c r="M227" i="7"/>
  <c r="G228" i="7"/>
  <c r="I228" i="7" s="1"/>
  <c r="H228" i="7"/>
  <c r="M228" i="7"/>
  <c r="G229" i="7"/>
  <c r="H229" i="7" s="1"/>
  <c r="I229" i="7"/>
  <c r="M229" i="7"/>
  <c r="G230" i="7"/>
  <c r="H230" i="7"/>
  <c r="I230" i="7"/>
  <c r="M230" i="7"/>
  <c r="G231" i="7"/>
  <c r="H231" i="7" s="1"/>
  <c r="M231" i="7"/>
  <c r="G232" i="7"/>
  <c r="H232" i="7"/>
  <c r="I232" i="7"/>
  <c r="M232" i="7"/>
  <c r="G233" i="7"/>
  <c r="H233" i="7" s="1"/>
  <c r="I233" i="7"/>
  <c r="M233" i="7"/>
  <c r="G234" i="7"/>
  <c r="H234" i="7" s="1"/>
  <c r="I234" i="7"/>
  <c r="M234" i="7"/>
  <c r="G235" i="7"/>
  <c r="M235" i="7"/>
  <c r="G236" i="7"/>
  <c r="I236" i="7" s="1"/>
  <c r="H236" i="7"/>
  <c r="M236" i="7"/>
  <c r="G237" i="7"/>
  <c r="H237" i="7" s="1"/>
  <c r="I237" i="7"/>
  <c r="M237" i="7"/>
  <c r="G238" i="7"/>
  <c r="H238" i="7" s="1"/>
  <c r="M238" i="7"/>
  <c r="G239" i="7"/>
  <c r="H239" i="7" s="1"/>
  <c r="I239" i="7"/>
  <c r="M239" i="7"/>
  <c r="G240" i="7"/>
  <c r="I240" i="7" s="1"/>
  <c r="H240" i="7"/>
  <c r="M240" i="7"/>
  <c r="G241" i="7"/>
  <c r="H241" i="7" s="1"/>
  <c r="I241" i="7"/>
  <c r="M241" i="7"/>
  <c r="G242" i="7"/>
  <c r="M242" i="7"/>
  <c r="G243" i="7"/>
  <c r="H243" i="7" s="1"/>
  <c r="I243" i="7"/>
  <c r="M243" i="7"/>
  <c r="G244" i="7"/>
  <c r="M244" i="7"/>
  <c r="G245" i="7"/>
  <c r="H245" i="7" s="1"/>
  <c r="I245" i="7"/>
  <c r="M245" i="7"/>
  <c r="G246" i="7"/>
  <c r="M246" i="7"/>
  <c r="G247" i="7"/>
  <c r="H247" i="7" s="1"/>
  <c r="I247" i="7"/>
  <c r="M247" i="7"/>
  <c r="G248" i="7"/>
  <c r="M248" i="7"/>
  <c r="G249" i="7"/>
  <c r="H249" i="7" s="1"/>
  <c r="I249" i="7"/>
  <c r="M249" i="7"/>
  <c r="G250" i="7"/>
  <c r="M250" i="7"/>
  <c r="G251" i="7"/>
  <c r="H251" i="7" s="1"/>
  <c r="I251" i="7"/>
  <c r="M251" i="7"/>
  <c r="G252" i="7"/>
  <c r="M252" i="7"/>
  <c r="G253" i="7"/>
  <c r="H253" i="7" s="1"/>
  <c r="I253" i="7"/>
  <c r="M253" i="7"/>
  <c r="G254" i="7"/>
  <c r="M254" i="7"/>
  <c r="G255" i="7"/>
  <c r="H255" i="7" s="1"/>
  <c r="I255" i="7"/>
  <c r="M255" i="7"/>
  <c r="G256" i="7"/>
  <c r="M256" i="7"/>
  <c r="G257" i="7"/>
  <c r="H257" i="7" s="1"/>
  <c r="I257" i="7"/>
  <c r="M257" i="7"/>
  <c r="G258" i="7"/>
  <c r="M258" i="7"/>
  <c r="G259" i="7"/>
  <c r="H259" i="7" s="1"/>
  <c r="I259" i="7"/>
  <c r="M259" i="7"/>
  <c r="G260" i="7"/>
  <c r="M260" i="7"/>
  <c r="G261" i="7"/>
  <c r="H261" i="7" s="1"/>
  <c r="I261" i="7"/>
  <c r="M261" i="7"/>
  <c r="G262" i="7"/>
  <c r="M262" i="7"/>
  <c r="G263" i="7"/>
  <c r="H263" i="7" s="1"/>
  <c r="I263" i="7"/>
  <c r="M263" i="7"/>
  <c r="G264" i="7"/>
  <c r="M264" i="7"/>
  <c r="G265" i="7"/>
  <c r="H265" i="7" s="1"/>
  <c r="I265" i="7"/>
  <c r="M265" i="7"/>
  <c r="G266" i="7"/>
  <c r="M266" i="7"/>
  <c r="G267" i="7"/>
  <c r="H267" i="7" s="1"/>
  <c r="I267" i="7"/>
  <c r="M267" i="7"/>
  <c r="G268" i="7"/>
  <c r="M268" i="7"/>
  <c r="G269" i="7"/>
  <c r="H269" i="7" s="1"/>
  <c r="I269" i="7"/>
  <c r="M269" i="7"/>
  <c r="G270" i="7"/>
  <c r="M270" i="7"/>
  <c r="G271" i="7"/>
  <c r="H271" i="7" s="1"/>
  <c r="I271" i="7"/>
  <c r="M271" i="7"/>
  <c r="G272" i="7"/>
  <c r="M272" i="7"/>
  <c r="G273" i="7"/>
  <c r="H273" i="7" s="1"/>
  <c r="I273" i="7"/>
  <c r="M273" i="7"/>
  <c r="G274" i="7"/>
  <c r="M274" i="7"/>
  <c r="G275" i="7"/>
  <c r="H275" i="7" s="1"/>
  <c r="I275" i="7"/>
  <c r="M275" i="7"/>
  <c r="G276" i="7"/>
  <c r="M276" i="7"/>
  <c r="G277" i="7"/>
  <c r="H277" i="7" s="1"/>
  <c r="I277" i="7"/>
  <c r="M277" i="7"/>
  <c r="G278" i="7"/>
  <c r="M278" i="7"/>
  <c r="G279" i="7"/>
  <c r="H279" i="7" s="1"/>
  <c r="I279" i="7"/>
  <c r="M279" i="7"/>
  <c r="G280" i="7"/>
  <c r="M280" i="7"/>
  <c r="G281" i="7"/>
  <c r="H281" i="7" s="1"/>
  <c r="I281" i="7"/>
  <c r="M281" i="7"/>
  <c r="G282" i="7"/>
  <c r="M282" i="7"/>
  <c r="G283" i="7"/>
  <c r="H283" i="7" s="1"/>
  <c r="I283" i="7"/>
  <c r="M283" i="7"/>
  <c r="G284" i="7"/>
  <c r="M284" i="7"/>
  <c r="G285" i="7"/>
  <c r="H285" i="7" s="1"/>
  <c r="I285" i="7"/>
  <c r="M285" i="7"/>
  <c r="G286" i="7"/>
  <c r="M286" i="7"/>
  <c r="G287" i="7"/>
  <c r="H287" i="7" s="1"/>
  <c r="I287" i="7"/>
  <c r="M287" i="7"/>
  <c r="G288" i="7"/>
  <c r="M288" i="7"/>
  <c r="G289" i="7"/>
  <c r="H289" i="7" s="1"/>
  <c r="I289" i="7"/>
  <c r="M289" i="7"/>
  <c r="G290" i="7"/>
  <c r="M290" i="7"/>
  <c r="G291" i="7"/>
  <c r="H291" i="7" s="1"/>
  <c r="I291" i="7"/>
  <c r="M291" i="7"/>
  <c r="G292" i="7"/>
  <c r="M292" i="7"/>
  <c r="G293" i="7"/>
  <c r="H293" i="7" s="1"/>
  <c r="I293" i="7"/>
  <c r="M293" i="7"/>
  <c r="G294" i="7"/>
  <c r="M294" i="7"/>
  <c r="G295" i="7"/>
  <c r="H295" i="7" s="1"/>
  <c r="I295" i="7"/>
  <c r="M295" i="7"/>
  <c r="G296" i="7"/>
  <c r="M296" i="7"/>
  <c r="G297" i="7"/>
  <c r="H297" i="7" s="1"/>
  <c r="I297" i="7"/>
  <c r="M297" i="7"/>
  <c r="G298" i="7"/>
  <c r="M298" i="7"/>
  <c r="G299" i="7"/>
  <c r="H299" i="7" s="1"/>
  <c r="I299" i="7"/>
  <c r="M299" i="7"/>
  <c r="G300" i="7"/>
  <c r="M300" i="7"/>
  <c r="G301" i="7"/>
  <c r="H301" i="7" s="1"/>
  <c r="I301" i="7"/>
  <c r="M301" i="7"/>
  <c r="G302" i="7"/>
  <c r="M302" i="7"/>
  <c r="G303" i="7"/>
  <c r="H303" i="7" s="1"/>
  <c r="I303" i="7"/>
  <c r="M303" i="7"/>
  <c r="G304" i="7"/>
  <c r="M304" i="7"/>
  <c r="G305" i="7"/>
  <c r="H305" i="7" s="1"/>
  <c r="I305" i="7"/>
  <c r="M305" i="7"/>
  <c r="G306" i="7"/>
  <c r="M306" i="7"/>
  <c r="G307" i="7"/>
  <c r="H307" i="7" s="1"/>
  <c r="I307" i="7"/>
  <c r="M307" i="7"/>
  <c r="G308" i="7"/>
  <c r="M308" i="7"/>
  <c r="G309" i="7"/>
  <c r="H309" i="7" s="1"/>
  <c r="I309" i="7"/>
  <c r="M309" i="7"/>
  <c r="G310" i="7"/>
  <c r="M310" i="7"/>
  <c r="G311" i="7"/>
  <c r="H311" i="7" s="1"/>
  <c r="I311" i="7"/>
  <c r="M311" i="7"/>
  <c r="G312" i="7"/>
  <c r="M312" i="7"/>
  <c r="G313" i="7"/>
  <c r="H313" i="7" s="1"/>
  <c r="I313" i="7"/>
  <c r="M313" i="7"/>
  <c r="G314" i="7"/>
  <c r="M314" i="7"/>
  <c r="G315" i="7"/>
  <c r="H315" i="7" s="1"/>
  <c r="I315" i="7"/>
  <c r="M315" i="7"/>
  <c r="G316" i="7"/>
  <c r="M316" i="7"/>
  <c r="G317" i="7"/>
  <c r="H317" i="7" s="1"/>
  <c r="I317" i="7"/>
  <c r="M317" i="7"/>
  <c r="G318" i="7"/>
  <c r="M318" i="7"/>
  <c r="G319" i="7"/>
  <c r="H319" i="7" s="1"/>
  <c r="I319" i="7"/>
  <c r="M319" i="7"/>
  <c r="G320" i="7"/>
  <c r="M320" i="7"/>
  <c r="G321" i="7"/>
  <c r="H321" i="7" s="1"/>
  <c r="I321" i="7"/>
  <c r="M321" i="7"/>
  <c r="G322" i="7"/>
  <c r="M322" i="7"/>
  <c r="G323" i="7"/>
  <c r="H323" i="7" s="1"/>
  <c r="I323" i="7"/>
  <c r="M323" i="7"/>
  <c r="G324" i="7"/>
  <c r="M324" i="7"/>
  <c r="G325" i="7"/>
  <c r="H325" i="7" s="1"/>
  <c r="I325" i="7"/>
  <c r="M325" i="7"/>
  <c r="G326" i="7"/>
  <c r="M326" i="7"/>
  <c r="G327" i="7"/>
  <c r="H327" i="7" s="1"/>
  <c r="I327" i="7"/>
  <c r="M327" i="7"/>
  <c r="G328" i="7"/>
  <c r="M328" i="7"/>
  <c r="G329" i="7"/>
  <c r="H329" i="7" s="1"/>
  <c r="I329" i="7"/>
  <c r="M329" i="7"/>
  <c r="G330" i="7"/>
  <c r="M330" i="7"/>
  <c r="G331" i="7"/>
  <c r="H331" i="7" s="1"/>
  <c r="I331" i="7"/>
  <c r="M331" i="7"/>
  <c r="G332" i="7"/>
  <c r="M332" i="7"/>
  <c r="G333" i="7"/>
  <c r="H333" i="7" s="1"/>
  <c r="I333" i="7"/>
  <c r="M333" i="7"/>
  <c r="G334" i="7"/>
  <c r="M334" i="7"/>
  <c r="G335" i="7"/>
  <c r="H335" i="7" s="1"/>
  <c r="I335" i="7"/>
  <c r="M335" i="7"/>
  <c r="G336" i="7"/>
  <c r="M336" i="7"/>
  <c r="G337" i="7"/>
  <c r="H337" i="7" s="1"/>
  <c r="I337" i="7"/>
  <c r="M337" i="7"/>
  <c r="G338" i="7"/>
  <c r="M338" i="7"/>
  <c r="G339" i="7"/>
  <c r="H339" i="7" s="1"/>
  <c r="I339" i="7"/>
  <c r="M339" i="7"/>
  <c r="G340" i="7"/>
  <c r="M340" i="7"/>
  <c r="G341" i="7"/>
  <c r="H341" i="7" s="1"/>
  <c r="I341" i="7"/>
  <c r="M341" i="7"/>
  <c r="G342" i="7"/>
  <c r="M342" i="7"/>
  <c r="G343" i="7"/>
  <c r="H343" i="7" s="1"/>
  <c r="I343" i="7"/>
  <c r="M343" i="7"/>
  <c r="G344" i="7"/>
  <c r="M344" i="7"/>
  <c r="G345" i="7"/>
  <c r="H345" i="7" s="1"/>
  <c r="I345" i="7"/>
  <c r="M345" i="7"/>
  <c r="G346" i="7"/>
  <c r="M346" i="7"/>
  <c r="G347" i="7"/>
  <c r="H347" i="7" s="1"/>
  <c r="I347" i="7"/>
  <c r="M347" i="7"/>
  <c r="G348" i="7"/>
  <c r="M348" i="7"/>
  <c r="G349" i="7"/>
  <c r="H349" i="7" s="1"/>
  <c r="I349" i="7"/>
  <c r="M349" i="7"/>
  <c r="G350" i="7"/>
  <c r="M350" i="7"/>
  <c r="G351" i="7"/>
  <c r="H351" i="7" s="1"/>
  <c r="I351" i="7"/>
  <c r="M351" i="7"/>
  <c r="G352" i="7"/>
  <c r="M352" i="7"/>
  <c r="G353" i="7"/>
  <c r="H353" i="7" s="1"/>
  <c r="I353" i="7"/>
  <c r="M353" i="7"/>
  <c r="G354" i="7"/>
  <c r="M354" i="7"/>
  <c r="G355" i="7"/>
  <c r="H355" i="7" s="1"/>
  <c r="I355" i="7"/>
  <c r="M355" i="7"/>
  <c r="G356" i="7"/>
  <c r="M356" i="7"/>
  <c r="G357" i="7"/>
  <c r="H357" i="7" s="1"/>
  <c r="M357" i="7"/>
  <c r="G358" i="7"/>
  <c r="H358" i="7" s="1"/>
  <c r="M358" i="7"/>
  <c r="G359" i="7"/>
  <c r="H359" i="7" s="1"/>
  <c r="I359" i="7"/>
  <c r="M359" i="7"/>
  <c r="G360" i="7"/>
  <c r="H360" i="7" s="1"/>
  <c r="M360" i="7"/>
  <c r="G361" i="7"/>
  <c r="H361" i="7" s="1"/>
  <c r="M361" i="7"/>
  <c r="G362" i="7"/>
  <c r="H362" i="7" s="1"/>
  <c r="I362" i="7"/>
  <c r="M362" i="7"/>
  <c r="G363" i="7"/>
  <c r="H363" i="7" s="1"/>
  <c r="I363" i="7"/>
  <c r="M363" i="7"/>
  <c r="G364" i="7"/>
  <c r="M364" i="7"/>
  <c r="G365" i="7"/>
  <c r="M365" i="7"/>
  <c r="G366" i="7"/>
  <c r="H366" i="7" s="1"/>
  <c r="M366" i="7"/>
  <c r="G367" i="7"/>
  <c r="H367" i="7" s="1"/>
  <c r="I367" i="7"/>
  <c r="M367" i="7"/>
  <c r="G368" i="7"/>
  <c r="H368" i="7" s="1"/>
  <c r="M368" i="7"/>
  <c r="G369" i="7"/>
  <c r="H369" i="7" s="1"/>
  <c r="M369" i="7"/>
  <c r="G370" i="7"/>
  <c r="H370" i="7" s="1"/>
  <c r="M370" i="7"/>
  <c r="G371" i="7"/>
  <c r="H371" i="7" s="1"/>
  <c r="I371" i="7"/>
  <c r="M371" i="7"/>
  <c r="G372" i="7"/>
  <c r="M372" i="7"/>
  <c r="G373" i="7"/>
  <c r="M373" i="7"/>
  <c r="G374" i="7"/>
  <c r="H374" i="7" s="1"/>
  <c r="I374" i="7"/>
  <c r="M374" i="7"/>
  <c r="G375" i="7"/>
  <c r="H375" i="7" s="1"/>
  <c r="I375" i="7"/>
  <c r="M375" i="7"/>
  <c r="G376" i="7"/>
  <c r="H376" i="7" s="1"/>
  <c r="M376" i="7"/>
  <c r="G377" i="7"/>
  <c r="H377" i="7" s="1"/>
  <c r="I377" i="7"/>
  <c r="M377" i="7"/>
  <c r="G378" i="7"/>
  <c r="H378" i="7" s="1"/>
  <c r="M378" i="7"/>
  <c r="G379" i="7"/>
  <c r="H379" i="7" s="1"/>
  <c r="I379" i="7"/>
  <c r="M379" i="7"/>
  <c r="G380" i="7"/>
  <c r="M380" i="7"/>
  <c r="G381" i="7"/>
  <c r="M381" i="7"/>
  <c r="G382" i="7"/>
  <c r="H382" i="7" s="1"/>
  <c r="I382" i="7"/>
  <c r="M382" i="7"/>
  <c r="G383" i="7"/>
  <c r="H383" i="7" s="1"/>
  <c r="I383" i="7"/>
  <c r="M383" i="7"/>
  <c r="G384" i="7"/>
  <c r="H384" i="7" s="1"/>
  <c r="M384" i="7"/>
  <c r="G385" i="7"/>
  <c r="H385" i="7" s="1"/>
  <c r="I385" i="7"/>
  <c r="M385" i="7"/>
  <c r="G386" i="7"/>
  <c r="H386" i="7" s="1"/>
  <c r="I386" i="7"/>
  <c r="M386" i="7"/>
  <c r="G387" i="7"/>
  <c r="H387" i="7" s="1"/>
  <c r="I387" i="7"/>
  <c r="M387" i="7"/>
  <c r="G388" i="7"/>
  <c r="M388" i="7"/>
  <c r="G389" i="7"/>
  <c r="M389" i="7"/>
  <c r="G390" i="7"/>
  <c r="H390" i="7" s="1"/>
  <c r="M390" i="7"/>
  <c r="G391" i="7"/>
  <c r="H391" i="7" s="1"/>
  <c r="I391" i="7"/>
  <c r="M391" i="7"/>
  <c r="G392" i="7"/>
  <c r="H392" i="7" s="1"/>
  <c r="M392" i="7"/>
  <c r="G393" i="7"/>
  <c r="H393" i="7" s="1"/>
  <c r="M393" i="7"/>
  <c r="G394" i="7"/>
  <c r="H394" i="7" s="1"/>
  <c r="I394" i="7"/>
  <c r="M394" i="7"/>
  <c r="G395" i="7"/>
  <c r="H395" i="7" s="1"/>
  <c r="I395" i="7"/>
  <c r="M395" i="7"/>
  <c r="G396" i="7"/>
  <c r="M396" i="7"/>
  <c r="G397" i="7"/>
  <c r="M397" i="7"/>
  <c r="G398" i="7"/>
  <c r="H398" i="7" s="1"/>
  <c r="M398" i="7"/>
  <c r="G399" i="7"/>
  <c r="H399" i="7" s="1"/>
  <c r="I399" i="7"/>
  <c r="M399" i="7"/>
  <c r="G400" i="7"/>
  <c r="H400" i="7" s="1"/>
  <c r="M400" i="7"/>
  <c r="G401" i="7"/>
  <c r="H401" i="7" s="1"/>
  <c r="M401" i="7"/>
  <c r="G402" i="7"/>
  <c r="H402" i="7" s="1"/>
  <c r="M402" i="7"/>
  <c r="G403" i="7"/>
  <c r="H403" i="7" s="1"/>
  <c r="I403" i="7"/>
  <c r="M403" i="7"/>
  <c r="G404" i="7"/>
  <c r="M404" i="7"/>
  <c r="G405" i="7"/>
  <c r="M405" i="7"/>
  <c r="G406" i="7"/>
  <c r="H406" i="7" s="1"/>
  <c r="I406" i="7"/>
  <c r="M406" i="7"/>
  <c r="G407" i="7"/>
  <c r="H407" i="7" s="1"/>
  <c r="M407" i="7"/>
  <c r="G408" i="7"/>
  <c r="M408" i="7"/>
  <c r="G409" i="7"/>
  <c r="H409" i="7" s="1"/>
  <c r="M409" i="7"/>
  <c r="G410" i="7"/>
  <c r="M410" i="7"/>
  <c r="G411" i="7"/>
  <c r="H411" i="7" s="1"/>
  <c r="M411" i="7"/>
  <c r="G412" i="7"/>
  <c r="H412" i="7" s="1"/>
  <c r="I412" i="7"/>
  <c r="M412" i="7"/>
  <c r="G413" i="7"/>
  <c r="H413" i="7" s="1"/>
  <c r="M413" i="7"/>
  <c r="G414" i="7"/>
  <c r="H414" i="7" s="1"/>
  <c r="M414" i="7"/>
  <c r="G415" i="7"/>
  <c r="H415" i="7" s="1"/>
  <c r="M415" i="7"/>
  <c r="G416" i="7"/>
  <c r="H416" i="7" s="1"/>
  <c r="I416" i="7"/>
  <c r="M416" i="7"/>
  <c r="G417" i="7"/>
  <c r="H417" i="7" s="1"/>
  <c r="M417" i="7"/>
  <c r="G418" i="7"/>
  <c r="M418" i="7"/>
  <c r="G419" i="7"/>
  <c r="H419" i="7" s="1"/>
  <c r="M419" i="7"/>
  <c r="G420" i="7"/>
  <c r="H420" i="7" s="1"/>
  <c r="I420" i="7"/>
  <c r="M420" i="7"/>
  <c r="G421" i="7"/>
  <c r="H421" i="7" s="1"/>
  <c r="M421" i="7"/>
  <c r="G422" i="7"/>
  <c r="H422" i="7" s="1"/>
  <c r="I422" i="7"/>
  <c r="M422" i="7"/>
  <c r="G423" i="7"/>
  <c r="H423" i="7" s="1"/>
  <c r="M423" i="7"/>
  <c r="G424" i="7"/>
  <c r="H424" i="7" s="1"/>
  <c r="M424" i="7"/>
  <c r="G425" i="7"/>
  <c r="H425" i="7" s="1"/>
  <c r="M425" i="7"/>
  <c r="G426" i="7"/>
  <c r="M426" i="7"/>
  <c r="G427" i="7"/>
  <c r="H427" i="7" s="1"/>
  <c r="M427" i="7"/>
  <c r="G428" i="7"/>
  <c r="H428" i="7" s="1"/>
  <c r="I428" i="7"/>
  <c r="M428" i="7"/>
  <c r="G429" i="7"/>
  <c r="H429" i="7" s="1"/>
  <c r="M429" i="7"/>
  <c r="G430" i="7"/>
  <c r="H430" i="7" s="1"/>
  <c r="I430" i="7"/>
  <c r="M430" i="7"/>
  <c r="G431" i="7"/>
  <c r="H431" i="7" s="1"/>
  <c r="M431" i="7"/>
  <c r="G432" i="7"/>
  <c r="H432" i="7" s="1"/>
  <c r="I432" i="7"/>
  <c r="M432" i="7"/>
  <c r="G433" i="7"/>
  <c r="H433" i="7" s="1"/>
  <c r="M433" i="7"/>
  <c r="G434" i="7"/>
  <c r="M434" i="7"/>
  <c r="G435" i="7"/>
  <c r="H435" i="7" s="1"/>
  <c r="M435" i="7"/>
  <c r="G436" i="7"/>
  <c r="H436" i="7" s="1"/>
  <c r="M436" i="7"/>
  <c r="G437" i="7"/>
  <c r="H437" i="7" s="1"/>
  <c r="M437" i="7"/>
  <c r="G438" i="7"/>
  <c r="H438" i="7" s="1"/>
  <c r="M438" i="7"/>
  <c r="G439" i="7"/>
  <c r="H439" i="7" s="1"/>
  <c r="M439" i="7"/>
  <c r="G440" i="7"/>
  <c r="H440" i="7" s="1"/>
  <c r="I440" i="7"/>
  <c r="M440" i="7"/>
  <c r="G441" i="7"/>
  <c r="H441" i="7" s="1"/>
  <c r="M441" i="7"/>
  <c r="G442" i="7"/>
  <c r="H442" i="7" s="1"/>
  <c r="M442" i="7"/>
  <c r="G443" i="7"/>
  <c r="H443" i="7" s="1"/>
  <c r="I443" i="7"/>
  <c r="M443" i="7"/>
  <c r="G444" i="7"/>
  <c r="H444" i="7" s="1"/>
  <c r="I444" i="7"/>
  <c r="M444" i="7"/>
  <c r="G445" i="7"/>
  <c r="H445" i="7" s="1"/>
  <c r="I445" i="7"/>
  <c r="M445" i="7"/>
  <c r="G446" i="7"/>
  <c r="H446" i="7" s="1"/>
  <c r="M446" i="7"/>
  <c r="G447" i="7"/>
  <c r="H447" i="7" s="1"/>
  <c r="I447" i="7"/>
  <c r="M447" i="7"/>
  <c r="G448" i="7"/>
  <c r="H448" i="7" s="1"/>
  <c r="I448" i="7"/>
  <c r="M448" i="7"/>
  <c r="G449" i="7"/>
  <c r="H449" i="7" s="1"/>
  <c r="M449" i="7"/>
  <c r="G450" i="7"/>
  <c r="H450" i="7" s="1"/>
  <c r="M450" i="7"/>
  <c r="G451" i="7"/>
  <c r="H451" i="7" s="1"/>
  <c r="I451" i="7"/>
  <c r="M451" i="7"/>
  <c r="G452" i="7"/>
  <c r="H452" i="7" s="1"/>
  <c r="I452" i="7"/>
  <c r="M452" i="7"/>
  <c r="G453" i="7"/>
  <c r="H453" i="7" s="1"/>
  <c r="I453" i="7"/>
  <c r="M453" i="7"/>
  <c r="G454" i="7"/>
  <c r="H454" i="7" s="1"/>
  <c r="M454" i="7"/>
  <c r="G455" i="7"/>
  <c r="H455" i="7" s="1"/>
  <c r="I455" i="7"/>
  <c r="M455" i="7"/>
  <c r="G456" i="7"/>
  <c r="H456" i="7" s="1"/>
  <c r="I456" i="7"/>
  <c r="M456" i="7"/>
  <c r="G457" i="7"/>
  <c r="H457" i="7" s="1"/>
  <c r="M457" i="7"/>
  <c r="G458" i="7"/>
  <c r="H458" i="7" s="1"/>
  <c r="M458" i="7"/>
  <c r="G459" i="7"/>
  <c r="H459" i="7" s="1"/>
  <c r="I459" i="7"/>
  <c r="M459" i="7"/>
  <c r="G460" i="7"/>
  <c r="H460" i="7" s="1"/>
  <c r="I460" i="7"/>
  <c r="M460" i="7"/>
  <c r="G461" i="7"/>
  <c r="H461" i="7" s="1"/>
  <c r="I461" i="7"/>
  <c r="M461" i="7"/>
  <c r="G462" i="7"/>
  <c r="H462" i="7" s="1"/>
  <c r="M462" i="7"/>
  <c r="G463" i="7"/>
  <c r="H463" i="7" s="1"/>
  <c r="I463" i="7"/>
  <c r="M463" i="7"/>
  <c r="G464" i="7"/>
  <c r="H464" i="7" s="1"/>
  <c r="I464" i="7"/>
  <c r="M464" i="7"/>
  <c r="G465" i="7"/>
  <c r="H465" i="7" s="1"/>
  <c r="M465" i="7"/>
  <c r="G466" i="7"/>
  <c r="H466" i="7" s="1"/>
  <c r="M466" i="7"/>
  <c r="G467" i="7"/>
  <c r="H467" i="7" s="1"/>
  <c r="I467" i="7"/>
  <c r="M467" i="7"/>
  <c r="G468" i="7"/>
  <c r="H468" i="7" s="1"/>
  <c r="I468" i="7"/>
  <c r="M468" i="7"/>
  <c r="G469" i="7"/>
  <c r="H469" i="7" s="1"/>
  <c r="I469" i="7"/>
  <c r="M469" i="7"/>
  <c r="G470" i="7"/>
  <c r="H470" i="7" s="1"/>
  <c r="M470" i="7"/>
  <c r="G471" i="7"/>
  <c r="H471" i="7" s="1"/>
  <c r="I471" i="7"/>
  <c r="M471" i="7"/>
  <c r="G472" i="7"/>
  <c r="H472" i="7" s="1"/>
  <c r="I472" i="7"/>
  <c r="M472" i="7"/>
  <c r="G473" i="7"/>
  <c r="H473" i="7" s="1"/>
  <c r="M473" i="7"/>
  <c r="G474" i="7"/>
  <c r="H474" i="7" s="1"/>
  <c r="M474" i="7"/>
  <c r="G475" i="7"/>
  <c r="H475" i="7" s="1"/>
  <c r="I475" i="7"/>
  <c r="M475" i="7"/>
  <c r="G476" i="7"/>
  <c r="H476" i="7" s="1"/>
  <c r="I476" i="7"/>
  <c r="M476" i="7"/>
  <c r="G477" i="7"/>
  <c r="H477" i="7" s="1"/>
  <c r="I477" i="7"/>
  <c r="M477" i="7"/>
  <c r="G478" i="7"/>
  <c r="H478" i="7" s="1"/>
  <c r="M478" i="7"/>
  <c r="G479" i="7"/>
  <c r="H479" i="7" s="1"/>
  <c r="I479" i="7"/>
  <c r="M479" i="7"/>
  <c r="G480" i="7"/>
  <c r="H480" i="7" s="1"/>
  <c r="I480" i="7"/>
  <c r="M480" i="7"/>
  <c r="G481" i="7"/>
  <c r="H481" i="7" s="1"/>
  <c r="M481" i="7"/>
  <c r="G482" i="7"/>
  <c r="H482" i="7" s="1"/>
  <c r="M482" i="7"/>
  <c r="G483" i="7"/>
  <c r="H483" i="7" s="1"/>
  <c r="I483" i="7"/>
  <c r="M483" i="7"/>
  <c r="G484" i="7"/>
  <c r="H484" i="7" s="1"/>
  <c r="I484" i="7"/>
  <c r="M484" i="7"/>
  <c r="G485" i="7"/>
  <c r="H485" i="7" s="1"/>
  <c r="I485" i="7"/>
  <c r="M485" i="7"/>
  <c r="G486" i="7"/>
  <c r="H486" i="7" s="1"/>
  <c r="M486" i="7"/>
  <c r="G487" i="7"/>
  <c r="H487" i="7" s="1"/>
  <c r="I487" i="7"/>
  <c r="M487" i="7"/>
  <c r="G488" i="7"/>
  <c r="H488" i="7" s="1"/>
  <c r="I488" i="7"/>
  <c r="M488" i="7"/>
  <c r="G489" i="7"/>
  <c r="H489" i="7" s="1"/>
  <c r="M489" i="7"/>
  <c r="G490" i="7"/>
  <c r="H490" i="7" s="1"/>
  <c r="M490" i="7"/>
  <c r="G491" i="7"/>
  <c r="H491" i="7" s="1"/>
  <c r="I491" i="7"/>
  <c r="M491" i="7"/>
  <c r="G492" i="7"/>
  <c r="H492" i="7" s="1"/>
  <c r="I492" i="7"/>
  <c r="M492" i="7"/>
  <c r="G493" i="7"/>
  <c r="H493" i="7" s="1"/>
  <c r="I493" i="7"/>
  <c r="M493" i="7"/>
  <c r="G494" i="7"/>
  <c r="H494" i="7" s="1"/>
  <c r="M494" i="7"/>
  <c r="G495" i="7"/>
  <c r="H495" i="7" s="1"/>
  <c r="I495" i="7"/>
  <c r="M495" i="7"/>
  <c r="G496" i="7"/>
  <c r="H496" i="7" s="1"/>
  <c r="I496" i="7"/>
  <c r="M496" i="7"/>
  <c r="G497" i="7"/>
  <c r="H497" i="7" s="1"/>
  <c r="M497" i="7"/>
  <c r="G498" i="7"/>
  <c r="H498" i="7" s="1"/>
  <c r="M498" i="7"/>
  <c r="G499" i="7"/>
  <c r="H499" i="7" s="1"/>
  <c r="I499" i="7"/>
  <c r="M499" i="7"/>
  <c r="G500" i="7"/>
  <c r="H500" i="7" s="1"/>
  <c r="I500" i="7"/>
  <c r="M500" i="7"/>
  <c r="G501" i="7"/>
  <c r="H501" i="7" s="1"/>
  <c r="I501" i="7"/>
  <c r="M501" i="7"/>
  <c r="G502" i="7"/>
  <c r="H502" i="7" s="1"/>
  <c r="M502" i="7"/>
  <c r="G503" i="7"/>
  <c r="H503" i="7" s="1"/>
  <c r="I503" i="7"/>
  <c r="M503" i="7"/>
  <c r="G504" i="7"/>
  <c r="H504" i="7" s="1"/>
  <c r="I504" i="7"/>
  <c r="M504" i="7"/>
  <c r="G505" i="7"/>
  <c r="H505" i="7" s="1"/>
  <c r="M505" i="7"/>
  <c r="G506" i="7"/>
  <c r="H506" i="7" s="1"/>
  <c r="M506" i="7"/>
  <c r="G507" i="7"/>
  <c r="H507" i="7" s="1"/>
  <c r="I507" i="7"/>
  <c r="M507" i="7"/>
  <c r="G508" i="7"/>
  <c r="H508" i="7" s="1"/>
  <c r="I508" i="7"/>
  <c r="M508" i="7"/>
  <c r="G509" i="7"/>
  <c r="H509" i="7" s="1"/>
  <c r="I509" i="7"/>
  <c r="M509" i="7"/>
  <c r="G510" i="7"/>
  <c r="H510" i="7" s="1"/>
  <c r="M510" i="7"/>
  <c r="G511" i="7"/>
  <c r="H511" i="7" s="1"/>
  <c r="I511" i="7"/>
  <c r="M511" i="7"/>
  <c r="G512" i="7"/>
  <c r="H512" i="7" s="1"/>
  <c r="I512" i="7"/>
  <c r="M512" i="7"/>
  <c r="G513" i="7"/>
  <c r="H513" i="7" s="1"/>
  <c r="M513" i="7"/>
  <c r="G514" i="7"/>
  <c r="H514" i="7" s="1"/>
  <c r="M514" i="7"/>
  <c r="G515" i="7"/>
  <c r="H515" i="7" s="1"/>
  <c r="I515" i="7"/>
  <c r="M515" i="7"/>
  <c r="G516" i="7"/>
  <c r="H516" i="7" s="1"/>
  <c r="I516" i="7"/>
  <c r="M516" i="7"/>
  <c r="G517" i="7"/>
  <c r="H517" i="7" s="1"/>
  <c r="I517" i="7"/>
  <c r="M517" i="7"/>
  <c r="G518" i="7"/>
  <c r="H518" i="7" s="1"/>
  <c r="M518" i="7"/>
  <c r="G519" i="7"/>
  <c r="H519" i="7" s="1"/>
  <c r="I519" i="7"/>
  <c r="M519" i="7"/>
  <c r="G520" i="7"/>
  <c r="H520" i="7" s="1"/>
  <c r="M520" i="7"/>
  <c r="G521" i="7"/>
  <c r="H521" i="7" s="1"/>
  <c r="M521" i="7"/>
  <c r="G522" i="7"/>
  <c r="H522" i="7" s="1"/>
  <c r="M522" i="7"/>
  <c r="G523" i="7"/>
  <c r="H523" i="7" s="1"/>
  <c r="I523" i="7"/>
  <c r="M523" i="7"/>
  <c r="G524" i="7"/>
  <c r="H524" i="7" s="1"/>
  <c r="M524" i="7"/>
  <c r="G525" i="7"/>
  <c r="H525" i="7" s="1"/>
  <c r="I525" i="7"/>
  <c r="M525" i="7"/>
  <c r="G526" i="7"/>
  <c r="H526" i="7" s="1"/>
  <c r="M526" i="7"/>
  <c r="G527" i="7"/>
  <c r="H527" i="7" s="1"/>
  <c r="I527" i="7"/>
  <c r="M527" i="7"/>
  <c r="G528" i="7"/>
  <c r="H528" i="7" s="1"/>
  <c r="M528" i="7"/>
  <c r="G529" i="7"/>
  <c r="H529" i="7" s="1"/>
  <c r="M529" i="7"/>
  <c r="G530" i="7"/>
  <c r="H530" i="7" s="1"/>
  <c r="M530" i="7"/>
  <c r="G531" i="7"/>
  <c r="H531" i="7" s="1"/>
  <c r="I531" i="7"/>
  <c r="M531" i="7"/>
  <c r="G532" i="7"/>
  <c r="H532" i="7" s="1"/>
  <c r="M532" i="7"/>
  <c r="G533" i="7"/>
  <c r="H533" i="7" s="1"/>
  <c r="I533" i="7"/>
  <c r="M533" i="7"/>
  <c r="G534" i="7"/>
  <c r="H534" i="7" s="1"/>
  <c r="M534" i="7"/>
  <c r="G535" i="7"/>
  <c r="H535" i="7" s="1"/>
  <c r="I535" i="7"/>
  <c r="M535" i="7"/>
  <c r="G536" i="7"/>
  <c r="H536" i="7" s="1"/>
  <c r="M536" i="7"/>
  <c r="G537" i="7"/>
  <c r="H537" i="7" s="1"/>
  <c r="M537" i="7"/>
  <c r="G538" i="7"/>
  <c r="H538" i="7" s="1"/>
  <c r="M538" i="7"/>
  <c r="G539" i="7"/>
  <c r="H539" i="7" s="1"/>
  <c r="I539" i="7"/>
  <c r="M539" i="7"/>
  <c r="G540" i="7"/>
  <c r="H540" i="7" s="1"/>
  <c r="M540" i="7"/>
  <c r="G541" i="7"/>
  <c r="H541" i="7" s="1"/>
  <c r="I541" i="7"/>
  <c r="M541" i="7"/>
  <c r="G542" i="7"/>
  <c r="H542" i="7" s="1"/>
  <c r="M542" i="7"/>
  <c r="G543" i="7"/>
  <c r="H543" i="7" s="1"/>
  <c r="I543" i="7"/>
  <c r="M543" i="7"/>
  <c r="G544" i="7"/>
  <c r="H544" i="7" s="1"/>
  <c r="M544" i="7"/>
  <c r="G545" i="7"/>
  <c r="H545" i="7" s="1"/>
  <c r="M545" i="7"/>
  <c r="G546" i="7"/>
  <c r="H546" i="7" s="1"/>
  <c r="M546" i="7"/>
  <c r="G547" i="7"/>
  <c r="H547" i="7" s="1"/>
  <c r="I547" i="7"/>
  <c r="M547" i="7"/>
  <c r="G548" i="7"/>
  <c r="H548" i="7" s="1"/>
  <c r="M548" i="7"/>
  <c r="G549" i="7"/>
  <c r="H549" i="7" s="1"/>
  <c r="I549" i="7"/>
  <c r="M549" i="7"/>
  <c r="G550" i="7"/>
  <c r="H550" i="7" s="1"/>
  <c r="M550" i="7"/>
  <c r="G551" i="7"/>
  <c r="H551" i="7" s="1"/>
  <c r="I551" i="7"/>
  <c r="M551" i="7"/>
  <c r="G552" i="7"/>
  <c r="H552" i="7" s="1"/>
  <c r="M552" i="7"/>
  <c r="G553" i="7"/>
  <c r="H553" i="7" s="1"/>
  <c r="M553" i="7"/>
  <c r="G554" i="7"/>
  <c r="H554" i="7" s="1"/>
  <c r="M554" i="7"/>
  <c r="G555" i="7"/>
  <c r="H555" i="7" s="1"/>
  <c r="I555" i="7"/>
  <c r="M555" i="7"/>
  <c r="G556" i="7"/>
  <c r="H556" i="7" s="1"/>
  <c r="M556" i="7"/>
  <c r="G557" i="7"/>
  <c r="H557" i="7" s="1"/>
  <c r="I557" i="7"/>
  <c r="M557" i="7"/>
  <c r="G558" i="7"/>
  <c r="H558" i="7" s="1"/>
  <c r="M558" i="7"/>
  <c r="G559" i="7"/>
  <c r="H559" i="7" s="1"/>
  <c r="I559" i="7"/>
  <c r="M559" i="7"/>
  <c r="G560" i="7"/>
  <c r="H560" i="7" s="1"/>
  <c r="M560" i="7"/>
  <c r="G561" i="7"/>
  <c r="H561" i="7" s="1"/>
  <c r="M561" i="7"/>
  <c r="G562" i="7"/>
  <c r="H562" i="7" s="1"/>
  <c r="M562" i="7"/>
  <c r="G563" i="7"/>
  <c r="H563" i="7" s="1"/>
  <c r="I563" i="7"/>
  <c r="M563" i="7"/>
  <c r="G564" i="7"/>
  <c r="H564" i="7" s="1"/>
  <c r="M564" i="7"/>
  <c r="G565" i="7"/>
  <c r="H565" i="7" s="1"/>
  <c r="I565" i="7"/>
  <c r="M565" i="7"/>
  <c r="G566" i="7"/>
  <c r="H566" i="7" s="1"/>
  <c r="M566" i="7"/>
  <c r="G567" i="7"/>
  <c r="H567" i="7" s="1"/>
  <c r="I567" i="7"/>
  <c r="M567" i="7"/>
  <c r="G568" i="7"/>
  <c r="H568" i="7" s="1"/>
  <c r="M568" i="7"/>
  <c r="G569" i="7"/>
  <c r="H569" i="7" s="1"/>
  <c r="M569" i="7"/>
  <c r="G570" i="7"/>
  <c r="H570" i="7" s="1"/>
  <c r="M570" i="7"/>
  <c r="G571" i="7"/>
  <c r="H571" i="7" s="1"/>
  <c r="I571" i="7"/>
  <c r="M571" i="7"/>
  <c r="G572" i="7"/>
  <c r="H572" i="7" s="1"/>
  <c r="M572" i="7"/>
  <c r="G573" i="7"/>
  <c r="H573" i="7" s="1"/>
  <c r="I573" i="7"/>
  <c r="M573" i="7"/>
  <c r="G574" i="7"/>
  <c r="H574" i="7" s="1"/>
  <c r="M574" i="7"/>
  <c r="G575" i="7"/>
  <c r="H575" i="7" s="1"/>
  <c r="I575" i="7"/>
  <c r="M575" i="7"/>
  <c r="G576" i="7"/>
  <c r="H576" i="7" s="1"/>
  <c r="M576" i="7"/>
  <c r="G577" i="7"/>
  <c r="H577" i="7" s="1"/>
  <c r="M577" i="7"/>
  <c r="G578" i="7"/>
  <c r="H578" i="7" s="1"/>
  <c r="M578" i="7"/>
  <c r="G579" i="7"/>
  <c r="H579" i="7" s="1"/>
  <c r="I579" i="7"/>
  <c r="M579" i="7"/>
  <c r="G580" i="7"/>
  <c r="H580" i="7" s="1"/>
  <c r="M580" i="7"/>
  <c r="G581" i="7"/>
  <c r="H581" i="7" s="1"/>
  <c r="I581" i="7"/>
  <c r="M581" i="7"/>
  <c r="G582" i="7"/>
  <c r="H582" i="7" s="1"/>
  <c r="M582" i="7"/>
  <c r="G583" i="7"/>
  <c r="H583" i="7" s="1"/>
  <c r="I583" i="7"/>
  <c r="M583" i="7"/>
  <c r="G584" i="7"/>
  <c r="H584" i="7" s="1"/>
  <c r="M584" i="7"/>
  <c r="G585" i="7"/>
  <c r="H585" i="7" s="1"/>
  <c r="M585" i="7"/>
  <c r="G586" i="7"/>
  <c r="H586" i="7" s="1"/>
  <c r="M586" i="7"/>
  <c r="G587" i="7"/>
  <c r="H587" i="7" s="1"/>
  <c r="I587" i="7"/>
  <c r="M587" i="7"/>
  <c r="G588" i="7"/>
  <c r="H588" i="7" s="1"/>
  <c r="M588" i="7"/>
  <c r="G589" i="7"/>
  <c r="H589" i="7" s="1"/>
  <c r="I589" i="7"/>
  <c r="M589" i="7"/>
  <c r="G590" i="7"/>
  <c r="H590" i="7" s="1"/>
  <c r="M590" i="7"/>
  <c r="G591" i="7"/>
  <c r="H591" i="7" s="1"/>
  <c r="I591" i="7"/>
  <c r="M591" i="7"/>
  <c r="G592" i="7"/>
  <c r="H592" i="7" s="1"/>
  <c r="M592" i="7"/>
  <c r="G593" i="7"/>
  <c r="H593" i="7" s="1"/>
  <c r="M593" i="7"/>
  <c r="G594" i="7"/>
  <c r="H594" i="7" s="1"/>
  <c r="I594" i="7"/>
  <c r="M594" i="7"/>
  <c r="G595" i="7"/>
  <c r="H595" i="7" s="1"/>
  <c r="I595" i="7"/>
  <c r="M595" i="7"/>
  <c r="G596" i="7"/>
  <c r="H596" i="7" s="1"/>
  <c r="I596" i="7"/>
  <c r="M596" i="7"/>
  <c r="G597" i="7"/>
  <c r="H597" i="7" s="1"/>
  <c r="M597" i="7"/>
  <c r="G598" i="7"/>
  <c r="H598" i="7" s="1"/>
  <c r="I598" i="7"/>
  <c r="M598" i="7"/>
  <c r="G599" i="7"/>
  <c r="H599" i="7" s="1"/>
  <c r="I599" i="7"/>
  <c r="M599" i="7"/>
  <c r="G600" i="7"/>
  <c r="H600" i="7" s="1"/>
  <c r="I600" i="7"/>
  <c r="M600" i="7"/>
  <c r="G601" i="7"/>
  <c r="H601" i="7" s="1"/>
  <c r="M601" i="7"/>
  <c r="G602" i="7"/>
  <c r="H602" i="7" s="1"/>
  <c r="I602" i="7"/>
  <c r="M602" i="7"/>
  <c r="G603" i="7"/>
  <c r="H603" i="7" s="1"/>
  <c r="I603" i="7"/>
  <c r="M603" i="7"/>
  <c r="G604" i="7"/>
  <c r="H604" i="7" s="1"/>
  <c r="I604" i="7"/>
  <c r="M604" i="7"/>
  <c r="G605" i="7"/>
  <c r="H605" i="7" s="1"/>
  <c r="M605" i="7"/>
  <c r="G606" i="7"/>
  <c r="H606" i="7" s="1"/>
  <c r="I606" i="7"/>
  <c r="M606" i="7"/>
  <c r="G607" i="7"/>
  <c r="H607" i="7" s="1"/>
  <c r="I607" i="7"/>
  <c r="M607" i="7"/>
  <c r="G608" i="7"/>
  <c r="H608" i="7" s="1"/>
  <c r="I608" i="7"/>
  <c r="M608" i="7"/>
  <c r="G609" i="7"/>
  <c r="H609" i="7" s="1"/>
  <c r="M609" i="7"/>
  <c r="G610" i="7"/>
  <c r="H610" i="7" s="1"/>
  <c r="I610" i="7"/>
  <c r="M610" i="7"/>
  <c r="G611" i="7"/>
  <c r="H611" i="7" s="1"/>
  <c r="I611" i="7"/>
  <c r="M611" i="7"/>
  <c r="G612" i="7"/>
  <c r="H612" i="7" s="1"/>
  <c r="I612" i="7"/>
  <c r="M612" i="7"/>
  <c r="G613" i="7"/>
  <c r="H613" i="7" s="1"/>
  <c r="M613" i="7"/>
  <c r="G614" i="7"/>
  <c r="H614" i="7" s="1"/>
  <c r="I614" i="7"/>
  <c r="M614" i="7"/>
  <c r="G615" i="7"/>
  <c r="H615" i="7" s="1"/>
  <c r="I615" i="7"/>
  <c r="M615" i="7"/>
  <c r="G616" i="7"/>
  <c r="H616" i="7" s="1"/>
  <c r="I616" i="7"/>
  <c r="M616" i="7"/>
  <c r="G617" i="7"/>
  <c r="H617" i="7" s="1"/>
  <c r="M617" i="7"/>
  <c r="G618" i="7"/>
  <c r="H618" i="7" s="1"/>
  <c r="I618" i="7"/>
  <c r="M618" i="7"/>
  <c r="G619" i="7"/>
  <c r="H619" i="7" s="1"/>
  <c r="I619" i="7"/>
  <c r="M619" i="7"/>
  <c r="G620" i="7"/>
  <c r="H620" i="7" s="1"/>
  <c r="I620" i="7"/>
  <c r="M620" i="7"/>
  <c r="G621" i="7"/>
  <c r="H621" i="7" s="1"/>
  <c r="M621" i="7"/>
  <c r="G622" i="7"/>
  <c r="H622" i="7" s="1"/>
  <c r="I622" i="7"/>
  <c r="M622" i="7"/>
  <c r="G623" i="7"/>
  <c r="H623" i="7" s="1"/>
  <c r="I623" i="7"/>
  <c r="M623" i="7"/>
  <c r="G624" i="7"/>
  <c r="H624" i="7" s="1"/>
  <c r="I624" i="7"/>
  <c r="M624" i="7"/>
  <c r="G625" i="7"/>
  <c r="H625" i="7" s="1"/>
  <c r="M625" i="7"/>
  <c r="G626" i="7"/>
  <c r="H626" i="7" s="1"/>
  <c r="I626" i="7"/>
  <c r="M626" i="7"/>
  <c r="G627" i="7"/>
  <c r="H627" i="7" s="1"/>
  <c r="I627" i="7"/>
  <c r="M627" i="7"/>
  <c r="G628" i="7"/>
  <c r="H628" i="7" s="1"/>
  <c r="I628" i="7"/>
  <c r="M628" i="7"/>
  <c r="G629" i="7"/>
  <c r="H629" i="7" s="1"/>
  <c r="M629" i="7"/>
  <c r="G630" i="7"/>
  <c r="H630" i="7" s="1"/>
  <c r="I630" i="7"/>
  <c r="M630" i="7"/>
  <c r="G631" i="7"/>
  <c r="H631" i="7" s="1"/>
  <c r="I631" i="7"/>
  <c r="M631" i="7"/>
  <c r="G632" i="7"/>
  <c r="H632" i="7" s="1"/>
  <c r="I632" i="7"/>
  <c r="M632" i="7"/>
  <c r="G633" i="7"/>
  <c r="H633" i="7" s="1"/>
  <c r="M633" i="7"/>
  <c r="G634" i="7"/>
  <c r="H634" i="7" s="1"/>
  <c r="I634" i="7"/>
  <c r="M634" i="7"/>
  <c r="G635" i="7"/>
  <c r="H635" i="7" s="1"/>
  <c r="I635" i="7"/>
  <c r="M635" i="7"/>
  <c r="G636" i="7"/>
  <c r="H636" i="7" s="1"/>
  <c r="I636" i="7"/>
  <c r="M636" i="7"/>
  <c r="G637" i="7"/>
  <c r="H637" i="7" s="1"/>
  <c r="M637" i="7"/>
  <c r="G638" i="7"/>
  <c r="H638" i="7" s="1"/>
  <c r="I638" i="7"/>
  <c r="M638" i="7"/>
  <c r="G639" i="7"/>
  <c r="H639" i="7" s="1"/>
  <c r="I639" i="7"/>
  <c r="M639" i="7"/>
  <c r="G640" i="7"/>
  <c r="H640" i="7" s="1"/>
  <c r="I640" i="7"/>
  <c r="M640" i="7"/>
  <c r="G641" i="7"/>
  <c r="H641" i="7" s="1"/>
  <c r="M641" i="7"/>
  <c r="G642" i="7"/>
  <c r="H642" i="7" s="1"/>
  <c r="I642" i="7"/>
  <c r="M642" i="7"/>
  <c r="G643" i="7"/>
  <c r="H643" i="7" s="1"/>
  <c r="I643" i="7"/>
  <c r="M643" i="7"/>
  <c r="G644" i="7"/>
  <c r="H644" i="7" s="1"/>
  <c r="I644" i="7"/>
  <c r="M644" i="7"/>
  <c r="G645" i="7"/>
  <c r="H645" i="7" s="1"/>
  <c r="M645" i="7"/>
  <c r="G646" i="7"/>
  <c r="H646" i="7" s="1"/>
  <c r="I646" i="7"/>
  <c r="M646" i="7"/>
  <c r="G647" i="7"/>
  <c r="H647" i="7" s="1"/>
  <c r="I647" i="7"/>
  <c r="M647" i="7"/>
  <c r="G648" i="7"/>
  <c r="H648" i="7" s="1"/>
  <c r="I648" i="7"/>
  <c r="M648" i="7"/>
  <c r="G649" i="7"/>
  <c r="H649" i="7" s="1"/>
  <c r="M649" i="7"/>
  <c r="G650" i="7"/>
  <c r="H650" i="7" s="1"/>
  <c r="I650" i="7"/>
  <c r="M650" i="7"/>
  <c r="G651" i="7"/>
  <c r="H651" i="7" s="1"/>
  <c r="I651" i="7"/>
  <c r="M651" i="7"/>
  <c r="G652" i="7"/>
  <c r="H652" i="7" s="1"/>
  <c r="I652" i="7"/>
  <c r="M652" i="7"/>
  <c r="G653" i="7"/>
  <c r="H653" i="7" s="1"/>
  <c r="M653" i="7"/>
  <c r="G654" i="7"/>
  <c r="H654" i="7" s="1"/>
  <c r="I654" i="7"/>
  <c r="M654" i="7"/>
  <c r="G655" i="7"/>
  <c r="H655" i="7" s="1"/>
  <c r="I655" i="7"/>
  <c r="M655" i="7"/>
  <c r="G656" i="7"/>
  <c r="H656" i="7" s="1"/>
  <c r="I656" i="7"/>
  <c r="M656" i="7"/>
  <c r="G657" i="7"/>
  <c r="H657" i="7" s="1"/>
  <c r="M657" i="7"/>
  <c r="G658" i="7"/>
  <c r="H658" i="7" s="1"/>
  <c r="I658" i="7"/>
  <c r="M658" i="7"/>
  <c r="G659" i="7"/>
  <c r="H659" i="7" s="1"/>
  <c r="I659" i="7"/>
  <c r="M659" i="7"/>
  <c r="G660" i="7"/>
  <c r="H660" i="7" s="1"/>
  <c r="I660" i="7"/>
  <c r="M660" i="7"/>
  <c r="G661" i="7"/>
  <c r="H661" i="7" s="1"/>
  <c r="M661" i="7"/>
  <c r="G662" i="7"/>
  <c r="H662" i="7" s="1"/>
  <c r="I662" i="7"/>
  <c r="M662" i="7"/>
  <c r="G663" i="7"/>
  <c r="H663" i="7" s="1"/>
  <c r="I663" i="7"/>
  <c r="M663" i="7"/>
  <c r="G664" i="7"/>
  <c r="H664" i="7" s="1"/>
  <c r="I664" i="7"/>
  <c r="M664" i="7"/>
  <c r="G665" i="7"/>
  <c r="H665" i="7" s="1"/>
  <c r="M665" i="7"/>
  <c r="G666" i="7"/>
  <c r="H666" i="7" s="1"/>
  <c r="I666" i="7"/>
  <c r="M666" i="7"/>
  <c r="G667" i="7"/>
  <c r="H667" i="7" s="1"/>
  <c r="I667" i="7"/>
  <c r="M667" i="7"/>
  <c r="G668" i="7"/>
  <c r="H668" i="7" s="1"/>
  <c r="I668" i="7"/>
  <c r="M668" i="7"/>
  <c r="G669" i="7"/>
  <c r="H669" i="7" s="1"/>
  <c r="M669" i="7"/>
  <c r="G670" i="7"/>
  <c r="H670" i="7" s="1"/>
  <c r="I670" i="7"/>
  <c r="M670" i="7"/>
  <c r="G671" i="7"/>
  <c r="H671" i="7" s="1"/>
  <c r="I671" i="7"/>
  <c r="M671" i="7"/>
  <c r="G672" i="7"/>
  <c r="H672" i="7" s="1"/>
  <c r="I672" i="7"/>
  <c r="M672" i="7"/>
  <c r="G673" i="7"/>
  <c r="H673" i="7" s="1"/>
  <c r="M673" i="7"/>
  <c r="G674" i="7"/>
  <c r="H674" i="7" s="1"/>
  <c r="I674" i="7"/>
  <c r="M674" i="7"/>
  <c r="G675" i="7"/>
  <c r="H675" i="7" s="1"/>
  <c r="I675" i="7"/>
  <c r="M675" i="7"/>
  <c r="G676" i="7"/>
  <c r="H676" i="7" s="1"/>
  <c r="I676" i="7"/>
  <c r="M676" i="7"/>
  <c r="G677" i="7"/>
  <c r="H677" i="7" s="1"/>
  <c r="M677" i="7"/>
  <c r="G678" i="7"/>
  <c r="H678" i="7" s="1"/>
  <c r="I678" i="7"/>
  <c r="M678" i="7"/>
  <c r="G679" i="7"/>
  <c r="H679" i="7" s="1"/>
  <c r="I679" i="7"/>
  <c r="M679" i="7"/>
  <c r="G680" i="7"/>
  <c r="H680" i="7" s="1"/>
  <c r="I680" i="7"/>
  <c r="M680" i="7"/>
  <c r="G681" i="7"/>
  <c r="H681" i="7" s="1"/>
  <c r="M681" i="7"/>
  <c r="G682" i="7"/>
  <c r="H682" i="7" s="1"/>
  <c r="I682" i="7"/>
  <c r="M682" i="7"/>
  <c r="G683" i="7"/>
  <c r="H683" i="7" s="1"/>
  <c r="I683" i="7"/>
  <c r="M683" i="7"/>
  <c r="G684" i="7"/>
  <c r="H684" i="7" s="1"/>
  <c r="I684" i="7"/>
  <c r="M684" i="7"/>
  <c r="G685" i="7"/>
  <c r="H685" i="7" s="1"/>
  <c r="M685" i="7"/>
  <c r="G686" i="7"/>
  <c r="H686" i="7" s="1"/>
  <c r="I686" i="7"/>
  <c r="M686" i="7"/>
  <c r="G687" i="7"/>
  <c r="H687" i="7" s="1"/>
  <c r="I687" i="7"/>
  <c r="M687" i="7"/>
  <c r="G688" i="7"/>
  <c r="H688" i="7" s="1"/>
  <c r="I688" i="7"/>
  <c r="M688" i="7"/>
  <c r="G689" i="7"/>
  <c r="H689" i="7" s="1"/>
  <c r="M689" i="7"/>
  <c r="G690" i="7"/>
  <c r="H690" i="7" s="1"/>
  <c r="I690" i="7"/>
  <c r="M690" i="7"/>
  <c r="G691" i="7"/>
  <c r="H691" i="7" s="1"/>
  <c r="I691" i="7"/>
  <c r="M691" i="7"/>
  <c r="G692" i="7"/>
  <c r="H692" i="7" s="1"/>
  <c r="I692" i="7"/>
  <c r="M692" i="7"/>
  <c r="G693" i="7"/>
  <c r="H693" i="7" s="1"/>
  <c r="M693" i="7"/>
  <c r="G694" i="7"/>
  <c r="H694" i="7" s="1"/>
  <c r="I694" i="7"/>
  <c r="M694" i="7"/>
  <c r="G695" i="7"/>
  <c r="H695" i="7" s="1"/>
  <c r="I695" i="7"/>
  <c r="M695" i="7"/>
  <c r="G696" i="7"/>
  <c r="H696" i="7" s="1"/>
  <c r="I696" i="7"/>
  <c r="M696" i="7"/>
  <c r="G697" i="7"/>
  <c r="H697" i="7" s="1"/>
  <c r="M697" i="7"/>
  <c r="G698" i="7"/>
  <c r="H698" i="7" s="1"/>
  <c r="I698" i="7"/>
  <c r="M698" i="7"/>
  <c r="G699" i="7"/>
  <c r="H699" i="7" s="1"/>
  <c r="I699" i="7"/>
  <c r="M699" i="7"/>
  <c r="G700" i="7"/>
  <c r="H700" i="7" s="1"/>
  <c r="I700" i="7"/>
  <c r="M700" i="7"/>
  <c r="G701" i="7"/>
  <c r="H701" i="7" s="1"/>
  <c r="M701" i="7"/>
  <c r="G702" i="7"/>
  <c r="H702" i="7" s="1"/>
  <c r="I702" i="7"/>
  <c r="M702" i="7"/>
  <c r="G703" i="7"/>
  <c r="H703" i="7" s="1"/>
  <c r="I703" i="7"/>
  <c r="M703" i="7"/>
  <c r="G704" i="7"/>
  <c r="H704" i="7" s="1"/>
  <c r="I704" i="7"/>
  <c r="M704" i="7"/>
  <c r="G705" i="7"/>
  <c r="H705" i="7" s="1"/>
  <c r="M705" i="7"/>
  <c r="G706" i="7"/>
  <c r="H706" i="7" s="1"/>
  <c r="I706" i="7"/>
  <c r="M706" i="7"/>
  <c r="G707" i="7"/>
  <c r="H707" i="7" s="1"/>
  <c r="I707" i="7"/>
  <c r="M707" i="7"/>
  <c r="G708" i="7"/>
  <c r="H708" i="7" s="1"/>
  <c r="I708" i="7"/>
  <c r="M708" i="7"/>
  <c r="G709" i="7"/>
  <c r="H709" i="7" s="1"/>
  <c r="M709" i="7"/>
  <c r="G710" i="7"/>
  <c r="H710" i="7" s="1"/>
  <c r="I710" i="7"/>
  <c r="M710" i="7"/>
  <c r="G711" i="7"/>
  <c r="H711" i="7" s="1"/>
  <c r="I711" i="7"/>
  <c r="M711" i="7"/>
  <c r="G712" i="7"/>
  <c r="H712" i="7" s="1"/>
  <c r="I712" i="7"/>
  <c r="M712" i="7"/>
  <c r="G713" i="7"/>
  <c r="H713" i="7" s="1"/>
  <c r="M713" i="7"/>
  <c r="G714" i="7"/>
  <c r="H714" i="7" s="1"/>
  <c r="I714" i="7"/>
  <c r="M714" i="7"/>
  <c r="G715" i="7"/>
  <c r="H715" i="7" s="1"/>
  <c r="I715" i="7"/>
  <c r="M715" i="7"/>
  <c r="G716" i="7"/>
  <c r="H716" i="7" s="1"/>
  <c r="I716" i="7"/>
  <c r="M716" i="7"/>
  <c r="G717" i="7"/>
  <c r="H717" i="7" s="1"/>
  <c r="M717" i="7"/>
  <c r="G718" i="7"/>
  <c r="H718" i="7" s="1"/>
  <c r="I718" i="7"/>
  <c r="M718" i="7"/>
  <c r="G719" i="7"/>
  <c r="H719" i="7" s="1"/>
  <c r="I719" i="7"/>
  <c r="M719" i="7"/>
  <c r="G720" i="7"/>
  <c r="H720" i="7" s="1"/>
  <c r="I720" i="7"/>
  <c r="M720" i="7"/>
  <c r="G721" i="7"/>
  <c r="H721" i="7" s="1"/>
  <c r="M721" i="7"/>
  <c r="G722" i="7"/>
  <c r="H722" i="7" s="1"/>
  <c r="I722" i="7"/>
  <c r="M722" i="7"/>
  <c r="G723" i="7"/>
  <c r="H723" i="7" s="1"/>
  <c r="I723" i="7"/>
  <c r="M723" i="7"/>
  <c r="G724" i="7"/>
  <c r="H724" i="7" s="1"/>
  <c r="I724" i="7"/>
  <c r="M724" i="7"/>
  <c r="G725" i="7"/>
  <c r="H725" i="7" s="1"/>
  <c r="M725" i="7"/>
  <c r="G726" i="7"/>
  <c r="H726" i="7" s="1"/>
  <c r="I726" i="7"/>
  <c r="M726" i="7"/>
  <c r="G727" i="7"/>
  <c r="H727" i="7" s="1"/>
  <c r="I727" i="7"/>
  <c r="M727" i="7"/>
  <c r="G728" i="7"/>
  <c r="H728" i="7" s="1"/>
  <c r="I728" i="7"/>
  <c r="M728" i="7"/>
  <c r="G729" i="7"/>
  <c r="H729" i="7" s="1"/>
  <c r="M729" i="7"/>
  <c r="G730" i="7"/>
  <c r="H730" i="7" s="1"/>
  <c r="I730" i="7"/>
  <c r="M730" i="7"/>
  <c r="G731" i="7"/>
  <c r="H731" i="7" s="1"/>
  <c r="I731" i="7"/>
  <c r="M731" i="7"/>
  <c r="G732" i="7"/>
  <c r="H732" i="7" s="1"/>
  <c r="I732" i="7"/>
  <c r="M732" i="7"/>
  <c r="G733" i="7"/>
  <c r="H733" i="7" s="1"/>
  <c r="M733" i="7"/>
  <c r="G734" i="7"/>
  <c r="H734" i="7" s="1"/>
  <c r="I734" i="7"/>
  <c r="M734" i="7"/>
  <c r="G735" i="7"/>
  <c r="H735" i="7" s="1"/>
  <c r="I735" i="7"/>
  <c r="M735" i="7"/>
  <c r="G736" i="7"/>
  <c r="H736" i="7" s="1"/>
  <c r="I736" i="7"/>
  <c r="M736" i="7"/>
  <c r="G737" i="7"/>
  <c r="H737" i="7" s="1"/>
  <c r="M737" i="7"/>
  <c r="G738" i="7"/>
  <c r="H738" i="7" s="1"/>
  <c r="I738" i="7"/>
  <c r="M738" i="7"/>
  <c r="G739" i="7"/>
  <c r="H739" i="7" s="1"/>
  <c r="I739" i="7"/>
  <c r="M739" i="7"/>
  <c r="G740" i="7"/>
  <c r="H740" i="7" s="1"/>
  <c r="I740" i="7"/>
  <c r="M740" i="7"/>
  <c r="G741" i="7"/>
  <c r="H741" i="7" s="1"/>
  <c r="M741" i="7"/>
  <c r="G742" i="7"/>
  <c r="H742" i="7" s="1"/>
  <c r="I742" i="7"/>
  <c r="M742" i="7"/>
  <c r="G743" i="7"/>
  <c r="H743" i="7" s="1"/>
  <c r="I743" i="7"/>
  <c r="M743" i="7"/>
  <c r="F2" i="6"/>
  <c r="F3" i="6"/>
  <c r="F4" i="6"/>
  <c r="F5" i="6"/>
  <c r="F6" i="6"/>
  <c r="F7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7" i="6"/>
  <c r="F28" i="6"/>
  <c r="F29" i="6"/>
  <c r="F30" i="6"/>
  <c r="F31" i="6"/>
  <c r="F32" i="6"/>
  <c r="F33" i="6"/>
  <c r="F34" i="6"/>
  <c r="F35" i="6"/>
  <c r="F36" i="6"/>
  <c r="F38" i="6"/>
  <c r="F39" i="6"/>
  <c r="F40" i="6"/>
  <c r="F41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4" i="6"/>
  <c r="F105" i="6"/>
  <c r="F106" i="6"/>
  <c r="F107" i="6"/>
  <c r="F108" i="6"/>
  <c r="F109" i="6"/>
  <c r="F110" i="6"/>
  <c r="F111" i="6"/>
  <c r="F113" i="6"/>
  <c r="F114" i="6"/>
  <c r="F115" i="6"/>
  <c r="F116" i="6"/>
  <c r="F117" i="6"/>
  <c r="F118" i="6"/>
  <c r="F119" i="6"/>
  <c r="F120" i="6"/>
  <c r="F121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3" i="6"/>
  <c r="F144" i="6"/>
  <c r="F145" i="6"/>
  <c r="F146" i="6"/>
  <c r="F147" i="6"/>
  <c r="F148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90" i="6"/>
  <c r="F191" i="6"/>
  <c r="F192" i="6"/>
  <c r="F193" i="6"/>
  <c r="F194" i="6"/>
  <c r="F195" i="6"/>
  <c r="F196" i="6"/>
  <c r="F197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4" i="6"/>
  <c r="F355" i="6"/>
  <c r="F356" i="6"/>
  <c r="F357" i="6"/>
  <c r="F358" i="6"/>
  <c r="F359" i="6"/>
  <c r="F360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40" i="6"/>
  <c r="F441" i="6"/>
  <c r="F442" i="6"/>
  <c r="F443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3" i="6"/>
  <c r="F774" i="6"/>
  <c r="F775" i="6"/>
  <c r="F776" i="6"/>
  <c r="F777" i="6"/>
  <c r="F779" i="6"/>
  <c r="F780" i="6"/>
  <c r="F781" i="6"/>
  <c r="F782" i="6"/>
  <c r="F783" i="6"/>
  <c r="F784" i="6"/>
  <c r="F2" i="5"/>
  <c r="F3" i="5"/>
  <c r="F4" i="5"/>
  <c r="F5" i="5"/>
  <c r="F6" i="5"/>
  <c r="F7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7" i="5"/>
  <c r="F28" i="5"/>
  <c r="F29" i="5"/>
  <c r="F30" i="5"/>
  <c r="F31" i="5"/>
  <c r="F32" i="5"/>
  <c r="F33" i="5"/>
  <c r="F34" i="5"/>
  <c r="F35" i="5"/>
  <c r="F36" i="5"/>
  <c r="F38" i="5"/>
  <c r="F39" i="5"/>
  <c r="F40" i="5"/>
  <c r="F41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4" i="5"/>
  <c r="F105" i="5"/>
  <c r="F106" i="5"/>
  <c r="F107" i="5"/>
  <c r="F108" i="5"/>
  <c r="F109" i="5"/>
  <c r="F110" i="5"/>
  <c r="F111" i="5"/>
  <c r="F113" i="5"/>
  <c r="F114" i="5"/>
  <c r="F115" i="5"/>
  <c r="F116" i="5"/>
  <c r="F117" i="5"/>
  <c r="F118" i="5"/>
  <c r="F119" i="5"/>
  <c r="F120" i="5"/>
  <c r="F121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3" i="5"/>
  <c r="F144" i="5"/>
  <c r="F145" i="5"/>
  <c r="F146" i="5"/>
  <c r="F147" i="5"/>
  <c r="F148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90" i="5"/>
  <c r="F191" i="5"/>
  <c r="F192" i="5"/>
  <c r="F193" i="5"/>
  <c r="F194" i="5"/>
  <c r="F195" i="5"/>
  <c r="F196" i="5"/>
  <c r="F197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4" i="5"/>
  <c r="F355" i="5"/>
  <c r="F356" i="5"/>
  <c r="F357" i="5"/>
  <c r="F358" i="5"/>
  <c r="F359" i="5"/>
  <c r="F360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40" i="5"/>
  <c r="F441" i="5"/>
  <c r="F442" i="5"/>
  <c r="F443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3" i="5"/>
  <c r="F774" i="5"/>
  <c r="F775" i="5"/>
  <c r="F776" i="5"/>
  <c r="F777" i="5"/>
  <c r="F779" i="5"/>
  <c r="F780" i="5"/>
  <c r="F781" i="5"/>
  <c r="F782" i="5"/>
  <c r="F783" i="5"/>
  <c r="F784" i="5"/>
  <c r="H463" i="4"/>
  <c r="I463" i="4"/>
  <c r="H388" i="4"/>
  <c r="I388" i="4"/>
  <c r="H604" i="4"/>
  <c r="I604" i="4"/>
  <c r="H588" i="4"/>
  <c r="I588" i="4"/>
  <c r="H367" i="4"/>
  <c r="I367" i="4"/>
  <c r="H114" i="4"/>
  <c r="H304" i="4"/>
  <c r="I304" i="4"/>
  <c r="H405" i="4"/>
  <c r="I405" i="4"/>
  <c r="H41" i="4"/>
  <c r="I41" i="4"/>
  <c r="H428" i="4"/>
  <c r="H210" i="4"/>
  <c r="I210" i="4"/>
  <c r="H661" i="4"/>
  <c r="I661" i="4"/>
  <c r="H711" i="4"/>
  <c r="I711" i="4"/>
  <c r="H663" i="4"/>
  <c r="H296" i="4"/>
  <c r="I296" i="4"/>
  <c r="H93" i="4"/>
  <c r="I93" i="4"/>
  <c r="H316" i="4"/>
  <c r="I316" i="4"/>
  <c r="H123" i="4"/>
  <c r="H589" i="4"/>
  <c r="I589" i="4"/>
  <c r="H420" i="4"/>
  <c r="I420" i="4"/>
  <c r="H683" i="4"/>
  <c r="I683" i="4"/>
  <c r="H515" i="4"/>
  <c r="H140" i="4"/>
  <c r="I140" i="4"/>
  <c r="H138" i="4"/>
  <c r="I138" i="4"/>
  <c r="H44" i="4"/>
  <c r="I44" i="4"/>
  <c r="H561" i="4"/>
  <c r="H409" i="4"/>
  <c r="I409" i="4"/>
  <c r="H113" i="4"/>
  <c r="I113" i="4"/>
  <c r="H261" i="4"/>
  <c r="I261" i="4"/>
  <c r="H414" i="4"/>
  <c r="H622" i="4"/>
  <c r="I622" i="4"/>
  <c r="H28" i="4"/>
  <c r="I28" i="4"/>
  <c r="H323" i="4"/>
  <c r="I323" i="4"/>
  <c r="H637" i="4"/>
  <c r="H190" i="4"/>
  <c r="I190" i="4"/>
  <c r="H503" i="4"/>
  <c r="I503" i="4"/>
  <c r="H514" i="4"/>
  <c r="I514" i="4"/>
  <c r="H639" i="4"/>
  <c r="H4" i="4"/>
  <c r="I4" i="4"/>
  <c r="H402" i="4"/>
  <c r="I402" i="4"/>
  <c r="H122" i="4"/>
  <c r="I122" i="4"/>
  <c r="H275" i="4"/>
  <c r="H107" i="4"/>
  <c r="I107" i="4"/>
  <c r="H566" i="4"/>
  <c r="I566" i="4"/>
  <c r="H605" i="4"/>
  <c r="I605" i="4"/>
  <c r="H288" i="4"/>
  <c r="H517" i="4"/>
  <c r="I517" i="4"/>
  <c r="H640" i="4"/>
  <c r="I640" i="4"/>
  <c r="H31" i="4"/>
  <c r="I31" i="4"/>
  <c r="H84" i="4"/>
  <c r="H413" i="4"/>
  <c r="I413" i="4"/>
  <c r="H708" i="4"/>
  <c r="I708" i="4"/>
  <c r="H574" i="4"/>
  <c r="I574" i="4"/>
  <c r="H306" i="4"/>
  <c r="H139" i="4"/>
  <c r="I139" i="4"/>
  <c r="H603" i="4"/>
  <c r="I603" i="4"/>
  <c r="H343" i="4"/>
  <c r="I343" i="4"/>
  <c r="H218" i="4"/>
  <c r="H326" i="4"/>
  <c r="I326" i="4"/>
  <c r="H522" i="4"/>
  <c r="I522" i="4"/>
  <c r="H226" i="4"/>
  <c r="I226" i="4"/>
  <c r="H311" i="4"/>
  <c r="H345" i="4"/>
  <c r="I345" i="4"/>
  <c r="H220" i="4"/>
  <c r="I220" i="4"/>
  <c r="H615" i="4"/>
  <c r="I615" i="4"/>
  <c r="H219" i="4"/>
  <c r="H307" i="4"/>
  <c r="I307" i="4"/>
  <c r="H266" i="4"/>
  <c r="I266" i="4"/>
  <c r="H360" i="4"/>
  <c r="I360" i="4"/>
  <c r="H682" i="4"/>
  <c r="H723" i="4"/>
  <c r="I723" i="4"/>
  <c r="H105" i="4"/>
  <c r="I105" i="4"/>
  <c r="H204" i="4"/>
  <c r="I204" i="4"/>
  <c r="H687" i="4"/>
  <c r="H469" i="4"/>
  <c r="I469" i="4"/>
  <c r="H570" i="4"/>
  <c r="I570" i="4"/>
  <c r="H477" i="4"/>
  <c r="I477" i="4"/>
  <c r="H5" i="4"/>
  <c r="H450" i="4"/>
  <c r="I450" i="4"/>
  <c r="H510" i="4"/>
  <c r="I510" i="4"/>
  <c r="H456" i="4"/>
  <c r="I456" i="4"/>
  <c r="H248" i="4"/>
  <c r="H504" i="4"/>
  <c r="I504" i="4"/>
  <c r="H741" i="4"/>
  <c r="I741" i="4"/>
  <c r="H721" i="4"/>
  <c r="I721" i="4"/>
  <c r="H629" i="4"/>
  <c r="H579" i="4"/>
  <c r="I579" i="4"/>
  <c r="H608" i="4"/>
  <c r="I608" i="4"/>
  <c r="H435" i="4"/>
  <c r="I435" i="4"/>
  <c r="H441" i="4"/>
  <c r="H567" i="4"/>
  <c r="I567" i="4"/>
  <c r="H166" i="4"/>
  <c r="I166" i="4"/>
  <c r="H52" i="4"/>
  <c r="I52" i="4"/>
  <c r="H393" i="4"/>
  <c r="H14" i="4"/>
  <c r="I14" i="4"/>
  <c r="H675" i="4"/>
  <c r="I675" i="4"/>
  <c r="H119" i="4"/>
  <c r="I119" i="4"/>
  <c r="H78" i="4"/>
  <c r="H278" i="4"/>
  <c r="I278" i="4"/>
  <c r="H327" i="4"/>
  <c r="I327" i="4"/>
  <c r="H70" i="4"/>
  <c r="I70" i="4"/>
  <c r="H621" i="4"/>
  <c r="H40" i="4"/>
  <c r="I40" i="4"/>
  <c r="H373" i="4"/>
  <c r="I373" i="4"/>
  <c r="H643" i="4"/>
  <c r="I643" i="4"/>
  <c r="H493" i="4"/>
  <c r="H611" i="4"/>
  <c r="I611" i="4"/>
  <c r="H205" i="4"/>
  <c r="I205" i="4"/>
  <c r="H380" i="4"/>
  <c r="I380" i="4"/>
  <c r="H26" i="4"/>
  <c r="H598" i="4"/>
  <c r="I598" i="4"/>
  <c r="H12" i="4"/>
  <c r="I12" i="4"/>
  <c r="H529" i="4"/>
  <c r="I529" i="4"/>
  <c r="H578" i="4"/>
  <c r="H740" i="4"/>
  <c r="I740" i="4"/>
  <c r="H401" i="4"/>
  <c r="I401" i="4"/>
  <c r="H136" i="4"/>
  <c r="I136" i="4"/>
  <c r="H381" i="4"/>
  <c r="H175" i="4"/>
  <c r="I175" i="4"/>
  <c r="H117" i="4"/>
  <c r="I117" i="4"/>
  <c r="H628" i="4"/>
  <c r="I628" i="4"/>
  <c r="H208" i="4"/>
  <c r="H98" i="4"/>
  <c r="I98" i="4"/>
  <c r="H161" i="4"/>
  <c r="I161" i="4"/>
  <c r="H99" i="4"/>
  <c r="I99" i="4"/>
  <c r="H518" i="4"/>
  <c r="H369" i="4"/>
  <c r="I369" i="4"/>
  <c r="H658" i="4"/>
  <c r="I658" i="4"/>
  <c r="H169" i="4"/>
  <c r="I169" i="4"/>
  <c r="H91" i="4"/>
  <c r="H200" i="4"/>
  <c r="I200" i="4"/>
  <c r="H593" i="4"/>
  <c r="I593" i="4"/>
  <c r="H66" i="4"/>
  <c r="I66" i="4"/>
  <c r="H370" i="4"/>
  <c r="H359" i="4"/>
  <c r="I359" i="4"/>
  <c r="H471" i="4"/>
  <c r="I471" i="4"/>
  <c r="H520" i="4"/>
  <c r="I520" i="4"/>
  <c r="H75" i="4"/>
  <c r="H689" i="4"/>
  <c r="I689" i="4"/>
  <c r="H586" i="4"/>
  <c r="I586" i="4"/>
  <c r="H193" i="4"/>
  <c r="I193" i="4"/>
  <c r="H354" i="4"/>
  <c r="H696" i="4"/>
  <c r="I696" i="4"/>
  <c r="H284" i="4"/>
  <c r="I284" i="4"/>
  <c r="H368" i="4"/>
  <c r="I368" i="4"/>
  <c r="H183" i="4"/>
  <c r="H237" i="4"/>
  <c r="I237" i="4"/>
  <c r="H416" i="4"/>
  <c r="I416" i="4"/>
  <c r="H151" i="4"/>
  <c r="I151" i="4"/>
  <c r="H174" i="4"/>
  <c r="H301" i="4"/>
  <c r="I301" i="4"/>
  <c r="H453" i="4"/>
  <c r="I453" i="4"/>
  <c r="H709" i="4"/>
  <c r="I709" i="4"/>
  <c r="H497" i="4"/>
  <c r="H129" i="4"/>
  <c r="I129" i="4"/>
  <c r="H395" i="4"/>
  <c r="I395" i="4"/>
  <c r="H484" i="4"/>
  <c r="I484" i="4"/>
  <c r="H313" i="4"/>
  <c r="H575" i="4"/>
  <c r="I575" i="4"/>
  <c r="H168" i="4"/>
  <c r="I168" i="4"/>
  <c r="H79" i="4"/>
  <c r="I79" i="4"/>
  <c r="H196" i="4"/>
  <c r="H110" i="4"/>
  <c r="I110" i="4"/>
  <c r="H72" i="4"/>
  <c r="I72" i="4"/>
  <c r="H387" i="4"/>
  <c r="I387" i="4"/>
  <c r="H686" i="4"/>
  <c r="H184" i="4"/>
  <c r="I184" i="4"/>
  <c r="H376" i="4"/>
  <c r="I376" i="4"/>
  <c r="H351" i="4"/>
  <c r="I351" i="4"/>
  <c r="H573" i="4"/>
  <c r="I573" i="4"/>
  <c r="H631" i="4"/>
  <c r="I631" i="4"/>
  <c r="H705" i="4"/>
  <c r="I705" i="4"/>
  <c r="H627" i="4"/>
  <c r="I627" i="4"/>
  <c r="H106" i="4"/>
  <c r="I106" i="4"/>
  <c r="H213" i="4"/>
  <c r="I213" i="4"/>
  <c r="H64" i="4"/>
  <c r="I64" i="4"/>
  <c r="H195" i="4"/>
  <c r="I195" i="4"/>
  <c r="H654" i="4"/>
  <c r="I654" i="4"/>
  <c r="H667" i="4"/>
  <c r="I667" i="4"/>
  <c r="H259" i="4"/>
  <c r="I259" i="4"/>
  <c r="H308" i="4"/>
  <c r="I308" i="4"/>
  <c r="H320" i="4"/>
  <c r="I320" i="4"/>
  <c r="H733" i="4"/>
  <c r="I733" i="4"/>
  <c r="H481" i="4"/>
  <c r="I481" i="4"/>
  <c r="H421" i="4"/>
  <c r="I421" i="4"/>
  <c r="H30" i="4"/>
  <c r="I30" i="4"/>
  <c r="H305" i="4"/>
  <c r="I305" i="4"/>
  <c r="H559" i="4"/>
  <c r="I559" i="4"/>
  <c r="H676" i="4"/>
  <c r="I676" i="4"/>
  <c r="H511" i="4"/>
  <c r="I511" i="4"/>
  <c r="H580" i="4"/>
  <c r="I580" i="4"/>
  <c r="H430" i="4"/>
  <c r="I430" i="4"/>
  <c r="H2" i="4"/>
  <c r="I2" i="4"/>
  <c r="H111" i="4"/>
  <c r="I111" i="4"/>
  <c r="H632" i="4"/>
  <c r="I632" i="4"/>
  <c r="H361" i="4"/>
  <c r="I361" i="4"/>
  <c r="H702" i="4"/>
  <c r="I702" i="4"/>
  <c r="H102" i="4"/>
  <c r="I102" i="4"/>
  <c r="H732" i="4"/>
  <c r="I732" i="4"/>
  <c r="H194" i="4"/>
  <c r="I194" i="4"/>
  <c r="H150" i="4"/>
  <c r="I150" i="4"/>
  <c r="H496" i="4"/>
  <c r="I496" i="4"/>
  <c r="H103" i="4"/>
  <c r="I103" i="4"/>
  <c r="H545" i="4"/>
  <c r="I545" i="4"/>
  <c r="H148" i="4"/>
  <c r="I148" i="4"/>
  <c r="H176" i="4"/>
  <c r="I176" i="4"/>
  <c r="H239" i="4"/>
  <c r="I239" i="4"/>
  <c r="H432" i="4"/>
  <c r="I432" i="4"/>
  <c r="H488" i="4"/>
  <c r="I488" i="4"/>
  <c r="H73" i="4"/>
  <c r="I73" i="4"/>
  <c r="H473" i="4"/>
  <c r="I473" i="4"/>
  <c r="H358" i="4"/>
  <c r="I358" i="4"/>
  <c r="H377" i="4"/>
  <c r="I377" i="4"/>
  <c r="H153" i="4"/>
  <c r="I153" i="4"/>
  <c r="H619" i="4"/>
  <c r="I619" i="4"/>
  <c r="H34" i="4"/>
  <c r="I34" i="4"/>
  <c r="H242" i="4"/>
  <c r="I242" i="4"/>
  <c r="H238" i="4"/>
  <c r="I238" i="4"/>
  <c r="H483" i="4"/>
  <c r="I483" i="4"/>
  <c r="H378" i="4"/>
  <c r="I378" i="4"/>
  <c r="H206" i="4"/>
  <c r="H16" i="4"/>
  <c r="I16" i="4"/>
  <c r="H171" i="4"/>
  <c r="I171" i="4"/>
  <c r="H267" i="4"/>
  <c r="I267" i="4"/>
  <c r="H713" i="4"/>
  <c r="H542" i="4"/>
  <c r="I542" i="4"/>
  <c r="H626" i="4"/>
  <c r="I626" i="4"/>
  <c r="H415" i="4"/>
  <c r="I415" i="4"/>
  <c r="H317" i="4"/>
  <c r="H92" i="4"/>
  <c r="I92" i="4"/>
  <c r="H538" i="4"/>
  <c r="I538" i="4"/>
  <c r="H249" i="4"/>
  <c r="I249" i="4"/>
  <c r="H232" i="4"/>
  <c r="H508" i="4"/>
  <c r="I508" i="4"/>
  <c r="H252" i="4"/>
  <c r="I252" i="4"/>
  <c r="H509" i="4"/>
  <c r="I509" i="4"/>
  <c r="H379" i="4"/>
  <c r="H596" i="4"/>
  <c r="I596" i="4"/>
  <c r="H62" i="4"/>
  <c r="I62" i="4"/>
  <c r="H431" i="4"/>
  <c r="I431" i="4"/>
  <c r="H21" i="4"/>
  <c r="H157" i="4"/>
  <c r="I157" i="4"/>
  <c r="H132" i="4"/>
  <c r="I132" i="4"/>
  <c r="H236" i="4"/>
  <c r="I236" i="4"/>
  <c r="H334" i="4"/>
  <c r="H25" i="4"/>
  <c r="I25" i="4"/>
  <c r="H729" i="4"/>
  <c r="I729" i="4"/>
  <c r="H448" i="4"/>
  <c r="I448" i="4"/>
  <c r="H312" i="4"/>
  <c r="H592" i="4"/>
  <c r="I592" i="4"/>
  <c r="H154" i="4"/>
  <c r="I154" i="4"/>
  <c r="H736" i="4"/>
  <c r="I736" i="4"/>
  <c r="H82" i="4"/>
  <c r="H707" i="4"/>
  <c r="I707" i="4"/>
  <c r="H55" i="4"/>
  <c r="I55" i="4"/>
  <c r="H225" i="4"/>
  <c r="I225" i="4"/>
  <c r="H244" i="4"/>
  <c r="H268" i="4"/>
  <c r="I268" i="4"/>
  <c r="H250" i="4"/>
  <c r="I250" i="4"/>
  <c r="H276" i="4"/>
  <c r="I276" i="4"/>
  <c r="H293" i="4"/>
  <c r="H89" i="4"/>
  <c r="I89" i="4"/>
  <c r="H101" i="4"/>
  <c r="I101" i="4"/>
  <c r="H229" i="4"/>
  <c r="I229" i="4"/>
  <c r="H87" i="4"/>
  <c r="H85" i="4"/>
  <c r="I85" i="4"/>
  <c r="H337" i="4"/>
  <c r="I337" i="4"/>
  <c r="H501" i="4"/>
  <c r="I501" i="4"/>
  <c r="H199" i="4"/>
  <c r="H679" i="4"/>
  <c r="I679" i="4"/>
  <c r="H648" i="4"/>
  <c r="I648" i="4"/>
  <c r="H533" i="4"/>
  <c r="I533" i="4"/>
  <c r="H182" i="4"/>
  <c r="H734" i="4"/>
  <c r="I734" i="4"/>
  <c r="H407" i="4"/>
  <c r="I407" i="4"/>
  <c r="H80" i="4"/>
  <c r="I80" i="4"/>
  <c r="H257" i="4"/>
  <c r="H455" i="4"/>
  <c r="I455" i="4"/>
  <c r="H94" i="4"/>
  <c r="I94" i="4"/>
  <c r="H548" i="4"/>
  <c r="I548" i="4"/>
  <c r="H241" i="4"/>
  <c r="H669" i="4"/>
  <c r="I669" i="4"/>
  <c r="H49" i="4"/>
  <c r="I49" i="4"/>
  <c r="H144" i="4"/>
  <c r="I144" i="4"/>
  <c r="H314" i="4"/>
  <c r="H298" i="4"/>
  <c r="I298" i="4"/>
  <c r="H59" i="4"/>
  <c r="I59" i="4"/>
  <c r="H265" i="4"/>
  <c r="I265" i="4"/>
  <c r="H45" i="4"/>
  <c r="H27" i="4"/>
  <c r="I27" i="4"/>
  <c r="H417" i="4"/>
  <c r="I417" i="4"/>
  <c r="H61" i="4"/>
  <c r="I61" i="4"/>
  <c r="H607" i="4"/>
  <c r="H717" i="4"/>
  <c r="I717" i="4"/>
  <c r="H526" i="4"/>
  <c r="I526" i="4"/>
  <c r="H427" i="4"/>
  <c r="I427" i="4"/>
  <c r="H233" i="4"/>
  <c r="H203" i="4"/>
  <c r="I203" i="4"/>
  <c r="H273" i="4"/>
  <c r="I273" i="4"/>
  <c r="H147" i="4"/>
  <c r="I147" i="4"/>
  <c r="H90" i="4"/>
  <c r="H486" i="4"/>
  <c r="I486" i="4"/>
  <c r="H297" i="4"/>
  <c r="I297" i="4"/>
  <c r="H569" i="4"/>
  <c r="I569" i="4"/>
  <c r="H371" i="4"/>
  <c r="H551" i="4"/>
  <c r="I551" i="4"/>
  <c r="H255" i="4"/>
  <c r="I255" i="4"/>
  <c r="H350" i="4"/>
  <c r="I350" i="4"/>
  <c r="H642" i="4"/>
  <c r="H181" i="4"/>
  <c r="I181" i="4"/>
  <c r="H546" i="4"/>
  <c r="I546" i="4"/>
  <c r="H71" i="4"/>
  <c r="I71" i="4"/>
  <c r="H216" i="4"/>
  <c r="H18" i="4"/>
  <c r="I18" i="4"/>
  <c r="H554" i="4"/>
  <c r="I554" i="4"/>
  <c r="H341" i="4"/>
  <c r="I341" i="4"/>
  <c r="H158" i="4"/>
  <c r="H390" i="4"/>
  <c r="I390" i="4"/>
  <c r="H549" i="4"/>
  <c r="I549" i="4"/>
  <c r="H68" i="4"/>
  <c r="I68" i="4"/>
  <c r="H109" i="4"/>
  <c r="H340" i="4"/>
  <c r="I340" i="4"/>
  <c r="H333" i="4"/>
  <c r="I333" i="4"/>
  <c r="H699" i="4"/>
  <c r="I699" i="4"/>
  <c r="H718" i="4"/>
  <c r="H671" i="4"/>
  <c r="I671" i="4"/>
  <c r="H698" i="4"/>
  <c r="I698" i="4"/>
  <c r="H543" i="4"/>
  <c r="I543" i="4"/>
  <c r="H149" i="4"/>
  <c r="H357" i="4"/>
  <c r="I357" i="4"/>
  <c r="H703" i="4"/>
  <c r="I703" i="4"/>
  <c r="H347" i="4"/>
  <c r="I347" i="4"/>
  <c r="H231" i="4"/>
  <c r="H697" i="4"/>
  <c r="I697" i="4"/>
  <c r="H724" i="4"/>
  <c r="I724" i="4"/>
  <c r="H657" i="4"/>
  <c r="I657" i="4"/>
  <c r="H217" i="4"/>
  <c r="H490" i="4"/>
  <c r="I490" i="4"/>
  <c r="H429" i="4"/>
  <c r="I429" i="4"/>
  <c r="H353" i="4"/>
  <c r="I353" i="4"/>
  <c r="H485" i="4"/>
  <c r="H386" i="4"/>
  <c r="I386" i="4"/>
  <c r="H285" i="4"/>
  <c r="I285" i="4"/>
  <c r="H310" i="4"/>
  <c r="I310" i="4"/>
  <c r="H159" i="4"/>
  <c r="H525" i="4"/>
  <c r="I525" i="4"/>
  <c r="H130" i="4"/>
  <c r="I130" i="4"/>
  <c r="H410" i="4"/>
  <c r="I410" i="4"/>
  <c r="H54" i="4"/>
  <c r="H452" i="4"/>
  <c r="I452" i="4"/>
  <c r="H197" i="4"/>
  <c r="I197" i="4"/>
  <c r="H590" i="4"/>
  <c r="I590" i="4"/>
  <c r="H321" i="4"/>
  <c r="H425" i="4"/>
  <c r="I425" i="4"/>
  <c r="H719" i="4"/>
  <c r="I719" i="4"/>
  <c r="H187" i="4"/>
  <c r="I187" i="4"/>
  <c r="H531" i="4"/>
  <c r="H444" i="4"/>
  <c r="I444" i="4"/>
  <c r="H254" i="4"/>
  <c r="I254" i="4"/>
  <c r="H374" i="4"/>
  <c r="I374" i="4"/>
  <c r="H202" i="4"/>
  <c r="H331" i="4"/>
  <c r="I331" i="4"/>
  <c r="H180" i="4"/>
  <c r="I180" i="4"/>
  <c r="H681" i="4"/>
  <c r="I681" i="4"/>
  <c r="H189" i="4"/>
  <c r="H260" i="4"/>
  <c r="I260" i="4"/>
  <c r="H624" i="4"/>
  <c r="I624" i="4"/>
  <c r="H17" i="4"/>
  <c r="I17" i="4"/>
  <c r="H57" i="4"/>
  <c r="H616" i="4"/>
  <c r="I616" i="4"/>
  <c r="H9" i="4"/>
  <c r="I9" i="4"/>
  <c r="H451" i="4"/>
  <c r="I451" i="4"/>
  <c r="H325" i="4"/>
  <c r="H309" i="4"/>
  <c r="I309" i="4"/>
  <c r="H134" i="4"/>
  <c r="I134" i="4"/>
  <c r="H251" i="4"/>
  <c r="I251" i="4"/>
  <c r="H660" i="4"/>
  <c r="H295" i="4"/>
  <c r="I295" i="4"/>
  <c r="H403" i="4"/>
  <c r="I403" i="4"/>
  <c r="H650" i="4"/>
  <c r="I650" i="4"/>
  <c r="H601" i="4"/>
  <c r="H352" i="4"/>
  <c r="I352" i="4"/>
  <c r="H737" i="4"/>
  <c r="I737" i="4"/>
  <c r="H112" i="4"/>
  <c r="I112" i="4"/>
  <c r="H160" i="4"/>
  <c r="H606" i="4"/>
  <c r="I606" i="4"/>
  <c r="H152" i="4"/>
  <c r="I152" i="4"/>
  <c r="H464" i="4"/>
  <c r="I464" i="4"/>
  <c r="H128" i="4"/>
  <c r="H56" i="4"/>
  <c r="I56" i="4"/>
  <c r="H645" i="4"/>
  <c r="I645" i="4"/>
  <c r="H656" i="4"/>
  <c r="I656" i="4"/>
  <c r="H459" i="4"/>
  <c r="H243" i="4"/>
  <c r="I243" i="4"/>
  <c r="H678" i="4"/>
  <c r="I678" i="4"/>
  <c r="H644" i="4"/>
  <c r="I644" i="4"/>
  <c r="H585" i="4"/>
  <c r="H165" i="4"/>
  <c r="I165" i="4"/>
  <c r="H279" i="4"/>
  <c r="I279" i="4"/>
  <c r="H270" i="4"/>
  <c r="I270" i="4"/>
  <c r="H81" i="4"/>
  <c r="H530" i="4"/>
  <c r="I530" i="4"/>
  <c r="H382" i="4"/>
  <c r="I382" i="4"/>
  <c r="H577" i="4"/>
  <c r="I577" i="4"/>
  <c r="H738" i="4"/>
  <c r="H647" i="4"/>
  <c r="I647" i="4"/>
  <c r="H188" i="4"/>
  <c r="I188" i="4"/>
  <c r="H322" i="4"/>
  <c r="I322" i="4"/>
  <c r="H443" i="4"/>
  <c r="H646" i="4"/>
  <c r="I646" i="4"/>
  <c r="H146" i="4"/>
  <c r="I146" i="4"/>
  <c r="H362" i="4"/>
  <c r="I362" i="4"/>
  <c r="H86" i="4"/>
  <c r="H673" i="4"/>
  <c r="I673" i="4"/>
  <c r="H516" i="4"/>
  <c r="I516" i="4"/>
  <c r="H727" i="4"/>
  <c r="I727" i="4"/>
  <c r="H185" i="4"/>
  <c r="H167" i="4"/>
  <c r="I167" i="4"/>
  <c r="H539" i="4"/>
  <c r="I539" i="4"/>
  <c r="H211" i="4"/>
  <c r="I211" i="4"/>
  <c r="H256" i="4"/>
  <c r="H332" i="4"/>
  <c r="I332" i="4"/>
  <c r="H116" i="4"/>
  <c r="I116" i="4"/>
  <c r="H291" i="4"/>
  <c r="I291" i="4"/>
  <c r="H131" i="4"/>
  <c r="I131" i="4"/>
  <c r="H281" i="4"/>
  <c r="I281" i="4"/>
  <c r="H623" i="4"/>
  <c r="I623" i="4"/>
  <c r="H706" i="4"/>
  <c r="I706" i="4"/>
  <c r="H383" i="4"/>
  <c r="I383" i="4"/>
  <c r="H253" i="4"/>
  <c r="I253" i="4"/>
  <c r="H264" i="4"/>
  <c r="I264" i="4"/>
  <c r="H735" i="4"/>
  <c r="I735" i="4"/>
  <c r="H636" i="4"/>
  <c r="I636" i="4"/>
  <c r="H684" i="4"/>
  <c r="I684" i="4"/>
  <c r="H714" i="4"/>
  <c r="I714" i="4"/>
  <c r="H404" i="4"/>
  <c r="I404" i="4"/>
  <c r="H655" i="4"/>
  <c r="I655" i="4"/>
  <c r="H591" i="4"/>
  <c r="I591" i="4"/>
  <c r="H212" i="4"/>
  <c r="I212" i="4"/>
  <c r="H398" i="4"/>
  <c r="I398" i="4"/>
  <c r="H544" i="4"/>
  <c r="I544" i="4"/>
  <c r="H215" i="4"/>
  <c r="I215" i="4"/>
  <c r="H633" i="4"/>
  <c r="I633" i="4"/>
  <c r="H230" i="4"/>
  <c r="I230" i="4"/>
  <c r="H436" i="4"/>
  <c r="I436" i="4"/>
  <c r="H372" i="4"/>
  <c r="I372" i="4"/>
  <c r="H649" i="4"/>
  <c r="I649" i="4"/>
  <c r="H442" i="4"/>
  <c r="I442" i="4"/>
  <c r="H730" i="4"/>
  <c r="I730" i="4"/>
  <c r="H355" i="4"/>
  <c r="I355" i="4"/>
  <c r="H423" i="4"/>
  <c r="I423" i="4"/>
  <c r="H412" i="4"/>
  <c r="I412" i="4"/>
  <c r="H742" i="4"/>
  <c r="I742" i="4"/>
  <c r="H558" i="4"/>
  <c r="I558" i="4"/>
  <c r="H466" i="4"/>
  <c r="I466" i="4"/>
  <c r="H474" i="4"/>
  <c r="I474" i="4"/>
  <c r="H617" i="4"/>
  <c r="I617" i="4"/>
  <c r="H438" i="4"/>
  <c r="I438" i="4"/>
  <c r="H476" i="4"/>
  <c r="I476" i="4"/>
  <c r="H563" i="4"/>
  <c r="I563" i="4"/>
  <c r="H51" i="4"/>
  <c r="I51" i="4"/>
  <c r="H7" i="4"/>
  <c r="I7" i="4"/>
  <c r="H280" i="4"/>
  <c r="I280" i="4"/>
  <c r="H722" i="4"/>
  <c r="I722" i="4"/>
  <c r="H121" i="4"/>
  <c r="I121" i="4"/>
  <c r="H22" i="4"/>
  <c r="I22" i="4"/>
  <c r="H336" i="4"/>
  <c r="I336" i="4"/>
  <c r="H3" i="4"/>
  <c r="I3" i="4"/>
  <c r="H83" i="4"/>
  <c r="I83" i="4"/>
  <c r="H173" i="4"/>
  <c r="I173" i="4"/>
  <c r="H513" i="4"/>
  <c r="I513" i="4"/>
  <c r="H701" i="4"/>
  <c r="I701" i="4"/>
  <c r="H344" i="4"/>
  <c r="I344" i="4"/>
  <c r="H540" i="4"/>
  <c r="I540" i="4"/>
  <c r="H641" i="4"/>
  <c r="I641" i="4"/>
  <c r="H535" i="4"/>
  <c r="I535" i="4"/>
  <c r="H731" i="4"/>
  <c r="I731" i="4"/>
  <c r="H95" i="4"/>
  <c r="I95" i="4"/>
  <c r="H127" i="4"/>
  <c r="I127" i="4"/>
  <c r="H319" i="4"/>
  <c r="I319" i="4"/>
  <c r="H286" i="4"/>
  <c r="I286" i="4"/>
  <c r="H612" i="4"/>
  <c r="I612" i="4"/>
  <c r="H652" i="4"/>
  <c r="I652" i="4"/>
  <c r="H479" i="4"/>
  <c r="I479" i="4"/>
  <c r="H43" i="4"/>
  <c r="I43" i="4"/>
  <c r="H478" i="4"/>
  <c r="I478" i="4"/>
  <c r="H523" i="4"/>
  <c r="I523" i="4"/>
  <c r="H366" i="4"/>
  <c r="I366" i="4"/>
  <c r="H553" i="4"/>
  <c r="I553" i="4"/>
  <c r="H20" i="4"/>
  <c r="I20" i="4"/>
  <c r="H335" i="4"/>
  <c r="I335" i="4"/>
  <c r="H125" i="4"/>
  <c r="I125" i="4"/>
  <c r="H422" i="4"/>
  <c r="I422" i="4"/>
  <c r="H700" i="4"/>
  <c r="I700" i="4"/>
  <c r="H532" i="4"/>
  <c r="I532" i="4"/>
  <c r="H424" i="4"/>
  <c r="I424" i="4"/>
  <c r="H133" i="4"/>
  <c r="I133" i="4"/>
  <c r="H434" i="4"/>
  <c r="I434" i="4"/>
  <c r="H258" i="4"/>
  <c r="I258" i="4"/>
  <c r="H445" i="4"/>
  <c r="I445" i="4"/>
  <c r="H710" i="4"/>
  <c r="I710" i="4"/>
  <c r="H170" i="4"/>
  <c r="I170" i="4"/>
  <c r="H419" i="4"/>
  <c r="I419" i="4"/>
  <c r="H145" i="4"/>
  <c r="I145" i="4"/>
  <c r="H135" i="4"/>
  <c r="I135" i="4"/>
  <c r="H454" i="4"/>
  <c r="I454" i="4"/>
  <c r="H562" i="4"/>
  <c r="I562" i="4"/>
  <c r="H492" i="4"/>
  <c r="I492" i="4"/>
  <c r="H557" i="4"/>
  <c r="I557" i="4"/>
  <c r="H162" i="4"/>
  <c r="I162" i="4"/>
  <c r="H502" i="4"/>
  <c r="I502" i="4"/>
  <c r="H662" i="4"/>
  <c r="I662" i="4"/>
  <c r="H11" i="4"/>
  <c r="I11" i="4"/>
  <c r="H666" i="4"/>
  <c r="I666" i="4"/>
  <c r="H418" i="4"/>
  <c r="I418" i="4"/>
  <c r="H692" i="4"/>
  <c r="I692" i="4"/>
  <c r="H507" i="4"/>
  <c r="I507" i="4"/>
  <c r="H635" i="4"/>
  <c r="I635" i="4"/>
  <c r="H142" i="4"/>
  <c r="I142" i="4"/>
  <c r="H172" i="4"/>
  <c r="I172" i="4"/>
  <c r="H482" i="4"/>
  <c r="I482" i="4"/>
  <c r="H303" i="4"/>
  <c r="I303" i="4"/>
  <c r="H348" i="4"/>
  <c r="I348" i="4"/>
  <c r="H704" i="4"/>
  <c r="I704" i="4"/>
  <c r="H274" i="4"/>
  <c r="I274" i="4"/>
  <c r="H201" i="4"/>
  <c r="I201" i="4"/>
  <c r="H137" i="4"/>
  <c r="I137" i="4"/>
  <c r="H670" i="4"/>
  <c r="I670" i="4"/>
  <c r="H29" i="4"/>
  <c r="I29" i="4"/>
  <c r="H385" i="4"/>
  <c r="I385" i="4"/>
  <c r="H587" i="4"/>
  <c r="I587" i="4"/>
  <c r="H506" i="4"/>
  <c r="I506" i="4"/>
  <c r="H315" i="4"/>
  <c r="I315" i="4"/>
  <c r="H494" i="4"/>
  <c r="I494" i="4"/>
  <c r="H328" i="4"/>
  <c r="I328" i="4"/>
  <c r="H406" i="4"/>
  <c r="I406" i="4"/>
  <c r="H653" i="4"/>
  <c r="I653" i="4"/>
  <c r="H67" i="4"/>
  <c r="I67" i="4"/>
  <c r="H292" i="4"/>
  <c r="I292" i="4"/>
  <c r="H584" i="4"/>
  <c r="I584" i="4"/>
  <c r="H581" i="4"/>
  <c r="I581" i="4"/>
  <c r="H234" i="4"/>
  <c r="I234" i="4"/>
  <c r="H156" i="4"/>
  <c r="I156" i="4"/>
  <c r="H290" i="4"/>
  <c r="I290" i="4"/>
  <c r="H625" i="4"/>
  <c r="I625" i="4"/>
  <c r="H271" i="4"/>
  <c r="I271" i="4"/>
  <c r="H15" i="4"/>
  <c r="I15" i="4"/>
  <c r="H491" i="4"/>
  <c r="I491" i="4"/>
  <c r="H365" i="4"/>
  <c r="I365" i="4"/>
  <c r="H564" i="4"/>
  <c r="I564" i="4"/>
  <c r="H389" i="4"/>
  <c r="I389" i="4"/>
  <c r="H680" i="4"/>
  <c r="I680" i="4"/>
  <c r="H179" i="4"/>
  <c r="I179" i="4"/>
  <c r="H318" i="4"/>
  <c r="I318" i="4"/>
  <c r="H536" i="4"/>
  <c r="I536" i="4"/>
  <c r="H330" i="4"/>
  <c r="I330" i="4"/>
  <c r="H100" i="4"/>
  <c r="I100" i="4"/>
  <c r="H620" i="4"/>
  <c r="I620" i="4"/>
  <c r="H60" i="4"/>
  <c r="I60" i="4"/>
  <c r="H228" i="4"/>
  <c r="I228" i="4"/>
  <c r="H198" i="4"/>
  <c r="I198" i="4"/>
  <c r="H8" i="4"/>
  <c r="I8" i="4"/>
  <c r="H576" i="4"/>
  <c r="I576" i="4"/>
  <c r="H602" i="4"/>
  <c r="I602" i="4"/>
  <c r="H364" i="4"/>
  <c r="I364" i="4"/>
  <c r="H77" i="4"/>
  <c r="I77" i="4"/>
  <c r="H499" i="4"/>
  <c r="I499" i="4"/>
  <c r="H356" i="4"/>
  <c r="I356" i="4"/>
  <c r="H324" i="4"/>
  <c r="I324" i="4"/>
  <c r="H465" i="4"/>
  <c r="I465" i="4"/>
  <c r="H475" i="4"/>
  <c r="I475" i="4"/>
  <c r="H556" i="4"/>
  <c r="I556" i="4"/>
  <c r="H462" i="4"/>
  <c r="I462" i="4"/>
  <c r="H534" i="4"/>
  <c r="I534" i="4"/>
  <c r="H519" i="4"/>
  <c r="I519" i="4"/>
  <c r="H69" i="4"/>
  <c r="I69" i="4"/>
  <c r="H468" i="4"/>
  <c r="I468" i="4"/>
  <c r="H446" i="4"/>
  <c r="I446" i="4"/>
  <c r="H449" i="4"/>
  <c r="I449" i="4"/>
  <c r="H594" i="4"/>
  <c r="I594" i="4"/>
  <c r="H76" i="4"/>
  <c r="I76" i="4"/>
  <c r="H394" i="4"/>
  <c r="I394" i="4"/>
  <c r="H191" i="4"/>
  <c r="I191" i="4"/>
  <c r="H447" i="4"/>
  <c r="I447" i="4"/>
  <c r="H524" i="4"/>
  <c r="I524" i="4"/>
  <c r="H47" i="4"/>
  <c r="I47" i="4"/>
  <c r="H426" i="4"/>
  <c r="I426" i="4"/>
  <c r="H262" i="4"/>
  <c r="I262" i="4"/>
  <c r="H186" i="4"/>
  <c r="I186" i="4"/>
  <c r="H294" i="4"/>
  <c r="I294" i="4"/>
  <c r="H595" i="4"/>
  <c r="I595" i="4"/>
  <c r="H192" i="4"/>
  <c r="I192" i="4"/>
  <c r="H269" i="4"/>
  <c r="I269" i="4"/>
  <c r="H716" i="4"/>
  <c r="I716" i="4"/>
  <c r="H299" i="4"/>
  <c r="I299" i="4"/>
  <c r="H630" i="4"/>
  <c r="I630" i="4"/>
  <c r="H397" i="4"/>
  <c r="I397" i="4"/>
  <c r="H610" i="4"/>
  <c r="I610" i="4"/>
  <c r="H124" i="4"/>
  <c r="I124" i="4"/>
  <c r="H613" i="4"/>
  <c r="I613" i="4"/>
  <c r="H726" i="4"/>
  <c r="I726" i="4"/>
  <c r="H609" i="4"/>
  <c r="I609" i="4"/>
  <c r="H141" i="4"/>
  <c r="I141" i="4"/>
  <c r="H223" i="4"/>
  <c r="I223" i="4"/>
  <c r="H411" i="4"/>
  <c r="I411" i="4"/>
  <c r="H495" i="4"/>
  <c r="I495" i="4"/>
  <c r="H487" i="4"/>
  <c r="I487" i="4"/>
  <c r="H74" i="4"/>
  <c r="I74" i="4"/>
  <c r="H537" i="4"/>
  <c r="I537" i="4"/>
  <c r="H391" i="4"/>
  <c r="I391" i="4"/>
  <c r="H272" i="4"/>
  <c r="I272" i="4"/>
  <c r="H224" i="4"/>
  <c r="I224" i="4"/>
  <c r="H349" i="4"/>
  <c r="I349" i="4"/>
  <c r="H688" i="4"/>
  <c r="I688" i="4"/>
  <c r="H665" i="4"/>
  <c r="I665" i="4"/>
  <c r="H346" i="4"/>
  <c r="I346" i="4"/>
  <c r="H392" i="4"/>
  <c r="I392" i="4"/>
  <c r="H48" i="4"/>
  <c r="I48" i="4"/>
  <c r="H221" i="4"/>
  <c r="I221" i="4"/>
  <c r="H263" i="4"/>
  <c r="I263" i="4"/>
  <c r="H668" i="4"/>
  <c r="I668" i="4"/>
  <c r="H720" i="4"/>
  <c r="I720" i="4"/>
  <c r="H547" i="4"/>
  <c r="I547" i="4"/>
  <c r="H552" i="4"/>
  <c r="I552" i="4"/>
  <c r="H693" i="4"/>
  <c r="I693" i="4"/>
  <c r="H694" i="4"/>
  <c r="I694" i="4"/>
  <c r="H582" i="4"/>
  <c r="I582" i="4"/>
  <c r="H245" i="4"/>
  <c r="I245" i="4"/>
  <c r="H24" i="4"/>
  <c r="I24" i="4"/>
  <c r="H437" i="4"/>
  <c r="I437" i="4"/>
  <c r="H458" i="4"/>
  <c r="I458" i="4"/>
  <c r="H164" i="4"/>
  <c r="I164" i="4"/>
  <c r="H282" i="4"/>
  <c r="I282" i="4"/>
  <c r="H480" i="4"/>
  <c r="I480" i="4"/>
  <c r="H472" i="4"/>
  <c r="I472" i="4"/>
  <c r="H126" i="4"/>
  <c r="I126" i="4"/>
  <c r="H467" i="4"/>
  <c r="I467" i="4"/>
  <c r="H651" i="4"/>
  <c r="I651" i="4"/>
  <c r="H614" i="4"/>
  <c r="I614" i="4"/>
  <c r="H33" i="4"/>
  <c r="I33" i="4"/>
  <c r="H677" i="4"/>
  <c r="I677" i="4"/>
  <c r="H618" i="4"/>
  <c r="I618" i="4"/>
  <c r="H712" i="4"/>
  <c r="I712" i="4"/>
  <c r="H155" i="4"/>
  <c r="I155" i="4"/>
  <c r="H457" i="4"/>
  <c r="I457" i="4"/>
  <c r="H638" i="4"/>
  <c r="I638" i="4"/>
  <c r="H715" i="4"/>
  <c r="I715" i="4"/>
  <c r="H32" i="4"/>
  <c r="I32" i="4"/>
  <c r="H96" i="4"/>
  <c r="I96" i="4"/>
  <c r="H521" i="4"/>
  <c r="I521" i="4"/>
  <c r="H329" i="4"/>
  <c r="I329" i="4"/>
  <c r="H214" i="4"/>
  <c r="I214" i="4"/>
  <c r="H600" i="4"/>
  <c r="I600" i="4"/>
  <c r="H289" i="4"/>
  <c r="I289" i="4"/>
  <c r="H461" i="4"/>
  <c r="I461" i="4"/>
  <c r="H399" i="4"/>
  <c r="I399" i="4"/>
  <c r="H37" i="4"/>
  <c r="I37" i="4"/>
  <c r="H118" i="4"/>
  <c r="I118" i="4"/>
  <c r="H13" i="4"/>
  <c r="I13" i="4"/>
  <c r="H287" i="4"/>
  <c r="I287" i="4"/>
  <c r="H342" i="4"/>
  <c r="H363" i="4"/>
  <c r="I363" i="4"/>
  <c r="H209" i="4"/>
  <c r="I209" i="4"/>
  <c r="H400" i="4"/>
  <c r="I400" i="4"/>
  <c r="H58" i="4"/>
  <c r="I58" i="4"/>
  <c r="H583" i="4"/>
  <c r="I583" i="4"/>
  <c r="H65" i="4"/>
  <c r="I65" i="4"/>
  <c r="H664" i="4"/>
  <c r="I664" i="4"/>
  <c r="H528" i="4"/>
  <c r="I528" i="4"/>
  <c r="H247" i="4"/>
  <c r="I247" i="4"/>
  <c r="H338" i="4"/>
  <c r="I338" i="4"/>
  <c r="H222" i="4"/>
  <c r="I222" i="4"/>
  <c r="H178" i="4"/>
  <c r="I178" i="4"/>
  <c r="H227" i="4"/>
  <c r="I227" i="4"/>
  <c r="H235" i="4"/>
  <c r="I235" i="4"/>
  <c r="H302" i="4"/>
  <c r="I302" i="4"/>
  <c r="H339" i="4"/>
  <c r="I339" i="4"/>
  <c r="H39" i="4"/>
  <c r="I39" i="4"/>
  <c r="H541" i="4"/>
  <c r="I541" i="4"/>
  <c r="H104" i="4"/>
  <c r="I104" i="4"/>
  <c r="H283" i="4"/>
  <c r="I283" i="4"/>
  <c r="H439" i="4"/>
  <c r="I439" i="4"/>
  <c r="H143" i="4"/>
  <c r="I143" i="4"/>
  <c r="H10" i="4"/>
  <c r="I10" i="4"/>
  <c r="H527" i="4"/>
  <c r="I527" i="4"/>
  <c r="H46" i="4"/>
  <c r="I46" i="4"/>
  <c r="H97" i="4"/>
  <c r="I97" i="4"/>
  <c r="H599" i="4"/>
  <c r="I599" i="4"/>
  <c r="H375" i="4"/>
  <c r="I375" i="4"/>
  <c r="H50" i="4"/>
  <c r="I50" i="4"/>
  <c r="H512" i="4"/>
  <c r="I512" i="4"/>
  <c r="H565" i="4"/>
  <c r="I565" i="4"/>
  <c r="H53" i="4"/>
  <c r="I53" i="4"/>
  <c r="H460" i="4"/>
  <c r="I460" i="4"/>
  <c r="H505" i="4"/>
  <c r="I505" i="4"/>
  <c r="H470" i="4"/>
  <c r="I470" i="4"/>
  <c r="H163" i="4"/>
  <c r="I163" i="4"/>
  <c r="H550" i="4"/>
  <c r="I550" i="4"/>
  <c r="H659" i="4"/>
  <c r="I659" i="4"/>
  <c r="H685" i="4"/>
  <c r="I685" i="4"/>
  <c r="H207" i="4"/>
  <c r="I207" i="4"/>
  <c r="H555" i="4"/>
  <c r="I555" i="4"/>
  <c r="H597" i="4"/>
  <c r="I597" i="4"/>
  <c r="H725" i="4"/>
  <c r="I725" i="4"/>
  <c r="H571" i="4"/>
  <c r="I571" i="4"/>
  <c r="H634" i="4"/>
  <c r="I634" i="4"/>
  <c r="H440" i="4"/>
  <c r="I440" i="4"/>
  <c r="H384" i="4"/>
  <c r="I384" i="4"/>
  <c r="H672" i="4"/>
  <c r="I672" i="4"/>
  <c r="H500" i="4"/>
  <c r="I500" i="4"/>
  <c r="H23" i="4"/>
  <c r="I23" i="4"/>
  <c r="H240" i="4"/>
  <c r="I240" i="4"/>
  <c r="H42" i="4"/>
  <c r="I42" i="4"/>
  <c r="H572" i="4"/>
  <c r="I572" i="4"/>
  <c r="H177" i="4"/>
  <c r="I177" i="4"/>
  <c r="H277" i="4"/>
  <c r="I277" i="4"/>
  <c r="H408" i="4"/>
  <c r="I408" i="4"/>
  <c r="H63" i="4"/>
  <c r="I63" i="4"/>
  <c r="H498" i="4"/>
  <c r="I498" i="4"/>
  <c r="H120" i="4"/>
  <c r="I120" i="4"/>
  <c r="H246" i="4"/>
  <c r="I246" i="4"/>
  <c r="H38" i="4"/>
  <c r="I38" i="4"/>
  <c r="H695" i="4"/>
  <c r="I695" i="4"/>
  <c r="H691" i="4"/>
  <c r="I691" i="4"/>
  <c r="H19" i="4"/>
  <c r="I19" i="4"/>
  <c r="H35" i="4"/>
  <c r="I35" i="4"/>
  <c r="H674" i="4"/>
  <c r="I674" i="4"/>
  <c r="H560" i="4"/>
  <c r="I560" i="4"/>
  <c r="H6" i="4"/>
  <c r="I6" i="4"/>
  <c r="H433" i="4"/>
  <c r="I433" i="4"/>
  <c r="H88" i="4"/>
  <c r="I88" i="4"/>
  <c r="H36" i="4"/>
  <c r="I36" i="4"/>
  <c r="H489" i="4"/>
  <c r="I489" i="4"/>
  <c r="H300" i="4"/>
  <c r="I300" i="4"/>
  <c r="H108" i="4"/>
  <c r="I108" i="4"/>
  <c r="H690" i="4"/>
  <c r="I690" i="4"/>
  <c r="H396" i="4"/>
  <c r="I396" i="4"/>
  <c r="H728" i="4"/>
  <c r="I728" i="4"/>
  <c r="H739" i="4"/>
  <c r="I739" i="4"/>
  <c r="H388" i="7" l="1"/>
  <c r="I388" i="7"/>
  <c r="I741" i="7"/>
  <c r="I733" i="7"/>
  <c r="I725" i="7"/>
  <c r="I717" i="7"/>
  <c r="I709" i="7"/>
  <c r="I701" i="7"/>
  <c r="I693" i="7"/>
  <c r="I685" i="7"/>
  <c r="I677" i="7"/>
  <c r="I669" i="7"/>
  <c r="I661" i="7"/>
  <c r="I653" i="7"/>
  <c r="I645" i="7"/>
  <c r="I637" i="7"/>
  <c r="I629" i="7"/>
  <c r="I621" i="7"/>
  <c r="I613" i="7"/>
  <c r="I605" i="7"/>
  <c r="I597" i="7"/>
  <c r="I585" i="7"/>
  <c r="I569" i="7"/>
  <c r="I553" i="7"/>
  <c r="I537" i="7"/>
  <c r="I521" i="7"/>
  <c r="I518" i="7"/>
  <c r="I510" i="7"/>
  <c r="I502" i="7"/>
  <c r="I494" i="7"/>
  <c r="I486" i="7"/>
  <c r="I478" i="7"/>
  <c r="I470" i="7"/>
  <c r="I462" i="7"/>
  <c r="I454" i="7"/>
  <c r="I446" i="7"/>
  <c r="I424" i="7"/>
  <c r="I414" i="7"/>
  <c r="I370" i="7"/>
  <c r="H364" i="7"/>
  <c r="I364" i="7"/>
  <c r="I361" i="7"/>
  <c r="I358" i="7"/>
  <c r="I342" i="7"/>
  <c r="H342" i="7"/>
  <c r="I326" i="7"/>
  <c r="H326" i="7"/>
  <c r="I310" i="7"/>
  <c r="H310" i="7"/>
  <c r="I294" i="7"/>
  <c r="H294" i="7"/>
  <c r="I278" i="7"/>
  <c r="H278" i="7"/>
  <c r="I262" i="7"/>
  <c r="H262" i="7"/>
  <c r="I246" i="7"/>
  <c r="H246" i="7"/>
  <c r="H175" i="7"/>
  <c r="I175" i="7"/>
  <c r="I130" i="7"/>
  <c r="H130" i="7"/>
  <c r="H410" i="7"/>
  <c r="I410" i="7"/>
  <c r="H397" i="7"/>
  <c r="I397" i="7"/>
  <c r="I354" i="7"/>
  <c r="H354" i="7"/>
  <c r="I338" i="7"/>
  <c r="H338" i="7"/>
  <c r="I322" i="7"/>
  <c r="H322" i="7"/>
  <c r="I306" i="7"/>
  <c r="H306" i="7"/>
  <c r="I290" i="7"/>
  <c r="H290" i="7"/>
  <c r="I274" i="7"/>
  <c r="H274" i="7"/>
  <c r="I258" i="7"/>
  <c r="H258" i="7"/>
  <c r="I242" i="7"/>
  <c r="H242" i="7"/>
  <c r="H219" i="7"/>
  <c r="I219" i="7"/>
  <c r="H143" i="7"/>
  <c r="I143" i="7"/>
  <c r="I98" i="7"/>
  <c r="H98" i="7"/>
  <c r="I348" i="7"/>
  <c r="H348" i="7"/>
  <c r="I378" i="7"/>
  <c r="H372" i="7"/>
  <c r="I372" i="7"/>
  <c r="I369" i="7"/>
  <c r="I366" i="7"/>
  <c r="I344" i="7"/>
  <c r="H344" i="7"/>
  <c r="I328" i="7"/>
  <c r="H328" i="7"/>
  <c r="I312" i="7"/>
  <c r="H312" i="7"/>
  <c r="I296" i="7"/>
  <c r="H296" i="7"/>
  <c r="I280" i="7"/>
  <c r="H280" i="7"/>
  <c r="I264" i="7"/>
  <c r="H264" i="7"/>
  <c r="I248" i="7"/>
  <c r="H248" i="7"/>
  <c r="I146" i="7"/>
  <c r="H146" i="7"/>
  <c r="H434" i="7"/>
  <c r="I434" i="7"/>
  <c r="I332" i="7"/>
  <c r="H332" i="7"/>
  <c r="I300" i="7"/>
  <c r="H300" i="7"/>
  <c r="I252" i="7"/>
  <c r="H252" i="7"/>
  <c r="H95" i="7"/>
  <c r="I95" i="7"/>
  <c r="I737" i="7"/>
  <c r="I729" i="7"/>
  <c r="I721" i="7"/>
  <c r="I713" i="7"/>
  <c r="I705" i="7"/>
  <c r="I697" i="7"/>
  <c r="I689" i="7"/>
  <c r="I681" i="7"/>
  <c r="I673" i="7"/>
  <c r="I665" i="7"/>
  <c r="I657" i="7"/>
  <c r="I649" i="7"/>
  <c r="I641" i="7"/>
  <c r="I633" i="7"/>
  <c r="I625" i="7"/>
  <c r="I617" i="7"/>
  <c r="I609" i="7"/>
  <c r="I601" i="7"/>
  <c r="I593" i="7"/>
  <c r="I577" i="7"/>
  <c r="I561" i="7"/>
  <c r="I545" i="7"/>
  <c r="I529" i="7"/>
  <c r="I514" i="7"/>
  <c r="I506" i="7"/>
  <c r="I498" i="7"/>
  <c r="I490" i="7"/>
  <c r="I482" i="7"/>
  <c r="I474" i="7"/>
  <c r="I466" i="7"/>
  <c r="I458" i="7"/>
  <c r="I450" i="7"/>
  <c r="I442" i="7"/>
  <c r="I436" i="7"/>
  <c r="H426" i="7"/>
  <c r="I426" i="7"/>
  <c r="I402" i="7"/>
  <c r="H396" i="7"/>
  <c r="I396" i="7"/>
  <c r="I393" i="7"/>
  <c r="I390" i="7"/>
  <c r="H381" i="7"/>
  <c r="I381" i="7"/>
  <c r="I350" i="7"/>
  <c r="H350" i="7"/>
  <c r="I334" i="7"/>
  <c r="H334" i="7"/>
  <c r="I318" i="7"/>
  <c r="H318" i="7"/>
  <c r="I302" i="7"/>
  <c r="H302" i="7"/>
  <c r="I286" i="7"/>
  <c r="H286" i="7"/>
  <c r="I270" i="7"/>
  <c r="H270" i="7"/>
  <c r="I254" i="7"/>
  <c r="H254" i="7"/>
  <c r="I210" i="7"/>
  <c r="H210" i="7"/>
  <c r="H187" i="7"/>
  <c r="I187" i="7"/>
  <c r="H111" i="7"/>
  <c r="I111" i="7"/>
  <c r="I316" i="7"/>
  <c r="H316" i="7"/>
  <c r="I284" i="7"/>
  <c r="H284" i="7"/>
  <c r="H405" i="7"/>
  <c r="I405" i="7"/>
  <c r="H356" i="7"/>
  <c r="I356" i="7"/>
  <c r="I340" i="7"/>
  <c r="H340" i="7"/>
  <c r="I324" i="7"/>
  <c r="H324" i="7"/>
  <c r="I308" i="7"/>
  <c r="H308" i="7"/>
  <c r="I292" i="7"/>
  <c r="H292" i="7"/>
  <c r="I276" i="7"/>
  <c r="H276" i="7"/>
  <c r="I260" i="7"/>
  <c r="H260" i="7"/>
  <c r="I244" i="7"/>
  <c r="H244" i="7"/>
  <c r="H235" i="7"/>
  <c r="I235" i="7"/>
  <c r="H159" i="7"/>
  <c r="I159" i="7"/>
  <c r="I114" i="7"/>
  <c r="H114" i="7"/>
  <c r="I178" i="7"/>
  <c r="H178" i="7"/>
  <c r="H408" i="7"/>
  <c r="I408" i="7"/>
  <c r="H380" i="7"/>
  <c r="I380" i="7"/>
  <c r="H365" i="7"/>
  <c r="I365" i="7"/>
  <c r="I346" i="7"/>
  <c r="H346" i="7"/>
  <c r="I330" i="7"/>
  <c r="H330" i="7"/>
  <c r="I314" i="7"/>
  <c r="H314" i="7"/>
  <c r="I298" i="7"/>
  <c r="H298" i="7"/>
  <c r="I282" i="7"/>
  <c r="H282" i="7"/>
  <c r="I266" i="7"/>
  <c r="H266" i="7"/>
  <c r="I250" i="7"/>
  <c r="H250" i="7"/>
  <c r="I162" i="7"/>
  <c r="H162" i="7"/>
  <c r="H373" i="7"/>
  <c r="I373" i="7"/>
  <c r="I268" i="7"/>
  <c r="H268" i="7"/>
  <c r="I194" i="7"/>
  <c r="H194" i="7"/>
  <c r="H52" i="7"/>
  <c r="I52" i="7"/>
  <c r="H42" i="7"/>
  <c r="I42" i="7"/>
  <c r="I513" i="7"/>
  <c r="I505" i="7"/>
  <c r="I497" i="7"/>
  <c r="I489" i="7"/>
  <c r="I481" i="7"/>
  <c r="I473" i="7"/>
  <c r="I465" i="7"/>
  <c r="I457" i="7"/>
  <c r="I449" i="7"/>
  <c r="I441" i="7"/>
  <c r="I438" i="7"/>
  <c r="H418" i="7"/>
  <c r="I418" i="7"/>
  <c r="H404" i="7"/>
  <c r="I404" i="7"/>
  <c r="I401" i="7"/>
  <c r="I398" i="7"/>
  <c r="H389" i="7"/>
  <c r="I389" i="7"/>
  <c r="I352" i="7"/>
  <c r="H352" i="7"/>
  <c r="I336" i="7"/>
  <c r="H336" i="7"/>
  <c r="I320" i="7"/>
  <c r="H320" i="7"/>
  <c r="I304" i="7"/>
  <c r="H304" i="7"/>
  <c r="I288" i="7"/>
  <c r="H288" i="7"/>
  <c r="I272" i="7"/>
  <c r="H272" i="7"/>
  <c r="I256" i="7"/>
  <c r="H256" i="7"/>
  <c r="I226" i="7"/>
  <c r="H226" i="7"/>
  <c r="H203" i="7"/>
  <c r="I203" i="7"/>
  <c r="H127" i="7"/>
  <c r="I127" i="7"/>
  <c r="I172" i="7"/>
  <c r="H172" i="7"/>
  <c r="I156" i="7"/>
  <c r="H156" i="7"/>
  <c r="I140" i="7"/>
  <c r="H140" i="7"/>
  <c r="I124" i="7"/>
  <c r="H124" i="7"/>
  <c r="I108" i="7"/>
  <c r="H108" i="7"/>
  <c r="I92" i="7"/>
  <c r="H92" i="7"/>
  <c r="H56" i="7"/>
  <c r="I56" i="7"/>
  <c r="H12" i="7"/>
  <c r="I12" i="7"/>
  <c r="I184" i="7"/>
  <c r="H184" i="7"/>
  <c r="I168" i="7"/>
  <c r="H168" i="7"/>
  <c r="I152" i="7"/>
  <c r="H152" i="7"/>
  <c r="I136" i="7"/>
  <c r="H136" i="7"/>
  <c r="I120" i="7"/>
  <c r="H120" i="7"/>
  <c r="I104" i="7"/>
  <c r="H104" i="7"/>
  <c r="I88" i="7"/>
  <c r="H88" i="7"/>
  <c r="H28" i="7"/>
  <c r="I28" i="7"/>
  <c r="H18" i="7"/>
  <c r="I18" i="7"/>
  <c r="I174" i="7"/>
  <c r="H174" i="7"/>
  <c r="I158" i="7"/>
  <c r="H158" i="7"/>
  <c r="I142" i="7"/>
  <c r="H142" i="7"/>
  <c r="I126" i="7"/>
  <c r="H126" i="7"/>
  <c r="I110" i="7"/>
  <c r="H110" i="7"/>
  <c r="I94" i="7"/>
  <c r="H94" i="7"/>
  <c r="H84" i="7"/>
  <c r="I84" i="7"/>
  <c r="H80" i="7"/>
  <c r="I80" i="7"/>
  <c r="I400" i="7"/>
  <c r="I392" i="7"/>
  <c r="I384" i="7"/>
  <c r="I376" i="7"/>
  <c r="I368" i="7"/>
  <c r="I360" i="7"/>
  <c r="I227" i="7"/>
  <c r="I211" i="7"/>
  <c r="I195" i="7"/>
  <c r="I183" i="7"/>
  <c r="I180" i="7"/>
  <c r="H180" i="7"/>
  <c r="I167" i="7"/>
  <c r="I164" i="7"/>
  <c r="H164" i="7"/>
  <c r="I151" i="7"/>
  <c r="I148" i="7"/>
  <c r="H148" i="7"/>
  <c r="I135" i="7"/>
  <c r="I132" i="7"/>
  <c r="H132" i="7"/>
  <c r="I119" i="7"/>
  <c r="I116" i="7"/>
  <c r="H116" i="7"/>
  <c r="I103" i="7"/>
  <c r="I100" i="7"/>
  <c r="H100" i="7"/>
  <c r="H44" i="7"/>
  <c r="I44" i="7"/>
  <c r="H34" i="7"/>
  <c r="I34" i="7"/>
  <c r="I357" i="7"/>
  <c r="I238" i="7"/>
  <c r="I222" i="7"/>
  <c r="I206" i="7"/>
  <c r="I190" i="7"/>
  <c r="I170" i="7"/>
  <c r="H170" i="7"/>
  <c r="I154" i="7"/>
  <c r="H154" i="7"/>
  <c r="I138" i="7"/>
  <c r="H138" i="7"/>
  <c r="I122" i="7"/>
  <c r="H122" i="7"/>
  <c r="I106" i="7"/>
  <c r="H106" i="7"/>
  <c r="I90" i="7"/>
  <c r="H90" i="7"/>
  <c r="H72" i="7"/>
  <c r="I72" i="7"/>
  <c r="H20" i="7"/>
  <c r="I20" i="7"/>
  <c r="H10" i="7"/>
  <c r="I10" i="7"/>
  <c r="I231" i="7"/>
  <c r="I215" i="7"/>
  <c r="I199" i="7"/>
  <c r="I179" i="7"/>
  <c r="I176" i="7"/>
  <c r="H176" i="7"/>
  <c r="I163" i="7"/>
  <c r="I160" i="7"/>
  <c r="H160" i="7"/>
  <c r="I147" i="7"/>
  <c r="I144" i="7"/>
  <c r="H144" i="7"/>
  <c r="I131" i="7"/>
  <c r="I128" i="7"/>
  <c r="H128" i="7"/>
  <c r="I115" i="7"/>
  <c r="I112" i="7"/>
  <c r="H112" i="7"/>
  <c r="I99" i="7"/>
  <c r="I96" i="7"/>
  <c r="H96" i="7"/>
  <c r="H68" i="7"/>
  <c r="I68" i="7"/>
  <c r="H50" i="7"/>
  <c r="I50" i="7"/>
  <c r="I182" i="7"/>
  <c r="H182" i="7"/>
  <c r="I166" i="7"/>
  <c r="H166" i="7"/>
  <c r="I150" i="7"/>
  <c r="H150" i="7"/>
  <c r="I134" i="7"/>
  <c r="H134" i="7"/>
  <c r="I118" i="7"/>
  <c r="H118" i="7"/>
  <c r="I102" i="7"/>
  <c r="H102" i="7"/>
  <c r="H36" i="7"/>
  <c r="I36" i="7"/>
  <c r="H26" i="7"/>
  <c r="I26" i="7"/>
  <c r="I4" i="7"/>
  <c r="I64" i="7"/>
  <c r="I46" i="7"/>
  <c r="I38" i="7"/>
  <c r="I30" i="7"/>
  <c r="I22" i="7"/>
  <c r="I14" i="7"/>
  <c r="I6" i="7"/>
  <c r="I76" i="7"/>
  <c r="I60" i="7"/>
  <c r="I48" i="7"/>
  <c r="I40" i="7"/>
  <c r="I32" i="7"/>
  <c r="I24" i="7"/>
  <c r="I16" i="7"/>
  <c r="I8" i="7"/>
  <c r="I82" i="7"/>
  <c r="I66" i="7"/>
  <c r="I45" i="7"/>
  <c r="I37" i="7"/>
  <c r="I29" i="7"/>
  <c r="I21" i="7"/>
  <c r="I13" i="7"/>
  <c r="I5" i="7"/>
  <c r="I342" i="4"/>
  <c r="I256" i="4"/>
  <c r="I185" i="4"/>
  <c r="I86" i="4"/>
  <c r="I443" i="4"/>
  <c r="I738" i="4"/>
  <c r="I81" i="4"/>
  <c r="I585" i="4"/>
  <c r="I459" i="4"/>
  <c r="I128" i="4"/>
  <c r="I160" i="4"/>
  <c r="I601" i="4"/>
  <c r="I660" i="4"/>
  <c r="I325" i="4"/>
  <c r="I57" i="4"/>
  <c r="I189" i="4"/>
  <c r="I202" i="4"/>
  <c r="I531" i="4"/>
  <c r="I321" i="4"/>
  <c r="I54" i="4"/>
  <c r="I159" i="4"/>
  <c r="I485" i="4"/>
  <c r="I217" i="4"/>
  <c r="I231" i="4"/>
  <c r="I149" i="4"/>
  <c r="I718" i="4"/>
  <c r="I109" i="4"/>
  <c r="I158" i="4"/>
  <c r="I216" i="4"/>
  <c r="I642" i="4"/>
  <c r="I371" i="4"/>
  <c r="I90" i="4"/>
  <c r="I233" i="4"/>
  <c r="I607" i="4"/>
  <c r="I45" i="4"/>
  <c r="I314" i="4"/>
  <c r="I241" i="4"/>
  <c r="I257" i="4"/>
  <c r="I182" i="4"/>
  <c r="I199" i="4"/>
  <c r="I87" i="4"/>
  <c r="I293" i="4"/>
  <c r="I244" i="4"/>
  <c r="I82" i="4"/>
  <c r="I312" i="4"/>
  <c r="I334" i="4"/>
  <c r="I21" i="4"/>
  <c r="I379" i="4"/>
  <c r="I232" i="4"/>
  <c r="I317" i="4"/>
  <c r="I713" i="4"/>
  <c r="I206" i="4"/>
  <c r="H568" i="4"/>
  <c r="I568" i="4"/>
  <c r="H115" i="4"/>
  <c r="I115" i="4"/>
  <c r="I686" i="4"/>
  <c r="I196" i="4"/>
  <c r="I313" i="4"/>
  <c r="I497" i="4"/>
  <c r="I174" i="4"/>
  <c r="I183" i="4"/>
  <c r="I354" i="4"/>
  <c r="I75" i="4"/>
  <c r="I370" i="4"/>
  <c r="I91" i="4"/>
  <c r="I518" i="4"/>
  <c r="I208" i="4"/>
  <c r="I381" i="4"/>
  <c r="I578" i="4"/>
  <c r="I26" i="4"/>
  <c r="I493" i="4"/>
  <c r="I621" i="4"/>
  <c r="I78" i="4"/>
  <c r="I393" i="4"/>
  <c r="I441" i="4"/>
  <c r="I629" i="4"/>
  <c r="I248" i="4"/>
  <c r="I5" i="4"/>
  <c r="I687" i="4"/>
  <c r="I682" i="4"/>
  <c r="I219" i="4"/>
  <c r="I311" i="4"/>
  <c r="I218" i="4"/>
  <c r="I306" i="4"/>
  <c r="I84" i="4"/>
  <c r="I288" i="4"/>
  <c r="I275" i="4"/>
  <c r="I639" i="4"/>
  <c r="I637" i="4"/>
  <c r="I414" i="4"/>
  <c r="I561" i="4"/>
  <c r="I515" i="4"/>
  <c r="I123" i="4"/>
  <c r="I663" i="4"/>
  <c r="I428" i="4"/>
  <c r="I114" i="4"/>
  <c r="I592" i="7"/>
  <c r="I590" i="7"/>
  <c r="I588" i="7"/>
  <c r="I586" i="7"/>
  <c r="I584" i="7"/>
  <c r="I582" i="7"/>
  <c r="I580" i="7"/>
  <c r="I578" i="7"/>
  <c r="I576" i="7"/>
  <c r="I574" i="7"/>
  <c r="I572" i="7"/>
  <c r="I570" i="7"/>
  <c r="I568" i="7"/>
  <c r="I566" i="7"/>
  <c r="I564" i="7"/>
  <c r="I562" i="7"/>
  <c r="I560" i="7"/>
  <c r="I558" i="7"/>
  <c r="I556" i="7"/>
  <c r="I554" i="7"/>
  <c r="I552" i="7"/>
  <c r="I550" i="7"/>
  <c r="I548" i="7"/>
  <c r="I546" i="7"/>
  <c r="I544" i="7"/>
  <c r="I542" i="7"/>
  <c r="I540" i="7"/>
  <c r="I538" i="7"/>
  <c r="I536" i="7"/>
  <c r="I534" i="7"/>
  <c r="I532" i="7"/>
  <c r="I530" i="7"/>
  <c r="I528" i="7"/>
  <c r="I526" i="7"/>
  <c r="I524" i="7"/>
  <c r="I522" i="7"/>
  <c r="I520" i="7"/>
  <c r="I439" i="7"/>
  <c r="I437" i="7"/>
  <c r="I435" i="7"/>
  <c r="I433" i="7"/>
  <c r="I431" i="7"/>
  <c r="I429" i="7"/>
  <c r="I427" i="7"/>
  <c r="I425" i="7"/>
  <c r="I423" i="7"/>
  <c r="I421" i="7"/>
  <c r="I419" i="7"/>
  <c r="I417" i="7"/>
  <c r="I415" i="7"/>
  <c r="I413" i="7"/>
  <c r="I411" i="7"/>
  <c r="I409" i="7"/>
  <c r="I407" i="7"/>
  <c r="I87" i="7"/>
  <c r="I85" i="7"/>
  <c r="I83" i="7"/>
  <c r="I81" i="7"/>
  <c r="I79" i="7"/>
  <c r="I77" i="7"/>
  <c r="I75" i="7"/>
  <c r="I73" i="7"/>
  <c r="I71" i="7"/>
  <c r="I69" i="7"/>
  <c r="I67" i="7"/>
  <c r="I65" i="7"/>
  <c r="I63" i="7"/>
  <c r="I61" i="7"/>
  <c r="I59" i="7"/>
  <c r="I57" i="7"/>
  <c r="I55" i="7"/>
  <c r="I53" i="7"/>
</calcChain>
</file>

<file path=xl/sharedStrings.xml><?xml version="1.0" encoding="utf-8"?>
<sst xmlns="http://schemas.openxmlformats.org/spreadsheetml/2006/main" count="15836" uniqueCount="1307">
  <si>
    <t>Hourly</t>
  </si>
  <si>
    <t>Research/Development</t>
  </si>
  <si>
    <t>Watson</t>
  </si>
  <si>
    <t>Flynn, Melissa</t>
  </si>
  <si>
    <t>R</t>
  </si>
  <si>
    <t>Full Time</t>
  </si>
  <si>
    <t>Quality Control</t>
  </si>
  <si>
    <t>Webster, David</t>
  </si>
  <si>
    <t>D</t>
  </si>
  <si>
    <t>Peptide Chemistry</t>
  </si>
  <si>
    <t>South</t>
  </si>
  <si>
    <t>Bryan, Thomas</t>
  </si>
  <si>
    <t>Contract</t>
  </si>
  <si>
    <t>North</t>
  </si>
  <si>
    <t>Lester, Sherri</t>
  </si>
  <si>
    <t>Half-Time</t>
  </si>
  <si>
    <t>Environmental Health/Safety</t>
  </si>
  <si>
    <t>Main</t>
  </si>
  <si>
    <t>Hawkins, Douglas</t>
  </si>
  <si>
    <t>M</t>
  </si>
  <si>
    <t>Manufacturing</t>
  </si>
  <si>
    <t>Rhodes, Brenda</t>
  </si>
  <si>
    <t>Project &amp; Contract Services</t>
  </si>
  <si>
    <t>c</t>
  </si>
  <si>
    <t>Compliance</t>
  </si>
  <si>
    <t>Chang, Gabriel</t>
  </si>
  <si>
    <t>Engineering/Maintenance</t>
  </si>
  <si>
    <t>Thompson, John</t>
  </si>
  <si>
    <t>Process Development</t>
  </si>
  <si>
    <t>Guerra, Karen</t>
  </si>
  <si>
    <t>ADC</t>
  </si>
  <si>
    <t>Weber, Larry</t>
  </si>
  <si>
    <t>DMR</t>
  </si>
  <si>
    <t>Wells, Carlos</t>
  </si>
  <si>
    <t>DM</t>
  </si>
  <si>
    <t>Henderson, Anthony</t>
  </si>
  <si>
    <t>Bond, John</t>
  </si>
  <si>
    <t>Admin Training</t>
  </si>
  <si>
    <t>Todd, Steven</t>
  </si>
  <si>
    <t>West</t>
  </si>
  <si>
    <t>Lewis, Frederick</t>
  </si>
  <si>
    <t>McClure, Gary</t>
  </si>
  <si>
    <t>Becker, Gretchen</t>
  </si>
  <si>
    <t>Haynes, Ernest</t>
  </si>
  <si>
    <t>Executive Education</t>
  </si>
  <si>
    <t>Hutchinson, Robin</t>
  </si>
  <si>
    <t>Curry, Hunyen</t>
  </si>
  <si>
    <t>Martinez, Kathleen</t>
  </si>
  <si>
    <t>Moody, Matthew</t>
  </si>
  <si>
    <t>Meyer, Charles</t>
  </si>
  <si>
    <t>Major Mfg Projects</t>
  </si>
  <si>
    <t>Campos, Richard</t>
  </si>
  <si>
    <t>Quality Assurance</t>
  </si>
  <si>
    <t>Baldwin, Ray</t>
  </si>
  <si>
    <t>Clayton, Gregory</t>
  </si>
  <si>
    <t>Glover, Eugene</t>
  </si>
  <si>
    <t>Taft</t>
  </si>
  <si>
    <t>Wolf, Debbie</t>
  </si>
  <si>
    <t>Doyle, Leslie</t>
  </si>
  <si>
    <t>Hart, Richard</t>
  </si>
  <si>
    <t>Operations</t>
  </si>
  <si>
    <t>Sellers, William</t>
  </si>
  <si>
    <t>Mack, Barry</t>
  </si>
  <si>
    <t>Velez, Letitia</t>
  </si>
  <si>
    <t>Avila, Jody</t>
  </si>
  <si>
    <t>Sweeney, Barbara</t>
  </si>
  <si>
    <t>Hodge, Craig</t>
  </si>
  <si>
    <t>Villarreal, Stephen</t>
  </si>
  <si>
    <t>Camacho, Stephanie</t>
  </si>
  <si>
    <t>Klein, Robert</t>
  </si>
  <si>
    <t>Garcia, Karen</t>
  </si>
  <si>
    <t>Solis, Daniel</t>
  </si>
  <si>
    <t>Logistics</t>
  </si>
  <si>
    <t>Padilla, Christopher</t>
  </si>
  <si>
    <t>Professional Training Group</t>
  </si>
  <si>
    <t>Hartman, Michael</t>
  </si>
  <si>
    <t>Ford, Matt</t>
  </si>
  <si>
    <t>Wong, Dennis</t>
  </si>
  <si>
    <t>Hammond, Robert</t>
  </si>
  <si>
    <t>Woodard, Charles</t>
  </si>
  <si>
    <t>Glass, John</t>
  </si>
  <si>
    <t>Gardner, Anthony</t>
  </si>
  <si>
    <t>Moore, Robert</t>
  </si>
  <si>
    <t>Holt, Robert</t>
  </si>
  <si>
    <t>Engineering/Operations</t>
  </si>
  <si>
    <t>Cohen, Bruce</t>
  </si>
  <si>
    <t>Dorsey, Matthew</t>
  </si>
  <si>
    <t>Jenkins, Scott</t>
  </si>
  <si>
    <t>Gallagher, Johnson</t>
  </si>
  <si>
    <t>Cummings, Jose</t>
  </si>
  <si>
    <t>Luna, Rodney</t>
  </si>
  <si>
    <t>Nash, Mark</t>
  </si>
  <si>
    <t>Wade, Kevin</t>
  </si>
  <si>
    <t>Reid, Elizabeth</t>
  </si>
  <si>
    <t>Booker, Judith</t>
  </si>
  <si>
    <t>Manufacturing Admin</t>
  </si>
  <si>
    <t>Roberts, Jackie</t>
  </si>
  <si>
    <t>Richard, Karen</t>
  </si>
  <si>
    <t>Flores, Angela</t>
  </si>
  <si>
    <t>Dominguez, Duane</t>
  </si>
  <si>
    <t>Douglas, Kenneth</t>
  </si>
  <si>
    <t>Day, David</t>
  </si>
  <si>
    <t>Hernandez, Glenn</t>
  </si>
  <si>
    <t>Heath, Deborah</t>
  </si>
  <si>
    <t>Jennings, Gary</t>
  </si>
  <si>
    <t>Gonzalez, David</t>
  </si>
  <si>
    <t>May, Steve</t>
  </si>
  <si>
    <t>Dean, Gayla</t>
  </si>
  <si>
    <t>Hudson, Lorna</t>
  </si>
  <si>
    <t>Franklin, Alicia</t>
  </si>
  <si>
    <t>Carson, Anthony</t>
  </si>
  <si>
    <t>Jensen, Kristina</t>
  </si>
  <si>
    <t>Barr, Jennifer</t>
  </si>
  <si>
    <t>Parrish, Debra</t>
  </si>
  <si>
    <t>Phillips, Liesl</t>
  </si>
  <si>
    <t>Figueroa, Leonard</t>
  </si>
  <si>
    <t>Phelps, Gretchen</t>
  </si>
  <si>
    <t>Christensen, Jill</t>
  </si>
  <si>
    <t>Yates, Doug</t>
  </si>
  <si>
    <t>Patrick, Wendy</t>
  </si>
  <si>
    <t>Hoover, Evangeline</t>
  </si>
  <si>
    <t>Coleman, Roque</t>
  </si>
  <si>
    <t>Watson, Christian</t>
  </si>
  <si>
    <t>Holloway, Chris</t>
  </si>
  <si>
    <t>York, Steven</t>
  </si>
  <si>
    <t>Audit Services</t>
  </si>
  <si>
    <t>Walton, Benjamin</t>
  </si>
  <si>
    <t>Salinas, Jon</t>
  </si>
  <si>
    <t>Woods, Marcus</t>
  </si>
  <si>
    <t>Terry, Karin</t>
  </si>
  <si>
    <t>Lowe, Michelle</t>
  </si>
  <si>
    <t>Rose, Mark</t>
  </si>
  <si>
    <t>Obrien, Madelyn</t>
  </si>
  <si>
    <t>Hopkins, Lisa</t>
  </si>
  <si>
    <t>Wyatt, Kelly</t>
  </si>
  <si>
    <t>Monroe, Justin</t>
  </si>
  <si>
    <t>Craig, Alan</t>
  </si>
  <si>
    <t>Estes, Mary</t>
  </si>
  <si>
    <t>Nixon, Randy</t>
  </si>
  <si>
    <t>Maldonado, Robert</t>
  </si>
  <si>
    <t>Ashley, Michael</t>
  </si>
  <si>
    <t>Moss, Chan</t>
  </si>
  <si>
    <t>Reese, Marc</t>
  </si>
  <si>
    <t>Underwood, Todd</t>
  </si>
  <si>
    <t>Hines, Herb</t>
  </si>
  <si>
    <t>Blair, Sperry</t>
  </si>
  <si>
    <t>Harrison, Jonathan</t>
  </si>
  <si>
    <t>Cooper, Lisa</t>
  </si>
  <si>
    <t>Martin, Terry</t>
  </si>
  <si>
    <t>Marsh, Cynthia</t>
  </si>
  <si>
    <t>Stanley, Eric</t>
  </si>
  <si>
    <t>Shannon, Kevin</t>
  </si>
  <si>
    <t>Sims, Don</t>
  </si>
  <si>
    <t>Gray, Mark</t>
  </si>
  <si>
    <t>Manning, John</t>
  </si>
  <si>
    <t>Davidson, Jaime</t>
  </si>
  <si>
    <t>Fletcher, Brian</t>
  </si>
  <si>
    <t>Weeks, Troy</t>
  </si>
  <si>
    <t>Bryant, Douglas</t>
  </si>
  <si>
    <t>Goodwin, April</t>
  </si>
  <si>
    <t>Larsen, Lara</t>
  </si>
  <si>
    <t>Caldwell, Pete</t>
  </si>
  <si>
    <t>Diaz, David</t>
  </si>
  <si>
    <t>McLaughlin, Edward</t>
  </si>
  <si>
    <t>Waters, Alfred</t>
  </si>
  <si>
    <t>Moses, Mark</t>
  </si>
  <si>
    <t>Perry, Christopher</t>
  </si>
  <si>
    <t>Bowman, Michael</t>
  </si>
  <si>
    <t>Chapman, Jessica</t>
  </si>
  <si>
    <t>Pope, Duane</t>
  </si>
  <si>
    <t>Decker, Amy</t>
  </si>
  <si>
    <t>Chen, Jaime</t>
  </si>
  <si>
    <t>Massey, Mark</t>
  </si>
  <si>
    <t>Thomas, Shannon</t>
  </si>
  <si>
    <t>Miles, Kenneth</t>
  </si>
  <si>
    <t>McDowell, Scott</t>
  </si>
  <si>
    <t>McCormick, Hsi</t>
  </si>
  <si>
    <t>Burke, Michael</t>
  </si>
  <si>
    <t>Torres, Bruce</t>
  </si>
  <si>
    <t>Price, Diana</t>
  </si>
  <si>
    <t>Sanchez, Greg</t>
  </si>
  <si>
    <t>McGuire, Rebecca</t>
  </si>
  <si>
    <t>Benson, Troy</t>
  </si>
  <si>
    <t>Hatfield, Carl</t>
  </si>
  <si>
    <t>Peters, Robert</t>
  </si>
  <si>
    <t>Ayers, Douglas</t>
  </si>
  <si>
    <t>Lyons, Brian</t>
  </si>
  <si>
    <t>Cline, Rebecca</t>
  </si>
  <si>
    <t>Farrell, Laura</t>
  </si>
  <si>
    <t>Hunter, Lisa</t>
  </si>
  <si>
    <t>Orr, Jennifer</t>
  </si>
  <si>
    <t>Bell, David</t>
  </si>
  <si>
    <t>Ball, Kirk</t>
  </si>
  <si>
    <t>Poole, Tracy</t>
  </si>
  <si>
    <t>Harrington, Aron</t>
  </si>
  <si>
    <t>Peterson, Shaun</t>
  </si>
  <si>
    <t>Olson, Melanie</t>
  </si>
  <si>
    <t>Garza, Anthony</t>
  </si>
  <si>
    <t>Mullins, Angela</t>
  </si>
  <si>
    <t>Herrera, Shawn</t>
  </si>
  <si>
    <t>Mann, Lowell</t>
  </si>
  <si>
    <t>Bartlett, Julia</t>
  </si>
  <si>
    <t>Walls, Brian</t>
  </si>
  <si>
    <t>Watts, Curtis</t>
  </si>
  <si>
    <t>Cross, Marc</t>
  </si>
  <si>
    <t>Trujillo, Shawn</t>
  </si>
  <si>
    <t>Griffin, Debbi</t>
  </si>
  <si>
    <t>Delgado, Dale</t>
  </si>
  <si>
    <t>Porter, Rachel</t>
  </si>
  <si>
    <t>Johns, Chad</t>
  </si>
  <si>
    <t>Hughes, Kevin</t>
  </si>
  <si>
    <t>Branch, Brady</t>
  </si>
  <si>
    <t>Burton, Cam</t>
  </si>
  <si>
    <t>Bradley, David</t>
  </si>
  <si>
    <t>Drake, Kyle</t>
  </si>
  <si>
    <t>James, Lynn</t>
  </si>
  <si>
    <t>Paul, Michael</t>
  </si>
  <si>
    <t>Juarez, Neill</t>
  </si>
  <si>
    <t>Weaver, Eric</t>
  </si>
  <si>
    <t>Morton, Brian</t>
  </si>
  <si>
    <t>Snow, Desiree</t>
  </si>
  <si>
    <t>Gilmore, Terry</t>
  </si>
  <si>
    <t>Jimenez, Dominic</t>
  </si>
  <si>
    <t>Tucker, James</t>
  </si>
  <si>
    <t>Wilson, Jessica</t>
  </si>
  <si>
    <t>Johnston, Daniel</t>
  </si>
  <si>
    <t>Cameron, John</t>
  </si>
  <si>
    <t>Rowe, Ken</t>
  </si>
  <si>
    <t>McKinney, Chris</t>
  </si>
  <si>
    <t>Santiago, Michael</t>
  </si>
  <si>
    <t>Payne, Vicky</t>
  </si>
  <si>
    <t>Mathis, Shari</t>
  </si>
  <si>
    <t>Finley, James</t>
  </si>
  <si>
    <t>Collier, Dean</t>
  </si>
  <si>
    <t>Dennis, Paul</t>
  </si>
  <si>
    <t>Pena, Erik</t>
  </si>
  <si>
    <t>Mendoza, Bobby</t>
  </si>
  <si>
    <t>Cruz, Janene</t>
  </si>
  <si>
    <t>McCarthy, Ryan</t>
  </si>
  <si>
    <t>Washington, Phillip</t>
  </si>
  <si>
    <t>Castillo, Sheri</t>
  </si>
  <si>
    <t>Sloan, Cindy</t>
  </si>
  <si>
    <t>Fox, Ellen</t>
  </si>
  <si>
    <t>Ferguson, John</t>
  </si>
  <si>
    <t>Simon, Sheila</t>
  </si>
  <si>
    <t>Nguyen, Dennis</t>
  </si>
  <si>
    <t>Hall, Jenny</t>
  </si>
  <si>
    <t>International Clinical Safety</t>
  </si>
  <si>
    <t>Ramos, Jan</t>
  </si>
  <si>
    <t>Brock, Ensley</t>
  </si>
  <si>
    <t>Mendez, Max</t>
  </si>
  <si>
    <t>Ortiz, Cynthia</t>
  </si>
  <si>
    <t>Bush, Rena</t>
  </si>
  <si>
    <t>Richards, Richard</t>
  </si>
  <si>
    <t>Austin, William</t>
  </si>
  <si>
    <t>Wagner, Lynne</t>
  </si>
  <si>
    <t>Clarke, Dennis</t>
  </si>
  <si>
    <t>Walter, Michael</t>
  </si>
  <si>
    <t>Frank, William</t>
  </si>
  <si>
    <t>Lopez, Stephen</t>
  </si>
  <si>
    <t>Alvarado, Sonia</t>
  </si>
  <si>
    <t>Graham, David</t>
  </si>
  <si>
    <t>Holland, Donald</t>
  </si>
  <si>
    <t>Gibson, Janet</t>
  </si>
  <si>
    <t>Espinoza, Derrell</t>
  </si>
  <si>
    <t>Oliver, Francisco</t>
  </si>
  <si>
    <t>Walters, Ann</t>
  </si>
  <si>
    <t>Cannon, Jenny</t>
  </si>
  <si>
    <t>Wiley, Gustavo</t>
  </si>
  <si>
    <t>Sawyer, Catherine</t>
  </si>
  <si>
    <t>Gregory, Jon</t>
  </si>
  <si>
    <t>Estrada, Joan</t>
  </si>
  <si>
    <t>Anthony, Robert</t>
  </si>
  <si>
    <t>Townsend, Jerry</t>
  </si>
  <si>
    <t>Rivera, Timothy</t>
  </si>
  <si>
    <t>Murray, Rebecca</t>
  </si>
  <si>
    <t>Kemp, Holly</t>
  </si>
  <si>
    <t>Guerrero, Laura</t>
  </si>
  <si>
    <t>Barnett, Brenda</t>
  </si>
  <si>
    <t>Best, Lara</t>
  </si>
  <si>
    <t>Long, Gary</t>
  </si>
  <si>
    <t>Mueller, Philip</t>
  </si>
  <si>
    <t>Bauer, Chris</t>
  </si>
  <si>
    <t>Molina, Michael</t>
  </si>
  <si>
    <t>Alexander, Charles</t>
  </si>
  <si>
    <t>White, Daniel</t>
  </si>
  <si>
    <t>Vargas, Bryant</t>
  </si>
  <si>
    <t>Jones, John</t>
  </si>
  <si>
    <t>Howell, Douglas</t>
  </si>
  <si>
    <t>Anderson, Teason</t>
  </si>
  <si>
    <t>Conway, Brett</t>
  </si>
  <si>
    <t>Andrews, Diane</t>
  </si>
  <si>
    <t>Crawford, Ronald</t>
  </si>
  <si>
    <t>Middleton, Jen</t>
  </si>
  <si>
    <t>Parker, Carl</t>
  </si>
  <si>
    <t>Stafford, Rhonda</t>
  </si>
  <si>
    <t>Park, Timothy</t>
  </si>
  <si>
    <t>Wolfe, Keith</t>
  </si>
  <si>
    <t>Willis, Ralph</t>
  </si>
  <si>
    <t>Morrow, Richard</t>
  </si>
  <si>
    <t>Beard, Sandi</t>
  </si>
  <si>
    <t>Ramsey, Nathaniel</t>
  </si>
  <si>
    <t>Blevins, Carey</t>
  </si>
  <si>
    <t>Myers, Marc</t>
  </si>
  <si>
    <t>Gordon, Diane</t>
  </si>
  <si>
    <t>Wise, Ted</t>
  </si>
  <si>
    <t>Simmons, Robert</t>
  </si>
  <si>
    <t>Duran, Brian</t>
  </si>
  <si>
    <t>Carr, Susan</t>
  </si>
  <si>
    <t>Wilkins, Jesse</t>
  </si>
  <si>
    <t>Lloyd, John</t>
  </si>
  <si>
    <t>Snyder, Duane</t>
  </si>
  <si>
    <t>Mitchell, Shannon</t>
  </si>
  <si>
    <t>Brewer, Khurrum</t>
  </si>
  <si>
    <t>Goodman, Kuyler</t>
  </si>
  <si>
    <t>William, William</t>
  </si>
  <si>
    <t>Webb, Jim</t>
  </si>
  <si>
    <t>Hodges, Lisa</t>
  </si>
  <si>
    <t>Murphy, Jeff</t>
  </si>
  <si>
    <t>Rodriquez, Denise</t>
  </si>
  <si>
    <t>Dodson, David</t>
  </si>
  <si>
    <t>Ward, Williams</t>
  </si>
  <si>
    <t>Riley, David</t>
  </si>
  <si>
    <t>Short, Timothy</t>
  </si>
  <si>
    <t>Bennett, Chris</t>
  </si>
  <si>
    <t>Gonzales, David</t>
  </si>
  <si>
    <t>Wilkerson, Claudia</t>
  </si>
  <si>
    <t>McClain, Steven</t>
  </si>
  <si>
    <t>Cochran, Andrea</t>
  </si>
  <si>
    <t>Lowery, Charles</t>
  </si>
  <si>
    <t>Hess, Brian</t>
  </si>
  <si>
    <t>Elliott, Anthony</t>
  </si>
  <si>
    <t>Vega, Alexandra</t>
  </si>
  <si>
    <t>Collins, Michael</t>
  </si>
  <si>
    <t>Schmidt, Michael</t>
  </si>
  <si>
    <t>Byrd, Asa</t>
  </si>
  <si>
    <t>Clay, William</t>
  </si>
  <si>
    <t>Glenn, Christopher</t>
  </si>
  <si>
    <t>Davenport, Troy</t>
  </si>
  <si>
    <t>Lucas, John</t>
  </si>
  <si>
    <t>Salazar, Ruben</t>
  </si>
  <si>
    <t>Kennedy, Kimberly</t>
  </si>
  <si>
    <t>Warner, Stephen</t>
  </si>
  <si>
    <t>Research Center</t>
  </si>
  <si>
    <t>Leblanc, Jenny</t>
  </si>
  <si>
    <t>Marshall, Anita</t>
  </si>
  <si>
    <t>Huffman, Ignacio</t>
  </si>
  <si>
    <t>Ross, Janice</t>
  </si>
  <si>
    <t>Parks, Christopher</t>
  </si>
  <si>
    <t>Ruiz, Randall</t>
  </si>
  <si>
    <t>Moran, Carol</t>
  </si>
  <si>
    <t>Silva, Stephen</t>
  </si>
  <si>
    <t>Pearson, Cassy</t>
  </si>
  <si>
    <t>Copeland, Roger</t>
  </si>
  <si>
    <t>Wilkinson, Gregory</t>
  </si>
  <si>
    <t>Jacobs, Florianne</t>
  </si>
  <si>
    <t>Chambers, Richard</t>
  </si>
  <si>
    <t>Preston, Chris</t>
  </si>
  <si>
    <t>Santos, Garret</t>
  </si>
  <si>
    <t>Atkins, Kevin</t>
  </si>
  <si>
    <t>Ware, David</t>
  </si>
  <si>
    <t>Harper, Cynthia</t>
  </si>
  <si>
    <t>Harvey, Michael</t>
  </si>
  <si>
    <t>Stone, Brian</t>
  </si>
  <si>
    <t>Ingram, Matt</t>
  </si>
  <si>
    <t>Evans, Rolin</t>
  </si>
  <si>
    <t>Brown, Donald</t>
  </si>
  <si>
    <t>Morris, Richelle</t>
  </si>
  <si>
    <t>Summers, Harold</t>
  </si>
  <si>
    <t>Barron, Michael</t>
  </si>
  <si>
    <t>Buchanan, Dennis</t>
  </si>
  <si>
    <t>Bradshaw, Sheryl</t>
  </si>
  <si>
    <t>Bruce, Kevin</t>
  </si>
  <si>
    <t>Robles, Charles</t>
  </si>
  <si>
    <t>Lawson, Erin</t>
  </si>
  <si>
    <t>Schneider, Gay</t>
  </si>
  <si>
    <t>McKee, Michelle</t>
  </si>
  <si>
    <t>Miller, Jessica</t>
  </si>
  <si>
    <t>Rich, Brent</t>
  </si>
  <si>
    <t>Duncan, George</t>
  </si>
  <si>
    <t>Blake, Thomas</t>
  </si>
  <si>
    <t>Hubbard, Sandra</t>
  </si>
  <si>
    <t>Hampton, Catherine</t>
  </si>
  <si>
    <t>Walsh, Matthew</t>
  </si>
  <si>
    <t>Davis, Tonya</t>
  </si>
  <si>
    <t>Bowen, Kes</t>
  </si>
  <si>
    <t>Hickman, John</t>
  </si>
  <si>
    <t>Perkins, Donald</t>
  </si>
  <si>
    <t>Contreras, Dean</t>
  </si>
  <si>
    <t>Jordan, Mark</t>
  </si>
  <si>
    <t>Lane, Brandyn</t>
  </si>
  <si>
    <t>Noble, Michael</t>
  </si>
  <si>
    <t>Malone, Daniel</t>
  </si>
  <si>
    <t>Patterson, Robert</t>
  </si>
  <si>
    <t>Everett, Dan</t>
  </si>
  <si>
    <t>Horton, Cleatis</t>
  </si>
  <si>
    <t>Cook, Mark</t>
  </si>
  <si>
    <t>Livingston, Lynette</t>
  </si>
  <si>
    <t>Petersen, Timothy</t>
  </si>
  <si>
    <t>Garrett, Chris</t>
  </si>
  <si>
    <t>House, Paul</t>
  </si>
  <si>
    <t>Daniel, Robert</t>
  </si>
  <si>
    <t>Ryan, Ryan</t>
  </si>
  <si>
    <t>Velasquez, Clint</t>
  </si>
  <si>
    <t>Robbins, Suzanne</t>
  </si>
  <si>
    <t>Chase, Troy</t>
  </si>
  <si>
    <t>Munoz, Michael</t>
  </si>
  <si>
    <t>Hood, Renee</t>
  </si>
  <si>
    <t>Strickland, Rajean</t>
  </si>
  <si>
    <t>Rush, Lateef</t>
  </si>
  <si>
    <t>Little, Steve</t>
  </si>
  <si>
    <t>Bates, Verna</t>
  </si>
  <si>
    <t>Keith, Thomas</t>
  </si>
  <si>
    <t>Miranda, Elena</t>
  </si>
  <si>
    <t>Whitaker, Jessica</t>
  </si>
  <si>
    <t>Browning, Kathleen</t>
  </si>
  <si>
    <t>McLean, Richard</t>
  </si>
  <si>
    <t>Humphrey, Andrew</t>
  </si>
  <si>
    <t>Mosley, Michael</t>
  </si>
  <si>
    <t>Lindsey, Deborah</t>
  </si>
  <si>
    <t>Barber, Robbie</t>
  </si>
  <si>
    <t>Sheppard, Curtis</t>
  </si>
  <si>
    <t>Chandler, Diane</t>
  </si>
  <si>
    <t>Sullivan, Robert</t>
  </si>
  <si>
    <t>Gaines, Sheela</t>
  </si>
  <si>
    <t>Bradford, Raymond</t>
  </si>
  <si>
    <t>Russell, Mark</t>
  </si>
  <si>
    <t>Harding, Erin</t>
  </si>
  <si>
    <t>Owen, Robert</t>
  </si>
  <si>
    <t>Roberson, Eileen</t>
  </si>
  <si>
    <t>Jackson, Eric</t>
  </si>
  <si>
    <t>Newton, Leigh</t>
  </si>
  <si>
    <t>Sanders, Troy</t>
  </si>
  <si>
    <t>Osborne, Bill</t>
  </si>
  <si>
    <t>Spears, Melanie</t>
  </si>
  <si>
    <t>Bean, Deborah</t>
  </si>
  <si>
    <t>Fischer, David</t>
  </si>
  <si>
    <t>Floyd, Eric</t>
  </si>
  <si>
    <t>Cain, Lon</t>
  </si>
  <si>
    <t>Combs, Rick</t>
  </si>
  <si>
    <t>Ellison, Melyssa</t>
  </si>
  <si>
    <t>Stevenson, Michael</t>
  </si>
  <si>
    <t>Mills, Melissa</t>
  </si>
  <si>
    <t>English, David</t>
  </si>
  <si>
    <t>Buckel, Patricia</t>
  </si>
  <si>
    <t>Ortega, Jeffrey</t>
  </si>
  <si>
    <t>Hamilton, Theo</t>
  </si>
  <si>
    <t>Gross, Davin</t>
  </si>
  <si>
    <t>Roman, Teri</t>
  </si>
  <si>
    <t>Morales, Linda</t>
  </si>
  <si>
    <t>Hansen, Andrew</t>
  </si>
  <si>
    <t>Schwartz, Joseph</t>
  </si>
  <si>
    <t>Morrison, Julie</t>
  </si>
  <si>
    <t>Williamson, Sumed</t>
  </si>
  <si>
    <t>Savage, John</t>
  </si>
  <si>
    <t>Hill, Robin</t>
  </si>
  <si>
    <t>Morgan, Patricia</t>
  </si>
  <si>
    <t>Shepherd, Annie</t>
  </si>
  <si>
    <t>Valdez, Ann</t>
  </si>
  <si>
    <t>Morse, Michael</t>
  </si>
  <si>
    <t>Wood, Larry</t>
  </si>
  <si>
    <t>Vasquez, Michael</t>
  </si>
  <si>
    <t>Tanner, Timothy</t>
  </si>
  <si>
    <t>Colon, Donnie</t>
  </si>
  <si>
    <t>Nichols, Nathaniel</t>
  </si>
  <si>
    <t>Serrano, Al</t>
  </si>
  <si>
    <t>Randolph, Kristin</t>
  </si>
  <si>
    <t>Beasley, Timothy</t>
  </si>
  <si>
    <t>Campbell, Michael</t>
  </si>
  <si>
    <t>Hurst, Thomas</t>
  </si>
  <si>
    <t>Soto, Christopher</t>
  </si>
  <si>
    <t>Love, Danny</t>
  </si>
  <si>
    <t>Aguilar, Kevin</t>
  </si>
  <si>
    <t>Pittman, Bacardi</t>
  </si>
  <si>
    <t>Booth, Raquel</t>
  </si>
  <si>
    <t>Wallace, Timothy</t>
  </si>
  <si>
    <t>Gallegos, Rick</t>
  </si>
  <si>
    <t>Melton, Scott</t>
  </si>
  <si>
    <t>Burgess, Cherie</t>
  </si>
  <si>
    <t>Fields, Cathy</t>
  </si>
  <si>
    <t>Dudley, James</t>
  </si>
  <si>
    <t>Jefferson, Elaine</t>
  </si>
  <si>
    <t>Sandoval, James</t>
  </si>
  <si>
    <t>Marks, LaReina</t>
  </si>
  <si>
    <t>Kent, Angus</t>
  </si>
  <si>
    <t>Pharmacokinetics</t>
  </si>
  <si>
    <t>Wall, John</t>
  </si>
  <si>
    <t>Fleming, Irv</t>
  </si>
  <si>
    <t>Deleon, Jaquelyn</t>
  </si>
  <si>
    <t>McBride, Grazyna</t>
  </si>
  <si>
    <t>Huff, Erik</t>
  </si>
  <si>
    <t>Powell, Juli</t>
  </si>
  <si>
    <t>Shelton, Donna</t>
  </si>
  <si>
    <t>Curtis, Patrick</t>
  </si>
  <si>
    <t>Flowers, Kathleen</t>
  </si>
  <si>
    <t>Grimes, Jeffrey</t>
  </si>
  <si>
    <t>Golden, Christine</t>
  </si>
  <si>
    <t>Shaw, Pat</t>
  </si>
  <si>
    <t>Whitehead, Carolyn</t>
  </si>
  <si>
    <t>Skinner, Jason</t>
  </si>
  <si>
    <t>Joseph, Christopher</t>
  </si>
  <si>
    <t>Richardson, Debbie</t>
  </si>
  <si>
    <t>McCullough, Scott</t>
  </si>
  <si>
    <t>Dalton, Carol</t>
  </si>
  <si>
    <t>Romero, Randy</t>
  </si>
  <si>
    <t>Lynch, Scott</t>
  </si>
  <si>
    <t>Casey, Ronald</t>
  </si>
  <si>
    <t>Hunt, Norman</t>
  </si>
  <si>
    <t>Brady, Traci</t>
  </si>
  <si>
    <t>Edwards, Phillip</t>
  </si>
  <si>
    <t>Hanson, Dennis</t>
  </si>
  <si>
    <t>Steele, Gerald</t>
  </si>
  <si>
    <t>Swanson, Vicki</t>
  </si>
  <si>
    <t>Eaton, Cris</t>
  </si>
  <si>
    <t>Kerr, Mihaela</t>
  </si>
  <si>
    <t>Vance, Cheryl</t>
  </si>
  <si>
    <t>Perez, Kim</t>
  </si>
  <si>
    <t>Merritt, Kevin</t>
  </si>
  <si>
    <t>Hobbs, Scott</t>
  </si>
  <si>
    <t>McGee, Carol</t>
  </si>
  <si>
    <t>Harris, Brian</t>
  </si>
  <si>
    <t>Dickerson, Lincoln</t>
  </si>
  <si>
    <t>Harmon, Paul</t>
  </si>
  <si>
    <t>Pennington, Gary</t>
  </si>
  <si>
    <t>Sherman, Karin</t>
  </si>
  <si>
    <t>Montoya, Lisa</t>
  </si>
  <si>
    <t>Lee, Charles</t>
  </si>
  <si>
    <t>Guzman, Don</t>
  </si>
  <si>
    <t>Sexton, John</t>
  </si>
  <si>
    <t>Pace, Joseph</t>
  </si>
  <si>
    <t>Welch, Michael</t>
  </si>
  <si>
    <t>Carroll, Lesa</t>
  </si>
  <si>
    <t>Wright, Brad</t>
  </si>
  <si>
    <t>Francis, Todd</t>
  </si>
  <si>
    <t>Winters, Shaun</t>
  </si>
  <si>
    <t>Montgomery, Chris</t>
  </si>
  <si>
    <t>Wiggins, Frank</t>
  </si>
  <si>
    <t>Garrison, Chris</t>
  </si>
  <si>
    <t>Lawrence, Ronald</t>
  </si>
  <si>
    <t>Henry, Craig</t>
  </si>
  <si>
    <t>Reed, Larry</t>
  </si>
  <si>
    <t>French, Robert</t>
  </si>
  <si>
    <t>Houston, Mark</t>
  </si>
  <si>
    <t>Freeman, Dennis</t>
  </si>
  <si>
    <t>Fernandez, Marie</t>
  </si>
  <si>
    <t>Herring, Joanna</t>
  </si>
  <si>
    <t>Neal, Sally</t>
  </si>
  <si>
    <t>Weiss, Marisa</t>
  </si>
  <si>
    <t>Smith, Koleen</t>
  </si>
  <si>
    <t>Medina, Warren</t>
  </si>
  <si>
    <t>Schroeder, Bennet</t>
  </si>
  <si>
    <t>Rivers, Douglas</t>
  </si>
  <si>
    <t>Roy, Margarita</t>
  </si>
  <si>
    <t>McConnell, Justin</t>
  </si>
  <si>
    <t>Vazquez, Kenneth</t>
  </si>
  <si>
    <t>Spencer, Boyd</t>
  </si>
  <si>
    <t>Callahan, Marilyn</t>
  </si>
  <si>
    <t>Randall, Yvonne</t>
  </si>
  <si>
    <t>Ayala, Polly</t>
  </si>
  <si>
    <t>Fuller, Brenda</t>
  </si>
  <si>
    <t>Greene, Alexander</t>
  </si>
  <si>
    <t>Beck, Craig</t>
  </si>
  <si>
    <t>Owens, Dwight</t>
  </si>
  <si>
    <t>Lara, Mark</t>
  </si>
  <si>
    <t>Prince, Robert</t>
  </si>
  <si>
    <t>Hogan, Daniel</t>
  </si>
  <si>
    <t>Parsons, Phillip</t>
  </si>
  <si>
    <t>Norris, Tamara</t>
  </si>
  <si>
    <t>Burnett, Kevin</t>
  </si>
  <si>
    <t>Greer, Brian</t>
  </si>
  <si>
    <t>Gibbs, Debra</t>
  </si>
  <si>
    <t>Boone, Eric</t>
  </si>
  <si>
    <t>Gates, Anne</t>
  </si>
  <si>
    <t>Scott, Todd</t>
  </si>
  <si>
    <t>Stokes, Jonathan</t>
  </si>
  <si>
    <t>Christian, Melissa</t>
  </si>
  <si>
    <t>Hale, Deon</t>
  </si>
  <si>
    <t>Blackburn, Kathryn</t>
  </si>
  <si>
    <t>Zimmerman, Julian</t>
  </si>
  <si>
    <t>Pacheco, Therese</t>
  </si>
  <si>
    <t>Newman, Aria</t>
  </si>
  <si>
    <t>Hull, Jeanne</t>
  </si>
  <si>
    <t>Tyler, Javier</t>
  </si>
  <si>
    <t>Landry, Linda</t>
  </si>
  <si>
    <t>Dawson, Jonathan</t>
  </si>
  <si>
    <t>Fowler, John</t>
  </si>
  <si>
    <t>Clark, William</t>
  </si>
  <si>
    <t>Gilbert, Shannon</t>
  </si>
  <si>
    <t>Hicks, Monica</t>
  </si>
  <si>
    <t>Watkins, Gary</t>
  </si>
  <si>
    <t>Robinson, John</t>
  </si>
  <si>
    <t>Potter, Dawn</t>
  </si>
  <si>
    <t>Banks, Ryan</t>
  </si>
  <si>
    <t>Atkinson, Danielle</t>
  </si>
  <si>
    <t>Bailey, Victor</t>
  </si>
  <si>
    <t>Stewart, Elizabeth</t>
  </si>
  <si>
    <t>Roth, Tony</t>
  </si>
  <si>
    <t>Larson, David</t>
  </si>
  <si>
    <t>Graves, Michael</t>
  </si>
  <si>
    <t>Daniels, Janet</t>
  </si>
  <si>
    <t>Boyd, Debra</t>
  </si>
  <si>
    <t>Matthews, Diane</t>
  </si>
  <si>
    <t>Cole, Elbert</t>
  </si>
  <si>
    <t>Foley, Peter</t>
  </si>
  <si>
    <t>Solomon, Michael</t>
  </si>
  <si>
    <t>Palmer, Terry</t>
  </si>
  <si>
    <t>Turner, Ray</t>
  </si>
  <si>
    <t>Barnes, Grant</t>
  </si>
  <si>
    <t>Chavez, Thomas</t>
  </si>
  <si>
    <t>Patton, Corey</t>
  </si>
  <si>
    <t>Allen, Thomas</t>
  </si>
  <si>
    <t>Kramer, Faye</t>
  </si>
  <si>
    <t>Stephens, Bonnie</t>
  </si>
  <si>
    <t>Nicholson, Lee</t>
  </si>
  <si>
    <t>Kim, Deborah</t>
  </si>
  <si>
    <t>Boyer, John</t>
  </si>
  <si>
    <t>Pruitt, Randy</t>
  </si>
  <si>
    <t>Shaffer, Nobuko</t>
  </si>
  <si>
    <t>Blankenship, Roger</t>
  </si>
  <si>
    <t>Sharp, Janine</t>
  </si>
  <si>
    <t>Barker, Heidi</t>
  </si>
  <si>
    <t>Bowers, Tammy</t>
  </si>
  <si>
    <t>Ray, ReAnnon</t>
  </si>
  <si>
    <t>Cobb, Nicole</t>
  </si>
  <si>
    <t>Ramirez, Keith</t>
  </si>
  <si>
    <t>Saunders, Corey</t>
  </si>
  <si>
    <t>Rice, Diane</t>
  </si>
  <si>
    <t>Woodward, Tim</t>
  </si>
  <si>
    <t>Hardy, Svetlana</t>
  </si>
  <si>
    <t>Stephenson, Matt</t>
  </si>
  <si>
    <t>Frazier, Chris</t>
  </si>
  <si>
    <t>Tran, Chad</t>
  </si>
  <si>
    <t>Koch, Danielle</t>
  </si>
  <si>
    <t>Oneal, William</t>
  </si>
  <si>
    <t>McIntosh, Jeremy</t>
  </si>
  <si>
    <t>Gill, Douglas</t>
  </si>
  <si>
    <t>Berry, Jacklyn</t>
  </si>
  <si>
    <t>Dyer, Carrie</t>
  </si>
  <si>
    <t>Leonard, Paul</t>
  </si>
  <si>
    <t>Pitts, Dana</t>
  </si>
  <si>
    <t>Higgins, Angela</t>
  </si>
  <si>
    <t>Lamb, John</t>
  </si>
  <si>
    <t>Holmes, Tito</t>
  </si>
  <si>
    <t>Leach, Jingwen</t>
  </si>
  <si>
    <t>McDonald, Debra</t>
  </si>
  <si>
    <t>Harrell, Cristin</t>
  </si>
  <si>
    <t>Bridges, Jeff</t>
  </si>
  <si>
    <t>Warren, Jean</t>
  </si>
  <si>
    <t>Shields, Robert</t>
  </si>
  <si>
    <t>Erickson, Ricky</t>
  </si>
  <si>
    <t>Lambert, Jody</t>
  </si>
  <si>
    <t>Henson, Debra</t>
  </si>
  <si>
    <t>Hardin, Gregory</t>
  </si>
  <si>
    <t>Nunez, Benning</t>
  </si>
  <si>
    <t>Cortez, Jack</t>
  </si>
  <si>
    <t>Carrillo, Robert</t>
  </si>
  <si>
    <t>Stevens, Andrew</t>
  </si>
  <si>
    <t>Durham, Troy</t>
  </si>
  <si>
    <t>Young, Benjamin</t>
  </si>
  <si>
    <t>Reynolds, Barbara</t>
  </si>
  <si>
    <t>Nelson, Shira</t>
  </si>
  <si>
    <t>Kelly, Icelita</t>
  </si>
  <si>
    <t>Green, Kim</t>
  </si>
  <si>
    <t>Carpenter, Ronald</t>
  </si>
  <si>
    <t>Kirby, Michael</t>
  </si>
  <si>
    <t>Oconnor, Kent</t>
  </si>
  <si>
    <t>Hoffman, Brian D</t>
  </si>
  <si>
    <t>Dunn, Matthew</t>
  </si>
  <si>
    <t>Reyes, Mary</t>
  </si>
  <si>
    <t>Butler, Roy</t>
  </si>
  <si>
    <t>McDaniel, Tamara</t>
  </si>
  <si>
    <t>Carter, Allan</t>
  </si>
  <si>
    <t>Blackwell, Brandon</t>
  </si>
  <si>
    <t>Marquez, Thomas</t>
  </si>
  <si>
    <t>Briggs, Bryan</t>
  </si>
  <si>
    <t>Pugh, Lawrence</t>
  </si>
  <si>
    <t>Navarro, Marc</t>
  </si>
  <si>
    <t>Walker, Mike</t>
  </si>
  <si>
    <t>Meyers, David</t>
  </si>
  <si>
    <t>Powers, Tia</t>
  </si>
  <si>
    <t>Garner, Terry</t>
  </si>
  <si>
    <t>Hensley, William</t>
  </si>
  <si>
    <t>Pratt, Erik</t>
  </si>
  <si>
    <t>Arnold, Cole</t>
  </si>
  <si>
    <t>Griffith, Michelle</t>
  </si>
  <si>
    <t>Robertson, Nathan</t>
  </si>
  <si>
    <t>Acosta, Robert</t>
  </si>
  <si>
    <t>Mathews, Marcia</t>
  </si>
  <si>
    <t>Hancock, Allen</t>
  </si>
  <si>
    <t>Mason, Suzanne</t>
  </si>
  <si>
    <t>Charles, Jeffrey</t>
  </si>
  <si>
    <t>Strong, Lisa</t>
  </si>
  <si>
    <t>Singleton, David</t>
  </si>
  <si>
    <t>Olsen, Ewan</t>
  </si>
  <si>
    <t>Fitzgerald, George</t>
  </si>
  <si>
    <t>Herman, Henrietta</t>
  </si>
  <si>
    <t>Sutton, Matthew</t>
  </si>
  <si>
    <t>Frost, Adam</t>
  </si>
  <si>
    <t>Reeves, Greg</t>
  </si>
  <si>
    <t>Taylor, Hector</t>
  </si>
  <si>
    <t>Williams, Scott</t>
  </si>
  <si>
    <t>Alvarez, Steven</t>
  </si>
  <si>
    <t>Gentry, John</t>
  </si>
  <si>
    <t>Lang, Dana</t>
  </si>
  <si>
    <t>Burns, Fiona</t>
  </si>
  <si>
    <t>Carey, Andrea</t>
  </si>
  <si>
    <t>Sparks, Terri</t>
  </si>
  <si>
    <t>Keller, Jason</t>
  </si>
  <si>
    <t>Howard, Lisa</t>
  </si>
  <si>
    <t>McCall, Keith</t>
  </si>
  <si>
    <t>Rojas, Charles</t>
  </si>
  <si>
    <t>Conner, Mark</t>
  </si>
  <si>
    <t>Moreno, Chris</t>
  </si>
  <si>
    <t>Cox, Stephanie</t>
  </si>
  <si>
    <t>Brooks, Richard</t>
  </si>
  <si>
    <t>Schultz, Norman</t>
  </si>
  <si>
    <t>Dixon, Richard</t>
  </si>
  <si>
    <t>Horn, George</t>
  </si>
  <si>
    <t>Vincent, Guy</t>
  </si>
  <si>
    <t>Conley, Mark</t>
  </si>
  <si>
    <t>Bishop, Juan</t>
  </si>
  <si>
    <t>Johnson, Mary Jo</t>
  </si>
  <si>
    <t>Bass, Justin</t>
  </si>
  <si>
    <t>Rodriguez, Scott</t>
  </si>
  <si>
    <t>Black, Cliff</t>
  </si>
  <si>
    <t>Quinn, Cinnamon</t>
  </si>
  <si>
    <t>Vaughn, Harlon</t>
  </si>
  <si>
    <t>Simpson, Jimmy</t>
  </si>
  <si>
    <t>Thornton, Charles</t>
  </si>
  <si>
    <t>Barrett, John</t>
  </si>
  <si>
    <t>Hayes, Edward</t>
  </si>
  <si>
    <t>Patel, Donald</t>
  </si>
  <si>
    <t>Kirk, Chris</t>
  </si>
  <si>
    <t>Abbott, James</t>
  </si>
  <si>
    <t>Gomez, Ed</t>
  </si>
  <si>
    <t>Mercado, David</t>
  </si>
  <si>
    <t>Maxwell, Jill</t>
  </si>
  <si>
    <t>Leon, Emily</t>
  </si>
  <si>
    <t>Page, Lisa</t>
  </si>
  <si>
    <t>Armstrong, David</t>
  </si>
  <si>
    <t>Grant, Leonard</t>
  </si>
  <si>
    <t>Farmer, Suzanne</t>
  </si>
  <si>
    <t>Baxter, Teresa</t>
  </si>
  <si>
    <t>Wilcox, Robert</t>
  </si>
  <si>
    <t>Tate, Zachary</t>
  </si>
  <si>
    <t>McKenzie, Michelle</t>
  </si>
  <si>
    <t>Rogers, Colleen</t>
  </si>
  <si>
    <t>Knight, Denise</t>
  </si>
  <si>
    <t>Logan, Karen</t>
  </si>
  <si>
    <t>Norton, Bruce</t>
  </si>
  <si>
    <t>Norman, Rita</t>
  </si>
  <si>
    <t>West, Jeffrey</t>
  </si>
  <si>
    <t>Cunningham, Denise</t>
  </si>
  <si>
    <t>Adams, David</t>
  </si>
  <si>
    <t>Calhoun, Dac Vinh</t>
  </si>
  <si>
    <t>Gutierrez, Regina</t>
  </si>
  <si>
    <t>Kelley, Nancy</t>
  </si>
  <si>
    <t>Ballard, Martin</t>
  </si>
  <si>
    <t>Foster, Blane</t>
  </si>
  <si>
    <t>McCoy, Preston</t>
  </si>
  <si>
    <t>Small, Athanasios</t>
  </si>
  <si>
    <t>Wheeler, Meegan</t>
  </si>
  <si>
    <t>Pierce, Karen</t>
  </si>
  <si>
    <t>Giles, Kathleen</t>
  </si>
  <si>
    <t>Rodgers, Daniel</t>
  </si>
  <si>
    <t>George, Jessica</t>
  </si>
  <si>
    <t>Castro, Christopher</t>
  </si>
  <si>
    <t>Ellis, Brenda</t>
  </si>
  <si>
    <t>Bullock, Greg</t>
  </si>
  <si>
    <t>Maynard, Susan</t>
  </si>
  <si>
    <t>DR</t>
  </si>
  <si>
    <t>Rios, Fredrick</t>
  </si>
  <si>
    <t>Allison, Timothy</t>
  </si>
  <si>
    <t>Knox, Lori</t>
  </si>
  <si>
    <t>Dec</t>
  </si>
  <si>
    <t>Jun</t>
  </si>
  <si>
    <t>Fisher, Maria</t>
  </si>
  <si>
    <t>Nov</t>
  </si>
  <si>
    <t>May</t>
  </si>
  <si>
    <t>Adkins, Michael</t>
  </si>
  <si>
    <t>Oct</t>
  </si>
  <si>
    <t>Apr</t>
  </si>
  <si>
    <t>King, Taslim</t>
  </si>
  <si>
    <t>Sep</t>
  </si>
  <si>
    <t>Mar</t>
  </si>
  <si>
    <t>Trevino, Gary</t>
  </si>
  <si>
    <t>Aug</t>
  </si>
  <si>
    <t>Feb</t>
  </si>
  <si>
    <t>Barton, Barry</t>
  </si>
  <si>
    <t>Jul</t>
  </si>
  <si>
    <t>Jan</t>
  </si>
  <si>
    <t>Baker, Barney</t>
  </si>
  <si>
    <t>IL</t>
  </si>
  <si>
    <t>FL</t>
  </si>
  <si>
    <t>NY</t>
  </si>
  <si>
    <t>TX</t>
  </si>
  <si>
    <t>CA</t>
  </si>
  <si>
    <t>TaxTable</t>
  </si>
  <si>
    <t>Tax Rate</t>
  </si>
  <si>
    <t>New Salary</t>
  </si>
  <si>
    <t>Job Rating</t>
  </si>
  <si>
    <t>Salary</t>
  </si>
  <si>
    <t>Benefits</t>
  </si>
  <si>
    <t>Years</t>
  </si>
  <si>
    <t>Month</t>
  </si>
  <si>
    <t>Hire Date</t>
  </si>
  <si>
    <t>Status</t>
  </si>
  <si>
    <t>Phone</t>
  </si>
  <si>
    <t>SS#</t>
  </si>
  <si>
    <t>Department</t>
  </si>
  <si>
    <t>Building</t>
  </si>
  <si>
    <t>Employee Name</t>
  </si>
  <si>
    <t>Research/Development Count = 6</t>
  </si>
  <si>
    <t>Research Center Count = 5</t>
  </si>
  <si>
    <t>Quality Control Count = 96</t>
  </si>
  <si>
    <t>Quality Assurance Count = 76</t>
  </si>
  <si>
    <t>Project &amp; Contract Services Count = 91</t>
  </si>
  <si>
    <t>Professional Training Group Count = 16</t>
  </si>
  <si>
    <t>Process Development Count = 44</t>
  </si>
  <si>
    <t>Pharmacokinetics Count = 4</t>
  </si>
  <si>
    <t>Peptide Chemistry Count = 21</t>
  </si>
  <si>
    <t>Operations Count = 55</t>
  </si>
  <si>
    <t>Manufacturing Admin Count = 7</t>
  </si>
  <si>
    <t>Manufacturing Count = 154</t>
  </si>
  <si>
    <t>Major Mfg Projects Count = 8</t>
  </si>
  <si>
    <t>Logistics Count = 39</t>
  </si>
  <si>
    <t>International Clinical Safety Count = 6</t>
  </si>
  <si>
    <t>Executive Education Count = 19</t>
  </si>
  <si>
    <t>Environmental Health/Safety Count = 9</t>
  </si>
  <si>
    <t>Engineering/Operations Count = 8</t>
  </si>
  <si>
    <t>Engineering/Maintenance Count = 60</t>
  </si>
  <si>
    <t>Compliance Count = 4</t>
  </si>
  <si>
    <t>Audit Services Count = 10</t>
  </si>
  <si>
    <t>Admin Training Count = 17</t>
  </si>
  <si>
    <t>ADC Count = 6</t>
  </si>
  <si>
    <t>Carlson, Jeremy</t>
  </si>
  <si>
    <t>Rate</t>
  </si>
  <si>
    <t>Rating</t>
  </si>
  <si>
    <t>Service</t>
  </si>
  <si>
    <t>Date</t>
  </si>
  <si>
    <t>Number</t>
  </si>
  <si>
    <t>Tax</t>
  </si>
  <si>
    <t>Projected</t>
  </si>
  <si>
    <t>Job</t>
  </si>
  <si>
    <t>Current</t>
  </si>
  <si>
    <t>Years of</t>
  </si>
  <si>
    <t>Anniversary</t>
  </si>
  <si>
    <t>Hire</t>
  </si>
  <si>
    <t>Employment</t>
  </si>
  <si>
    <t>SS</t>
  </si>
  <si>
    <t>Employee</t>
  </si>
  <si>
    <t>2001 September 24</t>
  </si>
  <si>
    <t>Los Altos, CA   94022</t>
  </si>
  <si>
    <t>4559 Calhoun Ct.</t>
  </si>
  <si>
    <t>2007 April 21</t>
  </si>
  <si>
    <t>Atlanta, GA   30326</t>
  </si>
  <si>
    <t>3296 North Ave.</t>
  </si>
  <si>
    <t>2010 October 23</t>
  </si>
  <si>
    <t>Boston, MA   02108</t>
  </si>
  <si>
    <t>6258 Arthur St.</t>
  </si>
  <si>
    <t>2008 May 17</t>
  </si>
  <si>
    <t>San Antonio, TX   78257</t>
  </si>
  <si>
    <t>6627 Cherry Lane</t>
  </si>
  <si>
    <t>2002 September 5</t>
  </si>
  <si>
    <t>Medina, WA   98039</t>
  </si>
  <si>
    <t>2514 Buren Ct.</t>
  </si>
  <si>
    <t>2011 September 26</t>
  </si>
  <si>
    <t>Scarsdale, NY   10583</t>
  </si>
  <si>
    <t>9232 Quayle Ave.</t>
  </si>
  <si>
    <t>2008 December 2</t>
  </si>
  <si>
    <t>Winnetka, IL   60093</t>
  </si>
  <si>
    <t>2403 Tompkins Lane</t>
  </si>
  <si>
    <t>1994 September 15</t>
  </si>
  <si>
    <t>Santa Monica, CA   90402</t>
  </si>
  <si>
    <t>7265 Morton Lane</t>
  </si>
  <si>
    <t>2011 November 7</t>
  </si>
  <si>
    <t>South Beach, FL   32963</t>
  </si>
  <si>
    <t>8294 Maple St.</t>
  </si>
  <si>
    <t>1993 November 28</t>
  </si>
  <si>
    <t>Larchmont, NY   10538</t>
  </si>
  <si>
    <t>7686 Elm Lane</t>
  </si>
  <si>
    <t>1985 November 10</t>
  </si>
  <si>
    <t>Los Angeles, CA   90067</t>
  </si>
  <si>
    <t>9713 Monroe Blvd.</t>
  </si>
  <si>
    <t>1995 December 21</t>
  </si>
  <si>
    <t>Beverly Hills, CA   90210</t>
  </si>
  <si>
    <t>1541 Pierce Blvd.</t>
  </si>
  <si>
    <t>2010 July 22</t>
  </si>
  <si>
    <t>Rancho Santa Fe, CA   92067</t>
  </si>
  <si>
    <t>6521 King Blvd.</t>
  </si>
  <si>
    <t>2000 August 9</t>
  </si>
  <si>
    <t>Richmond, VA   23219</t>
  </si>
  <si>
    <t>4216 Oak Ct.</t>
  </si>
  <si>
    <t>2000 April 22</t>
  </si>
  <si>
    <t>New York, NY   10004</t>
  </si>
  <si>
    <t>8015 Eisenhower Ave.</t>
  </si>
  <si>
    <t>2010 December 23</t>
  </si>
  <si>
    <t>Rye, NY   10580</t>
  </si>
  <si>
    <t>6699 Coolidge Lane</t>
  </si>
  <si>
    <t>2010 January 7</t>
  </si>
  <si>
    <t>Mountain Lakes, NJ   07046</t>
  </si>
  <si>
    <t>3218 Main Lane</t>
  </si>
  <si>
    <t>2008 August 16</t>
  </si>
  <si>
    <t>Lake Forest, IL   60045</t>
  </si>
  <si>
    <t>2370 Pine Blvd.</t>
  </si>
  <si>
    <t>Nathan Robertson</t>
  </si>
  <si>
    <t>1995 August 13</t>
  </si>
  <si>
    <t>Kenilworth, IL   60043</t>
  </si>
  <si>
    <t>2981 Truman St.</t>
  </si>
  <si>
    <t>1987 November 15</t>
  </si>
  <si>
    <t>Redwood City, CA   94062</t>
  </si>
  <si>
    <t>5506 Dallas Ct.</t>
  </si>
  <si>
    <t>1988 September 3</t>
  </si>
  <si>
    <t>Darien, CT   06820</t>
  </si>
  <si>
    <t>4725 Garfield Blvd.</t>
  </si>
  <si>
    <t>2005 April 4</t>
  </si>
  <si>
    <t>Scotts Corners, NY   10576</t>
  </si>
  <si>
    <t>4299 Clinton Ave.</t>
  </si>
  <si>
    <t>1996 August 17</t>
  </si>
  <si>
    <t>Norwalk, CT   06853</t>
  </si>
  <si>
    <t>9701 Ford Ct.</t>
  </si>
  <si>
    <t>1986 March 6</t>
  </si>
  <si>
    <t>Kings Point, NY   11024</t>
  </si>
  <si>
    <t>9447 Washington Ave.</t>
  </si>
  <si>
    <t>1987 September 12</t>
  </si>
  <si>
    <t>Manhasset, NY   11030</t>
  </si>
  <si>
    <t>1344 Hayes Lane</t>
  </si>
  <si>
    <t>1996 July 22</t>
  </si>
  <si>
    <t>Alpine, NJ   07620</t>
  </si>
  <si>
    <t>1571 Nixon Lane</t>
  </si>
  <si>
    <t>1997 April 23</t>
  </si>
  <si>
    <t>Potomac, MD   20854</t>
  </si>
  <si>
    <t>8035 South Blvd.</t>
  </si>
  <si>
    <t>1986 December 7</t>
  </si>
  <si>
    <t>Boca Grande, FL   33921</t>
  </si>
  <si>
    <t>9985 Willow Blvd.</t>
  </si>
  <si>
    <t>2001 December 13</t>
  </si>
  <si>
    <t>Palo Alto, CA   94301</t>
  </si>
  <si>
    <t>2114 Taft Lane</t>
  </si>
  <si>
    <t>1993 August 24</t>
  </si>
  <si>
    <t>Armonk, NY   10504</t>
  </si>
  <si>
    <t>3545 Tyler Ct.</t>
  </si>
  <si>
    <t>Richard Dixon</t>
  </si>
  <si>
    <t>1989 March 1</t>
  </si>
  <si>
    <t>Houston, TX   77002</t>
  </si>
  <si>
    <t>5146 Reagan St.</t>
  </si>
  <si>
    <t>2004 February 24</t>
  </si>
  <si>
    <t>Old Westbury, NY   11568</t>
  </si>
  <si>
    <t>7741 Garner Ct.</t>
  </si>
  <si>
    <t>1993 December 2</t>
  </si>
  <si>
    <t>Chappaqua, NY   10514</t>
  </si>
  <si>
    <t>18 Burr St.</t>
  </si>
  <si>
    <t>1991 July 7</t>
  </si>
  <si>
    <t>Naples Park, FL   34108</t>
  </si>
  <si>
    <t>7727 South Blvd.</t>
  </si>
  <si>
    <t>2011 June 10</t>
  </si>
  <si>
    <t>2009 February 1</t>
  </si>
  <si>
    <t>Belvedere, CA   94920</t>
  </si>
  <si>
    <t>2605 Wilson Ct.</t>
  </si>
  <si>
    <t>Mark Conner</t>
  </si>
  <si>
    <t>2009 October 15</t>
  </si>
  <si>
    <t>Chicago, IL   60606</t>
  </si>
  <si>
    <t>180 Carter St.</t>
  </si>
  <si>
    <t>Fiona Burns</t>
  </si>
  <si>
    <t>2003 February 6</t>
  </si>
  <si>
    <t>Longboat Key, FL   34228</t>
  </si>
  <si>
    <t>8376 Spruce Ave.</t>
  </si>
  <si>
    <t>2004 March 9</t>
  </si>
  <si>
    <t>Newport Coast, CA   92657</t>
  </si>
  <si>
    <t>9416 Fairbanks Ct.</t>
  </si>
  <si>
    <t>1999 April 7</t>
  </si>
  <si>
    <t>Essex Fells, NJ   07021</t>
  </si>
  <si>
    <t>4967 Harding Ct.</t>
  </si>
  <si>
    <t>1996 September 19</t>
  </si>
  <si>
    <t>Dover, MA   02030</t>
  </si>
  <si>
    <t>4675 Hamlin Ave.</t>
  </si>
  <si>
    <t>1986 November 11</t>
  </si>
  <si>
    <t>Great Falls, VA   22066</t>
  </si>
  <si>
    <t>8945 Marshall Blvd.</t>
  </si>
  <si>
    <t>1992 March 1</t>
  </si>
  <si>
    <t>Far Hills, NJ   07931</t>
  </si>
  <si>
    <t>321 Hendricks Lane</t>
  </si>
  <si>
    <t>Bedford, NY   10506</t>
  </si>
  <si>
    <t>5907 Roosevelt Ct.</t>
  </si>
  <si>
    <t>Stephanie Cox</t>
  </si>
  <si>
    <t>1987 March 25</t>
  </si>
  <si>
    <t>Hunters Creek Village, TX   77024</t>
  </si>
  <si>
    <t>7686 Stevenson Ave.</t>
  </si>
  <si>
    <t>2010 November 26</t>
  </si>
  <si>
    <t>Dallas, TX   75205</t>
  </si>
  <si>
    <t>6694 Fillmore Lane</t>
  </si>
  <si>
    <t>2011 August 27</t>
  </si>
  <si>
    <t>Naples, FL   34102</t>
  </si>
  <si>
    <t>9274 Jackson Blvd.</t>
  </si>
  <si>
    <t>2003 July 9</t>
  </si>
  <si>
    <t>Charlotte, NC   28207</t>
  </si>
  <si>
    <t>4192 Bush St.</t>
  </si>
  <si>
    <t>1995 July 14</t>
  </si>
  <si>
    <t>Weston, MA   02493</t>
  </si>
  <si>
    <t>2181 Rockefeller Lane</t>
  </si>
  <si>
    <t>1985 March 27</t>
  </si>
  <si>
    <t>543 Mondale Lane</t>
  </si>
  <si>
    <t>1995 October 15</t>
  </si>
  <si>
    <t>Palm Beach, FL   33480</t>
  </si>
  <si>
    <t>3513 Breckinridge Blvd.</t>
  </si>
  <si>
    <t>1994 July 25</t>
  </si>
  <si>
    <t>Mendham, NJ   07945</t>
  </si>
  <si>
    <t>7264 Main Lane</t>
  </si>
  <si>
    <t>1986 February 22</t>
  </si>
  <si>
    <t>7222 Sherman St.</t>
  </si>
  <si>
    <t>Keith McCall</t>
  </si>
  <si>
    <t>1993 January 8</t>
  </si>
  <si>
    <t>Rancho Santa Fe, CA   92091</t>
  </si>
  <si>
    <t>7670 Cheney Ave.</t>
  </si>
  <si>
    <t>2004 February 10</t>
  </si>
  <si>
    <t>Greenwich, CT   06830</t>
  </si>
  <si>
    <t>2333 McKinley Ave.</t>
  </si>
  <si>
    <t>1990 December 4</t>
  </si>
  <si>
    <t>Paradise Valley, AZ   85253</t>
  </si>
  <si>
    <t>225 Colfax Ave.</t>
  </si>
  <si>
    <t>1998 December 23</t>
  </si>
  <si>
    <t>Incline Village, NV   89451</t>
  </si>
  <si>
    <t>1602 Harrison St.</t>
  </si>
  <si>
    <t>1992 August 4</t>
  </si>
  <si>
    <t>New Canaan, CT   06840</t>
  </si>
  <si>
    <t>662 Curtis Ct.</t>
  </si>
  <si>
    <t>1997 August 28</t>
  </si>
  <si>
    <t>Cold Spring Harbor, NY   11724</t>
  </si>
  <si>
    <t>1317 Cleveland Blvd.</t>
  </si>
  <si>
    <t>2005 January 13</t>
  </si>
  <si>
    <t>Tulsa, OK   74103</t>
  </si>
  <si>
    <t>1144 Gerry Blvd.</t>
  </si>
  <si>
    <t>1995 November 14</t>
  </si>
  <si>
    <t>Santa Barbara, CA   93108</t>
  </si>
  <si>
    <t>4318 Madison Ave.</t>
  </si>
  <si>
    <t>1993 October 20</t>
  </si>
  <si>
    <t>Wilmington, DE   19807</t>
  </si>
  <si>
    <t>5882 Dawes Blvd.</t>
  </si>
  <si>
    <t>2000 January 8</t>
  </si>
  <si>
    <t>Ladue, MO   63124</t>
  </si>
  <si>
    <t>33 Watson Lane</t>
  </si>
  <si>
    <t>1985 January 12</t>
  </si>
  <si>
    <t>Atherton, CA   94027</t>
  </si>
  <si>
    <t>93 Roosevelt Blvd.</t>
  </si>
  <si>
    <t>Norman Schultz</t>
  </si>
  <si>
    <t>2008 January 5</t>
  </si>
  <si>
    <t>Bernardsville, NJ   07924</t>
  </si>
  <si>
    <t>1808 Wheeler Ct.</t>
  </si>
  <si>
    <t>Charles Rojas</t>
  </si>
  <si>
    <t>2008 April 19</t>
  </si>
  <si>
    <t>Wilson, WY   83014</t>
  </si>
  <si>
    <t>1730 Barkley St.</t>
  </si>
  <si>
    <t>2001 March 3</t>
  </si>
  <si>
    <t>Portola Valley, CA   94028</t>
  </si>
  <si>
    <t>6136 Harrison Ct.</t>
  </si>
  <si>
    <t>1988 December 2</t>
  </si>
  <si>
    <t>Fort Worth, TX   76102</t>
  </si>
  <si>
    <t>4247 Hoover Ct.</t>
  </si>
  <si>
    <t>1994 October 11</t>
  </si>
  <si>
    <t>Westport, CT   06880</t>
  </si>
  <si>
    <t>887 Harrison St.</t>
  </si>
  <si>
    <t>2006 July 27</t>
  </si>
  <si>
    <t>Sherborn, MA   01770</t>
  </si>
  <si>
    <t>4915 Adams Ct.</t>
  </si>
  <si>
    <t>2003 January 28</t>
  </si>
  <si>
    <t>Franklin Lakes, NJ   07417</t>
  </si>
  <si>
    <t>5800 Humphrey Blvd.</t>
  </si>
  <si>
    <t>2010 February 8</t>
  </si>
  <si>
    <t>Rumson, NJ   07760</t>
  </si>
  <si>
    <t>2247 Grant Ave.</t>
  </si>
  <si>
    <t>1990 July 11</t>
  </si>
  <si>
    <t>Belair Beach, FL   33786</t>
  </si>
  <si>
    <t>8028 Wallace Ave.</t>
  </si>
  <si>
    <t>1997 August 8</t>
  </si>
  <si>
    <t>Hinsdale, IL   60521</t>
  </si>
  <si>
    <t>550 Polk Ave.</t>
  </si>
  <si>
    <t>1988 November 15</t>
  </si>
  <si>
    <t>Weston, CT   06883</t>
  </si>
  <si>
    <t>6436 Taft St.</t>
  </si>
  <si>
    <t>1997 January 27</t>
  </si>
  <si>
    <t>San Francisco, CA   94111</t>
  </si>
  <si>
    <t>7217 Lincoln Lane</t>
  </si>
  <si>
    <t>1993 March 13</t>
  </si>
  <si>
    <t>The Plains, VA   20198</t>
  </si>
  <si>
    <t>8001 Gore St.</t>
  </si>
  <si>
    <t>2011 October 24</t>
  </si>
  <si>
    <t>Saddle River, NJ   07458</t>
  </si>
  <si>
    <t>3842 Harrison St.</t>
  </si>
  <si>
    <t>2003 March 25</t>
  </si>
  <si>
    <t>Glencoe, IL   60022</t>
  </si>
  <si>
    <t>7759 Johnson Ave.</t>
  </si>
  <si>
    <t>Henrietta Herman</t>
  </si>
  <si>
    <t>Member Since:</t>
  </si>
  <si>
    <t>City, State ZIP</t>
  </si>
  <si>
    <t>Address</t>
  </si>
  <si>
    <t>Contact</t>
  </si>
  <si>
    <t>OS BOND CONSTRUCTION (642)</t>
  </si>
  <si>
    <t>Open Space</t>
  </si>
  <si>
    <t>OS S/U TAX REV BOND ACCT (641)</t>
  </si>
  <si>
    <t>OS SALES TAX FUND (640)</t>
  </si>
  <si>
    <t>Total OS Bond Construction Fund</t>
  </si>
  <si>
    <t>Transfer from Other Funds (370-**)</t>
  </si>
  <si>
    <t>Interest Earnings (361-*)</t>
  </si>
  <si>
    <t>Difference</t>
  </si>
  <si>
    <t>Budget</t>
  </si>
  <si>
    <t>Total</t>
  </si>
  <si>
    <t>Year</t>
  </si>
  <si>
    <t>OS BOND CONSTRUCTION (342)</t>
  </si>
  <si>
    <t>Total OS S/U Tax Rev Bond Acct</t>
  </si>
  <si>
    <t>Intergovernment Revenue (330-**)</t>
  </si>
  <si>
    <t>OS S/U TAX REV BOND ACCT (341)</t>
  </si>
  <si>
    <t>Total OS Sales Tax Fund</t>
  </si>
  <si>
    <t>Sale of Land (390-**)</t>
  </si>
  <si>
    <t>Rents/Royalties (362*)</t>
  </si>
  <si>
    <t>Unrealized Gain/Loss (361-70)</t>
  </si>
  <si>
    <t>Interest Income - 2010A Bonds (361-31)</t>
  </si>
  <si>
    <t>Interest Income -Operating (361-20)</t>
  </si>
  <si>
    <t>Misc Revenue (360-10)</t>
  </si>
  <si>
    <t>Taxpayer Assd Sales Tax Accrual (313-99)</t>
  </si>
  <si>
    <t>Taxpayer Assd Use Tax Accrual (313-98)</t>
  </si>
  <si>
    <t>Use Tax (313-11)</t>
  </si>
  <si>
    <t>Sales Tax (313-10)</t>
  </si>
  <si>
    <t>Fund Type</t>
  </si>
  <si>
    <t>Fund</t>
  </si>
  <si>
    <t>Amount</t>
  </si>
  <si>
    <t>Sheet</t>
  </si>
  <si>
    <t>Seq</t>
  </si>
  <si>
    <t xml:space="preserve"> 345 Kennedy St.</t>
  </si>
  <si>
    <t>Stephen Silva</t>
  </si>
  <si>
    <t>John Lloyd</t>
  </si>
  <si>
    <t>Timothy Park</t>
  </si>
  <si>
    <t>Michael Molina</t>
  </si>
  <si>
    <t>Scott McDowell</t>
  </si>
  <si>
    <t>Randy Nixon</t>
  </si>
  <si>
    <t>Leonard Figueroa</t>
  </si>
  <si>
    <t>Robin Hutchinson</t>
  </si>
  <si>
    <t>Shira Nelson</t>
  </si>
  <si>
    <t>Robert Daniel</t>
  </si>
  <si>
    <t>Brenda Barnett</t>
  </si>
  <si>
    <t>Jon Gregory</t>
  </si>
  <si>
    <t>Jan Ramos</t>
  </si>
  <si>
    <t>Dac Calhoun</t>
  </si>
  <si>
    <t>David Adams</t>
  </si>
  <si>
    <t>Justin Bass</t>
  </si>
  <si>
    <t>Benjamin Young</t>
  </si>
  <si>
    <t>Benning Nunez</t>
  </si>
  <si>
    <t>Robert Shields</t>
  </si>
  <si>
    <t>Svetlana Hardy</t>
  </si>
  <si>
    <t>Tim Woodward</t>
  </si>
  <si>
    <t>Nobuko Shaffer</t>
  </si>
  <si>
    <t>Deon Hale</t>
  </si>
  <si>
    <t>Anne Gates</t>
  </si>
  <si>
    <t>Mark Lara</t>
  </si>
  <si>
    <t>Kenneth Vazquez</t>
  </si>
  <si>
    <t>Chris Montgomery</t>
  </si>
  <si>
    <t>Charles Lee</t>
  </si>
  <si>
    <t>Patrick Curtis</t>
  </si>
  <si>
    <t>Rick Gallegos</t>
  </si>
  <si>
    <t>Michael Morse</t>
  </si>
  <si>
    <t>Davin Gross</t>
  </si>
  <si>
    <t>Leigh Newton</t>
  </si>
  <si>
    <t>Michael Noble</t>
  </si>
  <si>
    <t>Mark Jordan</t>
  </si>
  <si>
    <t>Brent Rich</t>
  </si>
  <si>
    <t>Rolin Evans</t>
  </si>
  <si>
    <t>Garret Santos</t>
  </si>
  <si>
    <t>Ted Wise</t>
  </si>
  <si>
    <t>Jerry Townsend</t>
  </si>
  <si>
    <t>Joan Estrada</t>
  </si>
  <si>
    <t>Francisco Oliver</t>
  </si>
  <si>
    <t>Dennis Clarke</t>
  </si>
  <si>
    <t>Lynne Wagner</t>
  </si>
  <si>
    <t>Shari Mathis</t>
  </si>
  <si>
    <t>Jaime Chen</t>
  </si>
  <si>
    <t>Marc Reese</t>
  </si>
  <si>
    <t>Michelle Lowe</t>
  </si>
  <si>
    <t>Jose Cummings</t>
  </si>
  <si>
    <t>Christopher Padilla</t>
  </si>
  <si>
    <t>Chad Tran</t>
  </si>
  <si>
    <t>Eric Boone</t>
  </si>
  <si>
    <t>Randy Romero</t>
  </si>
  <si>
    <t>Kristin Randolph</t>
  </si>
  <si>
    <t>Elena Miranda</t>
  </si>
  <si>
    <t>Terry Gilmore</t>
  </si>
  <si>
    <t>Kenneth Douglas</t>
  </si>
  <si>
    <t>Richard Campos</t>
  </si>
  <si>
    <t>Fredrick Rios</t>
  </si>
  <si>
    <t>Christopher Castro</t>
  </si>
  <si>
    <t>Karen Pierce</t>
  </si>
  <si>
    <t>Athanasios Small</t>
  </si>
  <si>
    <t>Karen Logan</t>
  </si>
  <si>
    <t>Zachary Tate</t>
  </si>
  <si>
    <t>Teresa Baxter</t>
  </si>
  <si>
    <t>David Mercado</t>
  </si>
  <si>
    <t>Donald Patel</t>
  </si>
  <si>
    <t>Scott Rodriguez</t>
  </si>
  <si>
    <t>Mark Conley</t>
  </si>
  <si>
    <t>Guy Vincent</t>
  </si>
  <si>
    <t>Employee
Name</t>
  </si>
  <si>
    <t>Brewer, Kent</t>
  </si>
  <si>
    <t>Board Member Dates</t>
  </si>
  <si>
    <t>3/30/2007 - 8/22/2008</t>
  </si>
  <si>
    <t>11/6/2011 - 6/7/2013</t>
  </si>
  <si>
    <t>7/7/1997 - 2/24/1999</t>
  </si>
  <si>
    <t>8/10/2001 - 4/20/2003</t>
  </si>
  <si>
    <t>4/26/1991 - 11/18/1992</t>
  </si>
  <si>
    <t>1/10/2001 - 11/11/2002</t>
  </si>
  <si>
    <t>11/14/1994 - 4/6/1996</t>
  </si>
  <si>
    <t>11/30/2012 - 7/7/2014</t>
  </si>
  <si>
    <t>9/12/2007 - 4/26/2009</t>
  </si>
  <si>
    <t>2/21/2009 - 9/27/2010</t>
  </si>
  <si>
    <t>6/25/1997 - 3/8/1999</t>
  </si>
  <si>
    <t>12/24/1991 - 10/2/1993</t>
  </si>
  <si>
    <t>12/29/2004 - 9/9/2006</t>
  </si>
  <si>
    <t>6/14/2011 - 11/5/2012</t>
  </si>
  <si>
    <t>8/1/2012 - 2/5/2014</t>
  </si>
  <si>
    <t>6/20/1989 - 5/11/1991</t>
  </si>
  <si>
    <t>11/21/2004 - 8/10/2006</t>
  </si>
  <si>
    <t>2/12/1996 - 9/6/1997</t>
  </si>
  <si>
    <t>10/27/1998 - 3/12/2000</t>
  </si>
  <si>
    <t>6/11/2009 - 4/24/2011</t>
  </si>
  <si>
    <t>3/13/2001 - 8/21/2002</t>
  </si>
  <si>
    <t>3/19/1995 - 12/27/1996</t>
  </si>
  <si>
    <t>9/3/2001 - 4/18/2003</t>
  </si>
  <si>
    <t>11/21/1994 - 9/14/1996</t>
  </si>
  <si>
    <t>3/3/2007 - 8/18/2008</t>
  </si>
  <si>
    <t>3/13/1996 - 1/27/1998</t>
  </si>
  <si>
    <t>10/27/1990 - 4/16/1992</t>
  </si>
  <si>
    <t>7/20/1997 - 1/10/1999</t>
  </si>
  <si>
    <t>4/27/1998 - 2/10/2000</t>
  </si>
  <si>
    <t>4/25/1988 - 1/26/1990</t>
  </si>
  <si>
    <t>9/8/1999 - 8/6/2001</t>
  </si>
  <si>
    <t>7/12/2006 - 4/10/2008</t>
  </si>
  <si>
    <t>3/13/2012 - 8/12/2013</t>
  </si>
  <si>
    <t>11/20/2012 - 9/10/2014</t>
  </si>
  <si>
    <t>4/11/1991 - 10/10/1992</t>
  </si>
  <si>
    <t>5/21/2000 - 1/10/2002</t>
  </si>
  <si>
    <t>4/28/1995 - 1/3/1997</t>
  </si>
  <si>
    <t>10/18/1989 - 8/8/1991</t>
  </si>
  <si>
    <t>5/14/2000 - 4/3/2002</t>
  </si>
  <si>
    <t>10/27/2003 - 6/9/2005</t>
  </si>
  <si>
    <t>2/27/2007 - 11/12/2008</t>
  </si>
  <si>
    <t>9/18/2006 - 2/1/2008</t>
  </si>
  <si>
    <t>5/5/2013 - 1/12/2015</t>
  </si>
  <si>
    <t>1/4/2013 - 10/29/2014</t>
  </si>
  <si>
    <t>6/12/2015 - 3/16/2017</t>
  </si>
  <si>
    <t>5/10/1994 - 1/25/1996</t>
  </si>
  <si>
    <t>11/6/1996 - 10/5/1998</t>
  </si>
  <si>
    <t>10/11/2007 - 3/18/2009</t>
  </si>
  <si>
    <t>2/18/1992 - 8/19/1993</t>
  </si>
  <si>
    <t>3/17/1996 - 12/16/1997</t>
  </si>
  <si>
    <t>3/25/2005 - 2/17/2007</t>
  </si>
  <si>
    <t>5/10/1989 - 3/13/1991</t>
  </si>
  <si>
    <t>7/7/2001 - 12/6/2002</t>
  </si>
  <si>
    <t>10/19/2000 - 3/17/2002</t>
  </si>
  <si>
    <t>10/30/1991 - 7/7/1993</t>
  </si>
  <si>
    <t>8/12/1990 - 2/18/1992</t>
  </si>
  <si>
    <t>6/27/1999 - 11/10/2000</t>
  </si>
  <si>
    <t>6/25/2008 - 4/19/2010</t>
  </si>
  <si>
    <t>12/9/1991 - 5/26/1993</t>
  </si>
  <si>
    <t>11/5/1991 - 8/1/1993</t>
  </si>
  <si>
    <t>5/19/1999 - 3/30/2001</t>
  </si>
  <si>
    <t>4/4/2011 - 1/20/2013</t>
  </si>
  <si>
    <t>10/7/2013 - 6/12/2015</t>
  </si>
  <si>
    <t>3/5/2014 - 12/21/2015</t>
  </si>
  <si>
    <t>12/31/2002 - 8/28/2004</t>
  </si>
  <si>
    <t>9/11/2003 - 2/20/2005</t>
  </si>
  <si>
    <t>1/12/2013 - 11/17/2014</t>
  </si>
  <si>
    <t>8/16/1998 - 12/31/1999</t>
  </si>
  <si>
    <t>8/22/1989 - 5/26/1991</t>
  </si>
  <si>
    <t>12/24/1997 - 7/29/1999</t>
  </si>
  <si>
    <t>10/16/2011 - 5/16/2013</t>
  </si>
  <si>
    <t>8/25/1998 - 5/23/2000</t>
  </si>
  <si>
    <t>2/12/2011 - 8/3/2012</t>
  </si>
  <si>
    <t>7/22/2013 - 4/11/2015</t>
  </si>
  <si>
    <t>8/14/2005 - 4/11/2007</t>
  </si>
  <si>
    <t>3/20/2012 - 8/22/2013</t>
  </si>
  <si>
    <t>10/29/2013 - 6/28/2015</t>
  </si>
  <si>
    <t>10/30/2011 - 8/9/2013</t>
  </si>
  <si>
    <t>6/23/2004 - 3/25/2006</t>
  </si>
  <si>
    <t>Bacon Jr., Dan K.</t>
  </si>
  <si>
    <t>Mary Kay D. Andersen</t>
  </si>
  <si>
    <t>Kenneth Micheal Vazquez</t>
  </si>
  <si>
    <t>Rolin T. Evans</t>
  </si>
  <si>
    <t>Kahn, Wendy Beth</t>
  </si>
  <si>
    <t>Wendy Beth Kahn</t>
  </si>
  <si>
    <t>Julie Taft-Rider</t>
  </si>
  <si>
    <t>Example 1</t>
  </si>
  <si>
    <t>Example 2</t>
  </si>
  <si>
    <t>Example 3</t>
  </si>
  <si>
    <t>Example 4</t>
  </si>
  <si>
    <t>Booker, Cynthia June</t>
  </si>
  <si>
    <t>Example 5</t>
  </si>
  <si>
    <t>Example 6</t>
  </si>
  <si>
    <t>SEARCH</t>
  </si>
  <si>
    <t>FUNCTIONS</t>
  </si>
  <si>
    <t>SEARCH(s2, s1, p)</t>
  </si>
  <si>
    <t>Honolulu</t>
  </si>
  <si>
    <t>CLEAN</t>
  </si>
  <si>
    <t>TRIM</t>
  </si>
  <si>
    <t>Lower Proper Upper</t>
  </si>
  <si>
    <t>LEFT</t>
  </si>
  <si>
    <t>NESTED (SEARCH &amp; LEFT)</t>
  </si>
  <si>
    <t>Period (or dot)</t>
  </si>
  <si>
    <t>Three words (two spaces)</t>
  </si>
  <si>
    <t>Three words (two spaces) and comma</t>
  </si>
  <si>
    <t>Hyphen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</si>
</sst>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_);\(0\)"/>
    <numFmt numFmtId="167" formatCode="0.00%;\(0.00%\)"/>
    <numFmt numFmtId="168" formatCode="m/d/yy;@"/>
    <numFmt numFmtId="169" formatCode="000\-00\-0000"/>
    <numFmt numFmtId="170" formatCode="[&lt;=9999999]###\-####;\(###\)\ ###\-####"/>
    <numFmt numFmtId="171" formatCode="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1"/>
      <color indexed="10"/>
      <name val="Calibri"/>
      <family val="2"/>
    </font>
    <font>
      <b/>
      <sz val="11"/>
      <name val="Calibri"/>
      <family val="2"/>
    </font>
    <font>
      <b/>
      <i/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sz val="12"/>
      <name val="Helv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4" borderId="3"/>
    <xf numFmtId="0" fontId="1" fillId="0" borderId="0"/>
    <xf numFmtId="37" fontId="9" fillId="0" borderId="0"/>
  </cellStyleXfs>
  <cellXfs count="118">
    <xf numFmtId="0" fontId="0" fillId="0" borderId="0" xfId="0"/>
    <xf numFmtId="0" fontId="3" fillId="0" borderId="0" xfId="1" applyFont="1" applyProtection="1">
      <protection locked="0"/>
    </xf>
    <xf numFmtId="9" fontId="3" fillId="0" borderId="0" xfId="2" applyFont="1" applyProtection="1">
      <protection locked="0"/>
    </xf>
    <xf numFmtId="164" fontId="3" fillId="0" borderId="0" xfId="3" applyNumberFormat="1" applyFont="1" applyAlignment="1" applyProtection="1">
      <protection locked="0"/>
    </xf>
    <xf numFmtId="15" fontId="3" fillId="0" borderId="0" xfId="1" applyNumberFormat="1" applyFont="1" applyProtection="1">
      <protection locked="0"/>
    </xf>
    <xf numFmtId="0" fontId="3" fillId="0" borderId="0" xfId="1" applyNumberFormat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164" fontId="3" fillId="0" borderId="0" xfId="3" applyNumberFormat="1" applyFont="1" applyFill="1" applyAlignment="1" applyProtection="1">
      <protection locked="0"/>
    </xf>
    <xf numFmtId="164" fontId="3" fillId="0" borderId="0" xfId="3" applyNumberFormat="1" applyFont="1" applyProtection="1">
      <protection locked="0"/>
    </xf>
    <xf numFmtId="164" fontId="3" fillId="0" borderId="0" xfId="3" applyNumberFormat="1" applyFont="1" applyFill="1" applyProtection="1"/>
    <xf numFmtId="15" fontId="3" fillId="0" borderId="0" xfId="1" applyNumberFormat="1" applyFont="1" applyFill="1" applyProtection="1">
      <protection locked="0"/>
    </xf>
    <xf numFmtId="0" fontId="3" fillId="0" borderId="0" xfId="1" applyNumberFormat="1" applyFont="1" applyAlignment="1" applyProtection="1">
      <alignment horizontal="right"/>
      <protection locked="0"/>
    </xf>
    <xf numFmtId="0" fontId="3" fillId="0" borderId="0" xfId="1" applyFont="1" applyFill="1" applyAlignment="1" applyProtection="1">
      <alignment horizontal="center"/>
      <protection locked="0"/>
    </xf>
    <xf numFmtId="15" fontId="3" fillId="0" borderId="0" xfId="3" applyNumberFormat="1" applyFont="1" applyProtection="1">
      <protection locked="0"/>
    </xf>
    <xf numFmtId="0" fontId="3" fillId="0" borderId="0" xfId="1" applyFont="1" applyFill="1" applyProtection="1">
      <protection locked="0"/>
    </xf>
    <xf numFmtId="0" fontId="3" fillId="0" borderId="0" xfId="1" applyNumberFormat="1" applyFont="1" applyFill="1" applyAlignment="1" applyProtection="1">
      <alignment horizontal="right"/>
      <protection locked="0"/>
    </xf>
    <xf numFmtId="9" fontId="3" fillId="0" borderId="0" xfId="2" applyFont="1" applyBorder="1" applyProtection="1">
      <protection locked="0"/>
    </xf>
    <xf numFmtId="15" fontId="3" fillId="0" borderId="0" xfId="1" applyNumberFormat="1" applyFont="1" applyBorder="1" applyProtection="1">
      <protection locked="0"/>
    </xf>
    <xf numFmtId="15" fontId="3" fillId="0" borderId="0" xfId="3" applyNumberFormat="1" applyFont="1" applyBorder="1" applyProtection="1">
      <protection locked="0"/>
    </xf>
    <xf numFmtId="164" fontId="3" fillId="0" borderId="0" xfId="3" applyNumberFormat="1" applyFont="1" applyBorder="1" applyProtection="1">
      <protection locked="0"/>
    </xf>
    <xf numFmtId="164" fontId="3" fillId="0" borderId="0" xfId="3" applyNumberFormat="1" applyFont="1" applyFill="1" applyBorder="1" applyProtection="1"/>
    <xf numFmtId="164" fontId="3" fillId="0" borderId="0" xfId="1" applyNumberFormat="1" applyFont="1" applyProtection="1">
      <protection locked="0"/>
    </xf>
    <xf numFmtId="165" fontId="3" fillId="0" borderId="0" xfId="3" applyNumberFormat="1" applyFont="1" applyProtection="1">
      <protection locked="0"/>
    </xf>
    <xf numFmtId="0" fontId="4" fillId="0" borderId="0" xfId="1" applyFont="1" applyAlignment="1" applyProtection="1">
      <protection locked="0"/>
    </xf>
    <xf numFmtId="0" fontId="3" fillId="0" borderId="0" xfId="1" applyFont="1" applyBorder="1" applyProtection="1">
      <protection locked="0"/>
    </xf>
    <xf numFmtId="9" fontId="3" fillId="2" borderId="1" xfId="1" applyNumberFormat="1" applyFont="1" applyFill="1" applyBorder="1" applyProtection="1">
      <protection locked="0"/>
    </xf>
    <xf numFmtId="164" fontId="3" fillId="2" borderId="1" xfId="3" applyNumberFormat="1" applyFont="1" applyFill="1" applyBorder="1" applyProtection="1">
      <protection locked="0"/>
    </xf>
    <xf numFmtId="43" fontId="3" fillId="0" borderId="0" xfId="3" applyFont="1" applyProtection="1">
      <protection locked="0"/>
    </xf>
    <xf numFmtId="0" fontId="3" fillId="0" borderId="0" xfId="1" applyFont="1" applyAlignment="1" applyProtection="1">
      <alignment horizontal="right"/>
      <protection locked="0"/>
    </xf>
    <xf numFmtId="0" fontId="3" fillId="0" borderId="0" xfId="1" applyFont="1" applyAlignment="1" applyProtection="1">
      <protection locked="0"/>
    </xf>
    <xf numFmtId="0" fontId="4" fillId="0" borderId="0" xfId="1" applyFont="1" applyAlignment="1" applyProtection="1">
      <alignment horizontal="right"/>
      <protection locked="0"/>
    </xf>
    <xf numFmtId="164" fontId="3" fillId="0" borderId="0" xfId="3" applyNumberFormat="1" applyFont="1" applyProtection="1"/>
    <xf numFmtId="164" fontId="3" fillId="0" borderId="0" xfId="3" applyNumberFormat="1" applyFont="1" applyAlignment="1" applyProtection="1"/>
    <xf numFmtId="0" fontId="4" fillId="0" borderId="0" xfId="1" applyFont="1" applyAlignment="1" applyProtection="1"/>
    <xf numFmtId="0" fontId="3" fillId="0" borderId="0" xfId="1" quotePrefix="1" applyNumberFormat="1" applyFont="1" applyAlignment="1" applyProtection="1">
      <alignment horizontal="right"/>
      <protection locked="0"/>
    </xf>
    <xf numFmtId="0" fontId="3" fillId="2" borderId="1" xfId="1" applyFont="1" applyFill="1" applyBorder="1" applyProtection="1">
      <protection locked="0"/>
    </xf>
    <xf numFmtId="166" fontId="3" fillId="2" borderId="1" xfId="3" applyNumberFormat="1" applyFont="1" applyFill="1" applyBorder="1" applyProtection="1">
      <protection locked="0"/>
    </xf>
    <xf numFmtId="0" fontId="3" fillId="0" borderId="0" xfId="1" applyFont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Protection="1"/>
    <xf numFmtId="0" fontId="4" fillId="0" borderId="0" xfId="1" applyFont="1" applyAlignment="1" applyProtection="1">
      <alignment horizontal="right"/>
    </xf>
    <xf numFmtId="0" fontId="5" fillId="0" borderId="2" xfId="1" applyFont="1" applyBorder="1" applyAlignment="1" applyProtection="1">
      <alignment vertical="center"/>
      <protection locked="0"/>
    </xf>
    <xf numFmtId="167" fontId="5" fillId="0" borderId="0" xfId="2" applyNumberFormat="1" applyFont="1" applyFill="1" applyBorder="1" applyAlignment="1" applyProtection="1">
      <alignment vertical="top" wrapText="1"/>
      <protection locked="0"/>
    </xf>
    <xf numFmtId="9" fontId="5" fillId="3" borderId="1" xfId="2" applyFont="1" applyFill="1" applyBorder="1" applyAlignment="1" applyProtection="1">
      <alignment vertical="top"/>
      <protection locked="0"/>
    </xf>
    <xf numFmtId="43" fontId="5" fillId="3" borderId="1" xfId="3" applyFont="1" applyFill="1" applyBorder="1" applyAlignment="1" applyProtection="1">
      <alignment horizontal="right" vertical="top"/>
    </xf>
    <xf numFmtId="0" fontId="5" fillId="3" borderId="1" xfId="1" applyFont="1" applyFill="1" applyBorder="1" applyAlignment="1" applyProtection="1">
      <alignment horizontal="center" vertical="top"/>
      <protection locked="0"/>
    </xf>
    <xf numFmtId="164" fontId="5" fillId="3" borderId="1" xfId="3" applyNumberFormat="1" applyFont="1" applyFill="1" applyBorder="1" applyAlignment="1" applyProtection="1">
      <alignment vertical="top"/>
      <protection locked="0"/>
    </xf>
    <xf numFmtId="0" fontId="5" fillId="3" borderId="1" xfId="1" applyFont="1" applyFill="1" applyBorder="1" applyAlignment="1" applyProtection="1">
      <alignment vertical="top"/>
      <protection locked="0"/>
    </xf>
    <xf numFmtId="0" fontId="5" fillId="3" borderId="1" xfId="1" applyFont="1" applyFill="1" applyBorder="1" applyAlignment="1" applyProtection="1">
      <alignment horizontal="right" vertical="top"/>
    </xf>
    <xf numFmtId="15" fontId="5" fillId="3" borderId="1" xfId="1" applyNumberFormat="1" applyFont="1" applyFill="1" applyBorder="1" applyAlignment="1" applyProtection="1">
      <alignment horizontal="right" vertical="top"/>
      <protection locked="0"/>
    </xf>
    <xf numFmtId="0" fontId="5" fillId="3" borderId="1" xfId="1" applyFont="1" applyFill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center"/>
    </xf>
    <xf numFmtId="164" fontId="7" fillId="0" borderId="0" xfId="3" applyNumberFormat="1" applyFont="1" applyFill="1" applyAlignment="1" applyProtection="1">
      <alignment horizontal="left" indent="1"/>
    </xf>
    <xf numFmtId="164" fontId="7" fillId="0" borderId="0" xfId="3" applyNumberFormat="1" applyFont="1" applyProtection="1"/>
    <xf numFmtId="164" fontId="7" fillId="0" borderId="0" xfId="3" applyNumberFormat="1" applyFont="1" applyFill="1" applyProtection="1"/>
    <xf numFmtId="168" fontId="7" fillId="0" borderId="0" xfId="1" applyNumberFormat="1" applyFont="1" applyProtection="1"/>
    <xf numFmtId="0" fontId="7" fillId="0" borderId="0" xfId="1" applyFont="1" applyProtection="1"/>
    <xf numFmtId="0" fontId="8" fillId="0" borderId="0" xfId="1" applyFont="1" applyProtection="1"/>
    <xf numFmtId="0" fontId="7" fillId="0" borderId="0" xfId="1" applyFont="1" applyFill="1" applyAlignment="1" applyProtection="1">
      <alignment horizontal="center"/>
      <protection locked="0"/>
    </xf>
    <xf numFmtId="168" fontId="7" fillId="0" borderId="0" xfId="3" applyNumberFormat="1" applyFont="1" applyProtection="1"/>
    <xf numFmtId="0" fontId="8" fillId="3" borderId="1" xfId="1" applyFont="1" applyFill="1" applyBorder="1" applyAlignment="1" applyProtection="1">
      <alignment horizontal="center" vertical="top"/>
    </xf>
    <xf numFmtId="164" fontId="8" fillId="3" borderId="1" xfId="3" applyNumberFormat="1" applyFont="1" applyFill="1" applyBorder="1" applyAlignment="1" applyProtection="1">
      <alignment horizontal="right" vertical="top"/>
    </xf>
    <xf numFmtId="0" fontId="8" fillId="3" borderId="1" xfId="1" applyFont="1" applyFill="1" applyBorder="1" applyAlignment="1" applyProtection="1">
      <alignment vertical="top"/>
    </xf>
    <xf numFmtId="0" fontId="8" fillId="3" borderId="1" xfId="1" applyFont="1" applyFill="1" applyBorder="1" applyAlignment="1" applyProtection="1">
      <alignment horizontal="right" vertical="top"/>
    </xf>
    <xf numFmtId="0" fontId="8" fillId="3" borderId="1" xfId="1" applyFont="1" applyFill="1" applyBorder="1" applyAlignment="1" applyProtection="1">
      <alignment horizontal="left" vertical="top"/>
    </xf>
    <xf numFmtId="9" fontId="3" fillId="0" borderId="0" xfId="2" applyFont="1" applyAlignment="1" applyProtection="1">
      <alignment horizontal="center"/>
      <protection locked="0"/>
    </xf>
    <xf numFmtId="0" fontId="3" fillId="0" borderId="0" xfId="1" applyNumberFormat="1" applyFont="1" applyFill="1" applyProtection="1">
      <protection locked="0"/>
    </xf>
    <xf numFmtId="15" fontId="3" fillId="0" borderId="0" xfId="1" applyNumberFormat="1" applyFont="1" applyFill="1" applyAlignment="1" applyProtection="1">
      <alignment horizontal="center"/>
      <protection locked="0"/>
    </xf>
    <xf numFmtId="9" fontId="3" fillId="0" borderId="0" xfId="2" applyFont="1" applyFill="1" applyProtection="1">
      <protection locked="0"/>
    </xf>
    <xf numFmtId="9" fontId="3" fillId="0" borderId="0" xfId="2" applyFont="1" applyBorder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5" fillId="0" borderId="0" xfId="1" applyFont="1" applyAlignment="1" applyProtection="1">
      <alignment horizontal="right"/>
    </xf>
    <xf numFmtId="0" fontId="5" fillId="0" borderId="0" xfId="1" applyFont="1" applyAlignment="1" applyProtection="1"/>
    <xf numFmtId="0" fontId="5" fillId="0" borderId="0" xfId="1" applyFont="1" applyProtection="1"/>
    <xf numFmtId="0" fontId="5" fillId="0" borderId="0" xfId="1" applyFont="1" applyFill="1" applyProtection="1">
      <protection locked="0"/>
    </xf>
    <xf numFmtId="0" fontId="5" fillId="5" borderId="1" xfId="1" applyFont="1" applyFill="1" applyBorder="1" applyAlignment="1" applyProtection="1">
      <alignment horizontal="right" vertical="top"/>
      <protection locked="0"/>
    </xf>
    <xf numFmtId="0" fontId="5" fillId="5" borderId="1" xfId="1" applyFont="1" applyFill="1" applyBorder="1" applyAlignment="1" applyProtection="1">
      <alignment horizontal="center" vertical="top"/>
      <protection locked="0"/>
    </xf>
    <xf numFmtId="0" fontId="5" fillId="5" borderId="1" xfId="1" applyFont="1" applyFill="1" applyBorder="1" applyAlignment="1" applyProtection="1">
      <alignment horizontal="left" vertical="top"/>
      <protection locked="0"/>
    </xf>
    <xf numFmtId="167" fontId="5" fillId="5" borderId="0" xfId="2" applyNumberFormat="1" applyFont="1" applyFill="1" applyBorder="1" applyAlignment="1" applyProtection="1">
      <alignment horizontal="left" vertical="top" wrapText="1"/>
      <protection locked="0"/>
    </xf>
    <xf numFmtId="0" fontId="5" fillId="0" borderId="0" xfId="1" applyFont="1" applyFill="1" applyAlignment="1" applyProtection="1">
      <alignment horizontal="left"/>
      <protection locked="0"/>
    </xf>
    <xf numFmtId="0" fontId="3" fillId="0" borderId="0" xfId="1" applyFont="1"/>
    <xf numFmtId="15" fontId="3" fillId="0" borderId="0" xfId="1" applyNumberFormat="1" applyFont="1"/>
    <xf numFmtId="0" fontId="5" fillId="0" borderId="0" xfId="1" applyFont="1"/>
    <xf numFmtId="169" fontId="5" fillId="3" borderId="1" xfId="1" applyNumberFormat="1" applyFont="1" applyFill="1" applyBorder="1" applyAlignment="1" applyProtection="1">
      <alignment horizontal="center" vertical="top"/>
      <protection locked="0"/>
    </xf>
    <xf numFmtId="169" fontId="3" fillId="0" borderId="0" xfId="1" applyNumberFormat="1" applyFont="1" applyFill="1" applyAlignment="1" applyProtection="1">
      <alignment horizontal="right"/>
      <protection locked="0"/>
    </xf>
    <xf numFmtId="169" fontId="3" fillId="0" borderId="0" xfId="1" applyNumberFormat="1" applyFont="1" applyAlignment="1" applyProtection="1">
      <alignment horizontal="right"/>
      <protection locked="0"/>
    </xf>
    <xf numFmtId="170" fontId="5" fillId="3" borderId="1" xfId="1" applyNumberFormat="1" applyFont="1" applyFill="1" applyBorder="1" applyAlignment="1" applyProtection="1">
      <alignment horizontal="center" vertical="top"/>
      <protection locked="0"/>
    </xf>
    <xf numFmtId="170" fontId="3" fillId="0" borderId="0" xfId="1" applyNumberFormat="1" applyFont="1" applyFill="1" applyAlignment="1" applyProtection="1">
      <alignment horizontal="right"/>
      <protection locked="0"/>
    </xf>
    <xf numFmtId="170" fontId="3" fillId="0" borderId="0" xfId="1" applyNumberFormat="1" applyFont="1" applyAlignment="1" applyProtection="1">
      <alignment horizontal="right"/>
      <protection locked="0"/>
    </xf>
    <xf numFmtId="170" fontId="3" fillId="0" borderId="0" xfId="1" quotePrefix="1" applyNumberFormat="1" applyFont="1" applyAlignment="1" applyProtection="1">
      <alignment horizontal="right"/>
      <protection locked="0"/>
    </xf>
    <xf numFmtId="37" fontId="10" fillId="0" borderId="0" xfId="6" applyFont="1"/>
    <xf numFmtId="15" fontId="10" fillId="0" borderId="0" xfId="6" applyNumberFormat="1" applyFont="1"/>
    <xf numFmtId="37" fontId="10" fillId="6" borderId="0" xfId="6" applyFont="1" applyFill="1"/>
    <xf numFmtId="171" fontId="10" fillId="0" borderId="0" xfId="6" applyNumberFormat="1" applyFont="1" applyAlignment="1">
      <alignment horizontal="left"/>
    </xf>
    <xf numFmtId="37" fontId="11" fillId="0" borderId="0" xfId="6" applyFont="1"/>
    <xf numFmtId="37" fontId="10" fillId="0" borderId="0" xfId="6" applyFont="1" applyFill="1"/>
    <xf numFmtId="37" fontId="11" fillId="7" borderId="0" xfId="6" applyFont="1" applyFill="1" applyAlignment="1">
      <alignment horizontal="center" vertical="center"/>
    </xf>
    <xf numFmtId="37" fontId="10" fillId="7" borderId="0" xfId="6" applyFont="1" applyFill="1"/>
    <xf numFmtId="37" fontId="11" fillId="7" borderId="0" xfId="6" applyFont="1" applyFill="1"/>
    <xf numFmtId="0" fontId="10" fillId="0" borderId="0" xfId="6" applyNumberFormat="1" applyFont="1" applyAlignment="1">
      <alignment horizontal="left"/>
    </xf>
    <xf numFmtId="0" fontId="11" fillId="0" borderId="0" xfId="6" applyNumberFormat="1" applyFont="1" applyAlignment="1">
      <alignment horizontal="left"/>
    </xf>
    <xf numFmtId="10" fontId="10" fillId="0" borderId="0" xfId="6" applyNumberFormat="1" applyFont="1"/>
    <xf numFmtId="0" fontId="11" fillId="7" borderId="0" xfId="6" applyNumberFormat="1" applyFont="1" applyFill="1" applyAlignment="1">
      <alignment horizontal="left"/>
    </xf>
    <xf numFmtId="37" fontId="10" fillId="0" borderId="0" xfId="6" applyFont="1" applyAlignment="1">
      <alignment horizontal="right"/>
    </xf>
    <xf numFmtId="37" fontId="10" fillId="0" borderId="0" xfId="6" applyFont="1" applyFill="1" applyAlignment="1">
      <alignment horizontal="right"/>
    </xf>
    <xf numFmtId="0" fontId="5" fillId="5" borderId="1" xfId="1" applyFont="1" applyFill="1" applyBorder="1" applyAlignment="1" applyProtection="1">
      <alignment horizontal="left" vertical="top" wrapText="1"/>
      <protection locked="0"/>
    </xf>
    <xf numFmtId="164" fontId="3" fillId="0" borderId="0" xfId="3" applyNumberFormat="1" applyFont="1" applyFill="1" applyProtection="1">
      <protection locked="0"/>
    </xf>
    <xf numFmtId="15" fontId="5" fillId="3" borderId="1" xfId="1" applyNumberFormat="1" applyFont="1" applyFill="1" applyBorder="1" applyAlignment="1" applyProtection="1">
      <alignment horizontal="center" vertical="top"/>
      <protection locked="0"/>
    </xf>
    <xf numFmtId="14" fontId="3" fillId="0" borderId="0" xfId="3" applyNumberFormat="1" applyFont="1" applyFill="1" applyProtection="1">
      <protection locked="0"/>
    </xf>
    <xf numFmtId="37" fontId="11" fillId="0" borderId="0" xfId="6" applyFont="1" applyFill="1" applyAlignment="1">
      <alignment horizontal="center" vertical="center"/>
    </xf>
    <xf numFmtId="14" fontId="5" fillId="0" borderId="0" xfId="1" applyNumberFormat="1" applyFont="1"/>
    <xf numFmtId="0" fontId="0" fillId="0" borderId="0" xfId="0" applyAlignment="1">
      <alignment vertical="center"/>
    </xf>
    <xf numFmtId="0" fontId="0" fillId="6" borderId="0" xfId="0" applyFill="1"/>
    <xf numFmtId="0" fontId="3" fillId="6" borderId="0" xfId="1" applyFont="1" applyFill="1"/>
    <xf numFmtId="0" fontId="12" fillId="0" borderId="0" xfId="0" applyFont="1" applyAlignment="1">
      <alignment vertical="center"/>
    </xf>
    <xf numFmtId="0" fontId="3" fillId="0" borderId="0" xfId="1" applyFont="1" applyFill="1"/>
    <xf numFmtId="0" fontId="13" fillId="0" borderId="0" xfId="0" applyFont="1" applyAlignment="1">
      <alignment vertical="center"/>
    </xf>
    <xf numFmtId="0" fontId="5" fillId="0" borderId="0" xfId="1" applyFont="1" applyFill="1"/>
  </cellXfs>
  <cellStyles count="7">
    <cellStyle name="Comma 2" xfId="3"/>
    <cellStyle name="MyBlue" xfId="4"/>
    <cellStyle name="Normal" xfId="0" builtinId="0"/>
    <cellStyle name="Normal 2" xfId="1"/>
    <cellStyle name="Normal 2 2" xfId="6"/>
    <cellStyle name="Normal 3" xfId="5"/>
    <cellStyle name="Percent 2" xfId="2"/>
  </cellStyles>
  <dxfs count="0"/>
  <tableStyles count="0" defaultTableStyle="TableStyleMedium2" defaultPivotStyle="PivotStyleLight16"/>
  <colors>
    <mruColors>
      <color rgb="FF00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  <pageSetUpPr autoPageBreaks="0"/>
  </sheetPr>
  <dimension ref="A1:AG742"/>
  <sheetViews>
    <sheetView zoomScale="115" zoomScaleNormal="115" zoomScaleSheetLayoutView="100" workbookViewId="0"/>
  </sheetViews>
  <sheetFormatPr defaultColWidth="19.85546875" defaultRowHeight="15" customHeight="1" x14ac:dyDescent="0.25"/>
  <cols>
    <col min="1" max="1" width="19.28515625" bestFit="1" customWidth="1"/>
    <col min="2" max="2" width="8.28515625" bestFit="1" customWidth="1"/>
    <col min="3" max="3" width="26.85546875" bestFit="1" customWidth="1"/>
    <col min="4" max="4" width="13" customWidth="1"/>
    <col min="5" max="5" width="14.85546875" bestFit="1" customWidth="1"/>
    <col min="6" max="6" width="9.7109375" bestFit="1" customWidth="1"/>
    <col min="7" max="7" width="13.28515625" customWidth="1"/>
    <col min="8" max="8" width="7.140625" bestFit="1" customWidth="1"/>
    <col min="9" max="9" width="5.85546875" bestFit="1" customWidth="1"/>
    <col min="10" max="10" width="8.42578125" bestFit="1" customWidth="1"/>
    <col min="11" max="11" width="9.42578125" customWidth="1"/>
    <col min="12" max="12" width="10" bestFit="1" customWidth="1"/>
    <col min="13" max="13" width="12.28515625" bestFit="1" customWidth="1"/>
    <col min="14" max="14" width="8.42578125" bestFit="1" customWidth="1"/>
    <col min="15" max="15" width="7.5703125" customWidth="1"/>
    <col min="16" max="16" width="7.28515625" customWidth="1"/>
    <col min="17" max="17" width="9.85546875" customWidth="1"/>
    <col min="18" max="18" width="8.85546875" bestFit="1" customWidth="1"/>
    <col min="19" max="19" width="4.5703125" bestFit="1" customWidth="1"/>
    <col min="20" max="20" width="9.28515625" customWidth="1"/>
    <col min="21" max="21" width="5.5703125" bestFit="1" customWidth="1"/>
    <col min="22" max="26" width="4.42578125" bestFit="1" customWidth="1"/>
    <col min="27" max="27" width="5.42578125" customWidth="1"/>
    <col min="28" max="28" width="6" bestFit="1" customWidth="1"/>
    <col min="29" max="33" width="4.42578125" bestFit="1" customWidth="1"/>
    <col min="34" max="34" width="19.85546875" customWidth="1"/>
  </cols>
  <sheetData>
    <row r="1" spans="1:33" x14ac:dyDescent="0.25">
      <c r="A1" s="50" t="s">
        <v>811</v>
      </c>
      <c r="B1" s="45" t="s">
        <v>810</v>
      </c>
      <c r="C1" s="47" t="s">
        <v>809</v>
      </c>
      <c r="D1" s="83" t="s">
        <v>808</v>
      </c>
      <c r="E1" s="86" t="s">
        <v>807</v>
      </c>
      <c r="F1" s="47" t="s">
        <v>806</v>
      </c>
      <c r="G1" s="49" t="s">
        <v>805</v>
      </c>
      <c r="H1" s="107" t="s">
        <v>804</v>
      </c>
      <c r="I1" s="48" t="s">
        <v>803</v>
      </c>
      <c r="J1" s="47" t="s">
        <v>802</v>
      </c>
      <c r="K1" s="46" t="s">
        <v>801</v>
      </c>
      <c r="L1" s="45" t="s">
        <v>800</v>
      </c>
      <c r="M1" s="44" t="s">
        <v>799</v>
      </c>
      <c r="N1" s="43" t="s">
        <v>798</v>
      </c>
      <c r="O1" s="42">
        <v>2.9100000000000001E-2</v>
      </c>
      <c r="P1" s="42"/>
      <c r="Q1" s="42"/>
      <c r="R1" s="41" t="s">
        <v>797</v>
      </c>
      <c r="S1" s="41"/>
      <c r="T1" s="1"/>
      <c r="U1" s="33"/>
      <c r="V1" s="40" t="s">
        <v>796</v>
      </c>
      <c r="W1" s="40" t="s">
        <v>795</v>
      </c>
      <c r="X1" s="40" t="s">
        <v>794</v>
      </c>
      <c r="Y1" s="40" t="s">
        <v>793</v>
      </c>
      <c r="Z1" s="40" t="s">
        <v>792</v>
      </c>
      <c r="AA1" s="39"/>
      <c r="AB1" s="38"/>
      <c r="AC1" s="37" t="s">
        <v>796</v>
      </c>
      <c r="AD1" s="37" t="s">
        <v>795</v>
      </c>
      <c r="AE1" s="37" t="s">
        <v>794</v>
      </c>
      <c r="AF1" s="37" t="s">
        <v>793</v>
      </c>
      <c r="AG1" s="37" t="s">
        <v>792</v>
      </c>
    </row>
    <row r="2" spans="1:33" x14ac:dyDescent="0.25">
      <c r="A2" s="14" t="s">
        <v>584</v>
      </c>
      <c r="B2" s="12" t="s">
        <v>39</v>
      </c>
      <c r="C2" s="14" t="s">
        <v>30</v>
      </c>
      <c r="D2" s="84">
        <v>948195711</v>
      </c>
      <c r="E2" s="87">
        <v>2523539786</v>
      </c>
      <c r="F2" s="14" t="s">
        <v>12</v>
      </c>
      <c r="G2" s="108">
        <v>40148</v>
      </c>
      <c r="H2" s="67" t="str">
        <f t="shared" ref="H2:H65" si="0">CHOOSE(MONTH(G2),"Jan","Feb","Mar","Apr","May","Jun","Jul","Aug","Sep","Oct","Nov","Dec")</f>
        <v>Dec</v>
      </c>
      <c r="I2" s="9">
        <f t="shared" ref="I2:I65" ca="1" si="1">DATEDIF(G2,TODAY(),"Y")</f>
        <v>6</v>
      </c>
      <c r="J2" s="8"/>
      <c r="K2" s="7">
        <v>51050</v>
      </c>
      <c r="L2" s="6">
        <v>5</v>
      </c>
      <c r="M2" s="106"/>
      <c r="N2" s="2"/>
      <c r="O2" s="1"/>
      <c r="P2" s="1"/>
      <c r="Q2" s="1"/>
      <c r="R2" s="36">
        <v>0</v>
      </c>
      <c r="S2" s="35">
        <v>0</v>
      </c>
      <c r="T2" s="1"/>
      <c r="U2" s="33" t="s">
        <v>790</v>
      </c>
      <c r="V2" s="31">
        <v>33</v>
      </c>
      <c r="W2" s="31">
        <v>40</v>
      </c>
      <c r="X2" s="31">
        <v>37</v>
      </c>
      <c r="Y2" s="31">
        <v>48</v>
      </c>
      <c r="Z2" s="31">
        <v>48</v>
      </c>
      <c r="AA2" s="31"/>
      <c r="AB2" s="32" t="s">
        <v>789</v>
      </c>
      <c r="AC2" s="31">
        <v>45</v>
      </c>
      <c r="AD2" s="31">
        <v>47</v>
      </c>
      <c r="AE2" s="31">
        <v>35</v>
      </c>
      <c r="AF2" s="31">
        <v>49</v>
      </c>
      <c r="AG2" s="31">
        <v>37</v>
      </c>
    </row>
    <row r="3" spans="1:33" x14ac:dyDescent="0.25">
      <c r="A3" s="14" t="s">
        <v>307</v>
      </c>
      <c r="B3" s="12" t="s">
        <v>56</v>
      </c>
      <c r="C3" s="14" t="s">
        <v>30</v>
      </c>
      <c r="D3" s="84">
        <v>411526157</v>
      </c>
      <c r="E3" s="87">
        <v>9195818082</v>
      </c>
      <c r="F3" s="14" t="s">
        <v>0</v>
      </c>
      <c r="G3" s="108">
        <v>34847</v>
      </c>
      <c r="H3" s="67" t="str">
        <f t="shared" si="0"/>
        <v>May</v>
      </c>
      <c r="I3" s="9">
        <f t="shared" ca="1" si="1"/>
        <v>21</v>
      </c>
      <c r="J3" s="8"/>
      <c r="K3" s="7">
        <v>42820</v>
      </c>
      <c r="L3" s="6">
        <v>2</v>
      </c>
      <c r="M3" s="106"/>
      <c r="N3" s="2"/>
      <c r="O3" s="2"/>
      <c r="P3" s="1"/>
      <c r="Q3" s="1"/>
      <c r="R3" s="26">
        <v>5000</v>
      </c>
      <c r="S3" s="25">
        <v>0.01</v>
      </c>
      <c r="T3" s="1"/>
      <c r="U3" s="33" t="s">
        <v>787</v>
      </c>
      <c r="V3" s="31">
        <v>35</v>
      </c>
      <c r="W3" s="31">
        <v>38</v>
      </c>
      <c r="X3" s="31">
        <v>36</v>
      </c>
      <c r="Y3" s="31">
        <v>48</v>
      </c>
      <c r="Z3" s="31">
        <v>41</v>
      </c>
      <c r="AA3" s="31"/>
      <c r="AB3" s="32" t="s">
        <v>786</v>
      </c>
      <c r="AC3" s="31">
        <v>39</v>
      </c>
      <c r="AD3" s="31">
        <v>35</v>
      </c>
      <c r="AE3" s="31">
        <v>45</v>
      </c>
      <c r="AF3" s="31">
        <v>34</v>
      </c>
      <c r="AG3" s="31">
        <v>37</v>
      </c>
    </row>
    <row r="4" spans="1:33" x14ac:dyDescent="0.25">
      <c r="A4" s="14" t="s">
        <v>738</v>
      </c>
      <c r="B4" s="12" t="s">
        <v>39</v>
      </c>
      <c r="C4" s="14" t="s">
        <v>30</v>
      </c>
      <c r="D4" s="84">
        <v>100432924</v>
      </c>
      <c r="E4" s="87">
        <v>4022804104</v>
      </c>
      <c r="F4" s="14" t="s">
        <v>5</v>
      </c>
      <c r="G4" s="108">
        <v>37172</v>
      </c>
      <c r="H4" s="67" t="str">
        <f t="shared" si="0"/>
        <v>Oct</v>
      </c>
      <c r="I4" s="9">
        <f t="shared" ca="1" si="1"/>
        <v>15</v>
      </c>
      <c r="J4" s="8" t="s">
        <v>32</v>
      </c>
      <c r="K4" s="7">
        <v>29460</v>
      </c>
      <c r="L4" s="6">
        <v>1</v>
      </c>
      <c r="M4" s="106"/>
      <c r="N4" s="16"/>
      <c r="O4" s="2"/>
      <c r="P4" s="1"/>
      <c r="Q4" s="1"/>
      <c r="R4" s="26">
        <v>25000</v>
      </c>
      <c r="S4" s="25">
        <v>0.05</v>
      </c>
      <c r="T4" s="1"/>
      <c r="U4" s="33" t="s">
        <v>784</v>
      </c>
      <c r="V4" s="31">
        <v>49</v>
      </c>
      <c r="W4" s="31">
        <v>36</v>
      </c>
      <c r="X4" s="31">
        <v>40</v>
      </c>
      <c r="Y4" s="31">
        <v>35</v>
      </c>
      <c r="Z4" s="31">
        <v>44</v>
      </c>
      <c r="AA4" s="31"/>
      <c r="AB4" s="32" t="s">
        <v>783</v>
      </c>
      <c r="AC4" s="31">
        <v>30</v>
      </c>
      <c r="AD4" s="31">
        <v>45</v>
      </c>
      <c r="AE4" s="31">
        <v>43</v>
      </c>
      <c r="AF4" s="31">
        <v>46</v>
      </c>
      <c r="AG4" s="31">
        <v>30</v>
      </c>
    </row>
    <row r="5" spans="1:33" x14ac:dyDescent="0.25">
      <c r="A5" s="14" t="s">
        <v>699</v>
      </c>
      <c r="B5" s="12" t="s">
        <v>39</v>
      </c>
      <c r="C5" s="14" t="s">
        <v>30</v>
      </c>
      <c r="D5" s="84">
        <v>914428485</v>
      </c>
      <c r="E5" s="87">
        <v>2521774590</v>
      </c>
      <c r="F5" s="14" t="s">
        <v>15</v>
      </c>
      <c r="G5" s="108">
        <v>34291</v>
      </c>
      <c r="H5" s="67" t="str">
        <f t="shared" si="0"/>
        <v>Nov</v>
      </c>
      <c r="I5" s="9">
        <f t="shared" ca="1" si="1"/>
        <v>22</v>
      </c>
      <c r="J5" s="8" t="s">
        <v>34</v>
      </c>
      <c r="K5" s="7">
        <v>32150</v>
      </c>
      <c r="L5" s="6">
        <v>4</v>
      </c>
      <c r="M5" s="106"/>
      <c r="N5" s="16"/>
      <c r="O5" s="2"/>
      <c r="P5" s="1"/>
      <c r="Q5" s="1"/>
      <c r="R5" s="26">
        <v>35000</v>
      </c>
      <c r="S5" s="25">
        <v>0.06</v>
      </c>
      <c r="T5" s="1"/>
      <c r="U5" s="33" t="s">
        <v>781</v>
      </c>
      <c r="V5" s="31">
        <v>35</v>
      </c>
      <c r="W5" s="31">
        <v>46</v>
      </c>
      <c r="X5" s="31">
        <v>44</v>
      </c>
      <c r="Y5" s="31">
        <v>48</v>
      </c>
      <c r="Z5" s="31">
        <v>47</v>
      </c>
      <c r="AA5" s="31"/>
      <c r="AB5" s="32" t="s">
        <v>780</v>
      </c>
      <c r="AC5" s="31">
        <v>46</v>
      </c>
      <c r="AD5" s="31">
        <v>40</v>
      </c>
      <c r="AE5" s="31">
        <v>45</v>
      </c>
      <c r="AF5" s="31">
        <v>45</v>
      </c>
      <c r="AG5" s="31">
        <v>37</v>
      </c>
    </row>
    <row r="6" spans="1:33" x14ac:dyDescent="0.25">
      <c r="A6" s="14" t="s">
        <v>31</v>
      </c>
      <c r="B6" s="12" t="s">
        <v>2</v>
      </c>
      <c r="C6" s="14" t="s">
        <v>30</v>
      </c>
      <c r="D6" s="84">
        <v>991656720</v>
      </c>
      <c r="E6" s="87">
        <v>2528138394</v>
      </c>
      <c r="F6" s="14" t="s">
        <v>5</v>
      </c>
      <c r="G6" s="108">
        <v>40448</v>
      </c>
      <c r="H6" s="67" t="str">
        <f t="shared" si="0"/>
        <v>Sep</v>
      </c>
      <c r="I6" s="9">
        <f t="shared" ca="1" si="1"/>
        <v>6</v>
      </c>
      <c r="J6" s="8" t="s">
        <v>19</v>
      </c>
      <c r="K6" s="7">
        <v>87400</v>
      </c>
      <c r="L6" s="6">
        <v>2</v>
      </c>
      <c r="M6" s="106"/>
      <c r="N6" s="2"/>
      <c r="O6" s="2"/>
      <c r="P6" s="1"/>
      <c r="Q6" s="1"/>
      <c r="R6" s="26">
        <v>45000</v>
      </c>
      <c r="S6" s="25">
        <v>7.0000000000000007E-2</v>
      </c>
      <c r="T6" s="1"/>
      <c r="U6" s="33" t="s">
        <v>778</v>
      </c>
      <c r="V6" s="31">
        <v>31</v>
      </c>
      <c r="W6" s="31">
        <v>49</v>
      </c>
      <c r="X6" s="31">
        <v>43</v>
      </c>
      <c r="Y6" s="31">
        <v>42</v>
      </c>
      <c r="Z6" s="31">
        <v>34</v>
      </c>
      <c r="AA6" s="31"/>
      <c r="AB6" s="32" t="s">
        <v>777</v>
      </c>
      <c r="AC6" s="31">
        <v>38</v>
      </c>
      <c r="AD6" s="31">
        <v>39</v>
      </c>
      <c r="AE6" s="31">
        <v>42</v>
      </c>
      <c r="AF6" s="31">
        <v>40</v>
      </c>
      <c r="AG6" s="31">
        <v>43</v>
      </c>
    </row>
    <row r="7" spans="1:33" x14ac:dyDescent="0.25">
      <c r="A7" s="14" t="s">
        <v>1199</v>
      </c>
      <c r="B7" s="12" t="s">
        <v>17</v>
      </c>
      <c r="C7" s="14" t="s">
        <v>37</v>
      </c>
      <c r="D7" s="84">
        <v>535539723</v>
      </c>
      <c r="E7" s="87">
        <v>2523492633</v>
      </c>
      <c r="F7" s="14" t="s">
        <v>15</v>
      </c>
      <c r="G7" s="108">
        <v>34475</v>
      </c>
      <c r="H7" s="67" t="str">
        <f t="shared" si="0"/>
        <v>May</v>
      </c>
      <c r="I7" s="9">
        <f t="shared" ca="1" si="1"/>
        <v>22</v>
      </c>
      <c r="J7" s="8" t="s">
        <v>34</v>
      </c>
      <c r="K7" s="7">
        <v>36530</v>
      </c>
      <c r="L7" s="6">
        <v>1</v>
      </c>
      <c r="M7" s="106"/>
      <c r="N7" s="2"/>
      <c r="O7" s="2"/>
      <c r="P7" s="1"/>
      <c r="Q7" s="1"/>
      <c r="R7" s="26">
        <v>55000</v>
      </c>
      <c r="S7" s="25">
        <v>0.08</v>
      </c>
      <c r="T7" s="1"/>
      <c r="U7" s="33" t="s">
        <v>775</v>
      </c>
      <c r="V7" s="31">
        <v>43</v>
      </c>
      <c r="W7" s="31">
        <v>38</v>
      </c>
      <c r="X7" s="31">
        <v>44</v>
      </c>
      <c r="Y7" s="31">
        <v>44</v>
      </c>
      <c r="Z7" s="31">
        <v>39</v>
      </c>
      <c r="AA7" s="31"/>
      <c r="AB7" s="32" t="s">
        <v>774</v>
      </c>
      <c r="AC7" s="31">
        <v>30</v>
      </c>
      <c r="AD7" s="31">
        <v>47</v>
      </c>
      <c r="AE7" s="31">
        <v>46</v>
      </c>
      <c r="AF7" s="31">
        <v>42</v>
      </c>
      <c r="AG7" s="31">
        <v>34</v>
      </c>
    </row>
    <row r="8" spans="1:33" x14ac:dyDescent="0.25">
      <c r="A8" s="14" t="s">
        <v>212</v>
      </c>
      <c r="B8" s="12" t="s">
        <v>39</v>
      </c>
      <c r="C8" s="14" t="s">
        <v>37</v>
      </c>
      <c r="D8" s="84">
        <v>297852686</v>
      </c>
      <c r="E8" s="87">
        <v>2525832994</v>
      </c>
      <c r="F8" s="14" t="s">
        <v>5</v>
      </c>
      <c r="G8" s="108">
        <v>40705</v>
      </c>
      <c r="H8" s="67" t="str">
        <f t="shared" si="0"/>
        <v>Jun</v>
      </c>
      <c r="I8" s="9">
        <f t="shared" ca="1" si="1"/>
        <v>5</v>
      </c>
      <c r="J8" s="8" t="s">
        <v>8</v>
      </c>
      <c r="K8" s="7">
        <v>69950</v>
      </c>
      <c r="L8" s="6">
        <v>5</v>
      </c>
      <c r="M8" s="106"/>
      <c r="N8" s="2"/>
      <c r="O8" s="2"/>
      <c r="P8" s="1"/>
      <c r="Q8" s="1"/>
      <c r="R8" s="26">
        <v>65000</v>
      </c>
      <c r="S8" s="25">
        <v>0.1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4" t="s">
        <v>405</v>
      </c>
      <c r="B9" s="12" t="s">
        <v>17</v>
      </c>
      <c r="C9" s="14" t="s">
        <v>37</v>
      </c>
      <c r="D9" s="84">
        <v>638271383</v>
      </c>
      <c r="E9" s="87">
        <v>2521641031</v>
      </c>
      <c r="F9" s="14" t="s">
        <v>5</v>
      </c>
      <c r="G9" s="108">
        <v>39143</v>
      </c>
      <c r="H9" s="67" t="str">
        <f t="shared" si="0"/>
        <v>Mar</v>
      </c>
      <c r="I9" s="9">
        <f t="shared" ca="1" si="1"/>
        <v>9</v>
      </c>
      <c r="J9" s="8" t="s">
        <v>32</v>
      </c>
      <c r="K9" s="7">
        <v>59220</v>
      </c>
      <c r="L9" s="6">
        <v>4</v>
      </c>
      <c r="M9" s="106"/>
      <c r="N9" s="2"/>
      <c r="O9" s="2"/>
      <c r="P9" s="1"/>
      <c r="Q9" s="1"/>
      <c r="R9" s="26">
        <v>75000</v>
      </c>
      <c r="S9" s="25">
        <v>0.11</v>
      </c>
      <c r="T9" s="1"/>
      <c r="U9" s="23"/>
      <c r="V9" s="30"/>
      <c r="W9" s="30"/>
      <c r="X9" s="30"/>
      <c r="Y9" s="30"/>
      <c r="Z9" s="30"/>
      <c r="AA9" s="1"/>
      <c r="AB9" s="29"/>
      <c r="AC9" s="28"/>
      <c r="AD9" s="28"/>
      <c r="AE9" s="28"/>
      <c r="AF9" s="28"/>
      <c r="AG9" s="1"/>
    </row>
    <row r="10" spans="1:33" x14ac:dyDescent="0.25">
      <c r="A10" s="14" t="s">
        <v>88</v>
      </c>
      <c r="B10" s="12" t="s">
        <v>39</v>
      </c>
      <c r="C10" s="14" t="s">
        <v>37</v>
      </c>
      <c r="D10" s="84">
        <v>771277493</v>
      </c>
      <c r="E10" s="87">
        <v>2522872439</v>
      </c>
      <c r="F10" s="14" t="s">
        <v>0</v>
      </c>
      <c r="G10" s="108">
        <v>41127</v>
      </c>
      <c r="H10" s="67" t="str">
        <f t="shared" si="0"/>
        <v>Aug</v>
      </c>
      <c r="I10" s="9">
        <f t="shared" ca="1" si="1"/>
        <v>4</v>
      </c>
      <c r="J10" s="8"/>
      <c r="K10" s="7">
        <v>12760</v>
      </c>
      <c r="L10" s="6">
        <v>4</v>
      </c>
      <c r="M10" s="106"/>
      <c r="N10" s="2"/>
      <c r="O10" s="2"/>
      <c r="P10" s="1"/>
      <c r="Q10" s="1"/>
      <c r="R10" s="26">
        <v>85000</v>
      </c>
      <c r="S10" s="25">
        <v>0.12</v>
      </c>
      <c r="T10" s="1"/>
      <c r="U10" s="23"/>
      <c r="V10" s="22"/>
      <c r="W10" s="22"/>
      <c r="X10" s="22"/>
      <c r="Y10" s="22"/>
      <c r="Z10" s="22"/>
      <c r="AA10" s="27"/>
      <c r="AB10" s="3"/>
      <c r="AC10" s="8"/>
      <c r="AD10" s="8"/>
      <c r="AE10" s="8"/>
      <c r="AF10" s="8"/>
      <c r="AG10" s="1"/>
    </row>
    <row r="11" spans="1:33" x14ac:dyDescent="0.25">
      <c r="A11" s="14" t="s">
        <v>262</v>
      </c>
      <c r="B11" s="12" t="s">
        <v>10</v>
      </c>
      <c r="C11" s="14" t="s">
        <v>37</v>
      </c>
      <c r="D11" s="84">
        <v>415076748</v>
      </c>
      <c r="E11" s="87">
        <v>9195230846</v>
      </c>
      <c r="F11" s="14" t="s">
        <v>0</v>
      </c>
      <c r="G11" s="108">
        <v>34483</v>
      </c>
      <c r="H11" s="67" t="str">
        <f t="shared" si="0"/>
        <v>May</v>
      </c>
      <c r="I11" s="9">
        <f t="shared" ca="1" si="1"/>
        <v>22</v>
      </c>
      <c r="J11" s="8" t="s">
        <v>32</v>
      </c>
      <c r="K11" s="7">
        <v>34880</v>
      </c>
      <c r="L11" s="6">
        <v>3</v>
      </c>
      <c r="M11" s="106"/>
      <c r="N11" s="2"/>
      <c r="O11" s="2"/>
      <c r="P11" s="1"/>
      <c r="Q11" s="1"/>
      <c r="R11" s="26">
        <v>95000</v>
      </c>
      <c r="S11" s="25">
        <v>0.13</v>
      </c>
      <c r="T11" s="1"/>
      <c r="U11" s="23"/>
      <c r="V11" s="22"/>
      <c r="W11" s="22"/>
      <c r="X11" s="22"/>
      <c r="Y11" s="22"/>
      <c r="Z11" s="22"/>
      <c r="AA11" s="8"/>
      <c r="AB11" s="3"/>
      <c r="AC11" s="8"/>
      <c r="AD11" s="8"/>
      <c r="AE11" s="8"/>
      <c r="AF11" s="8"/>
      <c r="AG11" s="1"/>
    </row>
    <row r="12" spans="1:33" x14ac:dyDescent="0.25">
      <c r="A12" s="14" t="s">
        <v>665</v>
      </c>
      <c r="B12" s="12" t="s">
        <v>56</v>
      </c>
      <c r="C12" s="14" t="s">
        <v>37</v>
      </c>
      <c r="D12" s="84">
        <v>356110882</v>
      </c>
      <c r="E12" s="87">
        <v>2527936742</v>
      </c>
      <c r="F12" s="14" t="s">
        <v>15</v>
      </c>
      <c r="G12" s="108">
        <v>37218</v>
      </c>
      <c r="H12" s="67" t="str">
        <f t="shared" si="0"/>
        <v>Nov</v>
      </c>
      <c r="I12" s="9">
        <f t="shared" ca="1" si="1"/>
        <v>14</v>
      </c>
      <c r="J12" s="8" t="s">
        <v>32</v>
      </c>
      <c r="K12" s="7">
        <v>18290</v>
      </c>
      <c r="L12" s="6">
        <v>1</v>
      </c>
      <c r="M12" s="106"/>
      <c r="N12" s="2"/>
      <c r="O12" s="2"/>
      <c r="P12" s="1"/>
      <c r="Q12" s="1"/>
      <c r="R12" s="24"/>
      <c r="S12" s="1"/>
      <c r="T12" s="1"/>
      <c r="U12" s="23"/>
      <c r="V12" s="22"/>
      <c r="W12" s="22"/>
      <c r="X12" s="22"/>
      <c r="Y12" s="22"/>
      <c r="Z12" s="22"/>
      <c r="AA12" s="8"/>
      <c r="AB12" s="3"/>
      <c r="AC12" s="8"/>
      <c r="AD12" s="8"/>
      <c r="AE12" s="8"/>
      <c r="AF12" s="8"/>
      <c r="AG12" s="1"/>
    </row>
    <row r="13" spans="1:33" x14ac:dyDescent="0.25">
      <c r="A13" s="14" t="s">
        <v>114</v>
      </c>
      <c r="B13" s="12" t="s">
        <v>10</v>
      </c>
      <c r="C13" s="14" t="s">
        <v>37</v>
      </c>
      <c r="D13" s="84">
        <v>475256935</v>
      </c>
      <c r="E13" s="87">
        <v>2527852326</v>
      </c>
      <c r="F13" s="14" t="s">
        <v>5</v>
      </c>
      <c r="G13" s="108">
        <v>36743</v>
      </c>
      <c r="H13" s="67" t="str">
        <f t="shared" si="0"/>
        <v>Aug</v>
      </c>
      <c r="I13" s="9">
        <f t="shared" ca="1" si="1"/>
        <v>16</v>
      </c>
      <c r="J13" s="8" t="s">
        <v>4</v>
      </c>
      <c r="K13" s="7">
        <v>102360</v>
      </c>
      <c r="L13" s="6">
        <v>2</v>
      </c>
      <c r="M13" s="106"/>
      <c r="N13" s="2"/>
      <c r="O13" s="2"/>
      <c r="P13" s="1"/>
      <c r="Q13" s="1"/>
      <c r="R13" s="24"/>
      <c r="S13" s="1"/>
      <c r="T13" s="1"/>
      <c r="U13" s="23"/>
      <c r="V13" s="22"/>
      <c r="W13" s="22"/>
      <c r="X13" s="22"/>
      <c r="Y13" s="22"/>
      <c r="Z13" s="22"/>
      <c r="AA13" s="8"/>
      <c r="AB13" s="3"/>
      <c r="AC13" s="8"/>
      <c r="AD13" s="8"/>
      <c r="AE13" s="8"/>
      <c r="AF13" s="8"/>
      <c r="AG13" s="1"/>
    </row>
    <row r="14" spans="1:33" x14ac:dyDescent="0.25">
      <c r="A14" s="1" t="s">
        <v>682</v>
      </c>
      <c r="B14" s="12" t="s">
        <v>13</v>
      </c>
      <c r="C14" s="1" t="s">
        <v>37</v>
      </c>
      <c r="D14" s="85">
        <v>768681542</v>
      </c>
      <c r="E14" s="88">
        <v>8021673267</v>
      </c>
      <c r="F14" s="1" t="s">
        <v>5</v>
      </c>
      <c r="G14" s="108">
        <v>36465</v>
      </c>
      <c r="H14" s="67" t="str">
        <f t="shared" si="0"/>
        <v>Nov</v>
      </c>
      <c r="I14" s="9">
        <f t="shared" ca="1" si="1"/>
        <v>17</v>
      </c>
      <c r="J14" s="8" t="s">
        <v>32</v>
      </c>
      <c r="K14" s="7">
        <v>73000</v>
      </c>
      <c r="L14" s="6">
        <v>2</v>
      </c>
      <c r="M14" s="106"/>
      <c r="N14" s="2"/>
      <c r="O14" s="2"/>
      <c r="P14" s="1"/>
      <c r="Q14" s="1"/>
      <c r="R14" s="1"/>
      <c r="S14" s="1"/>
      <c r="T14" s="1"/>
      <c r="U14" s="23"/>
      <c r="V14" s="22"/>
      <c r="W14" s="22"/>
      <c r="X14" s="22"/>
      <c r="Y14" s="22"/>
      <c r="Z14" s="22"/>
      <c r="AA14" s="8"/>
      <c r="AB14" s="3"/>
      <c r="AC14" s="8"/>
      <c r="AD14" s="8"/>
      <c r="AE14" s="8"/>
      <c r="AF14" s="8"/>
      <c r="AG14" s="1"/>
    </row>
    <row r="15" spans="1:33" x14ac:dyDescent="0.25">
      <c r="A15" s="1" t="s">
        <v>227</v>
      </c>
      <c r="B15" s="12" t="s">
        <v>39</v>
      </c>
      <c r="C15" s="1" t="s">
        <v>37</v>
      </c>
      <c r="D15" s="85">
        <v>767961463</v>
      </c>
      <c r="E15" s="88">
        <v>2523646601</v>
      </c>
      <c r="F15" s="1" t="s">
        <v>12</v>
      </c>
      <c r="G15" s="108">
        <v>37778</v>
      </c>
      <c r="H15" s="67" t="str">
        <f t="shared" si="0"/>
        <v>Jun</v>
      </c>
      <c r="I15" s="9">
        <f t="shared" ca="1" si="1"/>
        <v>13</v>
      </c>
      <c r="J15" s="8"/>
      <c r="K15" s="7">
        <v>92030</v>
      </c>
      <c r="L15" s="6">
        <v>3</v>
      </c>
      <c r="M15" s="106"/>
      <c r="N15" s="2"/>
      <c r="O15" s="2"/>
      <c r="P15" s="1"/>
      <c r="Q15" s="1"/>
      <c r="R15" s="1"/>
      <c r="S15" s="1"/>
      <c r="T15" s="1"/>
      <c r="U15" s="23"/>
      <c r="V15" s="22"/>
      <c r="W15" s="22"/>
      <c r="X15" s="22"/>
      <c r="Y15" s="22"/>
      <c r="Z15" s="22"/>
      <c r="AA15" s="8"/>
      <c r="AB15" s="3"/>
      <c r="AC15" s="8"/>
      <c r="AD15" s="8"/>
      <c r="AE15" s="8"/>
      <c r="AF15" s="8"/>
      <c r="AG15" s="1"/>
    </row>
    <row r="16" spans="1:33" x14ac:dyDescent="0.25">
      <c r="A16" s="1" t="s">
        <v>555</v>
      </c>
      <c r="B16" s="12" t="s">
        <v>17</v>
      </c>
      <c r="C16" s="1" t="s">
        <v>37</v>
      </c>
      <c r="D16" s="85">
        <v>202815919</v>
      </c>
      <c r="E16" s="88">
        <v>2528467597</v>
      </c>
      <c r="F16" s="1" t="s">
        <v>12</v>
      </c>
      <c r="G16" s="108">
        <v>35077</v>
      </c>
      <c r="H16" s="67" t="str">
        <f t="shared" si="0"/>
        <v>Jan</v>
      </c>
      <c r="I16" s="9">
        <f t="shared" ca="1" si="1"/>
        <v>20</v>
      </c>
      <c r="J16" s="8"/>
      <c r="K16" s="7">
        <v>79900</v>
      </c>
      <c r="L16" s="6">
        <v>5</v>
      </c>
      <c r="M16" s="106"/>
      <c r="N16" s="16"/>
      <c r="O16" s="2"/>
      <c r="P16" s="1"/>
      <c r="Q16" s="1"/>
      <c r="R16" s="1"/>
      <c r="S16" s="1"/>
      <c r="T16" s="1"/>
      <c r="U16" s="1"/>
      <c r="V16" s="21"/>
      <c r="W16" s="21"/>
      <c r="X16" s="21"/>
      <c r="Y16" s="21"/>
      <c r="Z16" s="8"/>
      <c r="AA16" s="8"/>
      <c r="AB16" s="8"/>
      <c r="AC16" s="8"/>
      <c r="AD16" s="8"/>
      <c r="AE16" s="8"/>
      <c r="AF16" s="8"/>
      <c r="AG16" s="1"/>
    </row>
    <row r="17" spans="1:33" x14ac:dyDescent="0.25">
      <c r="A17" s="1" t="s">
        <v>408</v>
      </c>
      <c r="B17" s="12" t="s">
        <v>17</v>
      </c>
      <c r="C17" s="1" t="s">
        <v>37</v>
      </c>
      <c r="D17" s="85">
        <v>781913936</v>
      </c>
      <c r="E17" s="88">
        <v>9197889149</v>
      </c>
      <c r="F17" s="1" t="s">
        <v>15</v>
      </c>
      <c r="G17" s="108">
        <v>38783</v>
      </c>
      <c r="H17" s="67" t="str">
        <f t="shared" si="0"/>
        <v>Mar</v>
      </c>
      <c r="I17" s="9">
        <f t="shared" ca="1" si="1"/>
        <v>10</v>
      </c>
      <c r="J17" s="8" t="s">
        <v>8</v>
      </c>
      <c r="K17" s="7">
        <v>21280</v>
      </c>
      <c r="L17" s="6">
        <v>3</v>
      </c>
      <c r="M17" s="106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 t="s">
        <v>462</v>
      </c>
      <c r="B18" s="12" t="s">
        <v>56</v>
      </c>
      <c r="C18" s="1" t="s">
        <v>37</v>
      </c>
      <c r="D18" s="85">
        <v>975603308</v>
      </c>
      <c r="E18" s="88">
        <v>9192693355</v>
      </c>
      <c r="F18" s="1" t="s">
        <v>5</v>
      </c>
      <c r="G18" s="108">
        <v>38405</v>
      </c>
      <c r="H18" s="67" t="str">
        <f t="shared" si="0"/>
        <v>Feb</v>
      </c>
      <c r="I18" s="9">
        <f t="shared" ca="1" si="1"/>
        <v>11</v>
      </c>
      <c r="J18" s="8" t="s">
        <v>32</v>
      </c>
      <c r="K18" s="7">
        <v>36940</v>
      </c>
      <c r="L18" s="6">
        <v>4</v>
      </c>
      <c r="M18" s="106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 t="s">
        <v>38</v>
      </c>
      <c r="B19" s="12" t="s">
        <v>2</v>
      </c>
      <c r="C19" s="1" t="s">
        <v>37</v>
      </c>
      <c r="D19" s="85">
        <v>840313216</v>
      </c>
      <c r="E19" s="88">
        <v>9198449868</v>
      </c>
      <c r="F19" s="1" t="s">
        <v>5</v>
      </c>
      <c r="G19" s="108">
        <v>40070</v>
      </c>
      <c r="H19" s="67" t="str">
        <f t="shared" si="0"/>
        <v>Sep</v>
      </c>
      <c r="I19" s="9">
        <f t="shared" ca="1" si="1"/>
        <v>7</v>
      </c>
      <c r="J19" s="8" t="s">
        <v>19</v>
      </c>
      <c r="K19" s="7">
        <v>45200</v>
      </c>
      <c r="L19" s="6">
        <v>3</v>
      </c>
      <c r="M19" s="106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285</v>
      </c>
      <c r="B20" s="12" t="s">
        <v>2</v>
      </c>
      <c r="C20" s="1" t="s">
        <v>37</v>
      </c>
      <c r="D20" s="85">
        <v>456946966</v>
      </c>
      <c r="E20" s="88">
        <v>9194680033</v>
      </c>
      <c r="F20" s="1" t="s">
        <v>5</v>
      </c>
      <c r="G20" s="108">
        <v>37765</v>
      </c>
      <c r="H20" s="67" t="str">
        <f t="shared" si="0"/>
        <v>May</v>
      </c>
      <c r="I20" s="9">
        <f t="shared" ca="1" si="1"/>
        <v>13</v>
      </c>
      <c r="J20" s="8" t="s">
        <v>8</v>
      </c>
      <c r="K20" s="7">
        <v>89810</v>
      </c>
      <c r="L20" s="6">
        <v>4</v>
      </c>
      <c r="M20" s="106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536</v>
      </c>
      <c r="B21" s="12" t="s">
        <v>13</v>
      </c>
      <c r="C21" s="1" t="s">
        <v>37</v>
      </c>
      <c r="D21" s="85">
        <v>542051793</v>
      </c>
      <c r="E21" s="88">
        <v>2527317354</v>
      </c>
      <c r="F21" s="1" t="s">
        <v>5</v>
      </c>
      <c r="G21" s="108">
        <v>37261</v>
      </c>
      <c r="H21" s="67" t="str">
        <f t="shared" si="0"/>
        <v>Jan</v>
      </c>
      <c r="I21" s="9">
        <f t="shared" ca="1" si="1"/>
        <v>14</v>
      </c>
      <c r="J21" s="8" t="s">
        <v>32</v>
      </c>
      <c r="K21" s="7">
        <v>90180</v>
      </c>
      <c r="L21" s="6">
        <v>1</v>
      </c>
      <c r="M21" s="106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309</v>
      </c>
      <c r="B22" s="12" t="s">
        <v>13</v>
      </c>
      <c r="C22" s="1" t="s">
        <v>37</v>
      </c>
      <c r="D22" s="85">
        <v>608796012</v>
      </c>
      <c r="E22" s="88">
        <v>9194075460</v>
      </c>
      <c r="F22" s="1" t="s">
        <v>5</v>
      </c>
      <c r="G22" s="108">
        <v>34832</v>
      </c>
      <c r="H22" s="67" t="str">
        <f t="shared" si="0"/>
        <v>May</v>
      </c>
      <c r="I22" s="9">
        <f t="shared" ca="1" si="1"/>
        <v>21</v>
      </c>
      <c r="J22" s="8" t="s">
        <v>32</v>
      </c>
      <c r="K22" s="7">
        <v>95710</v>
      </c>
      <c r="L22" s="6">
        <v>5</v>
      </c>
      <c r="M22" s="106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 t="s">
        <v>57</v>
      </c>
      <c r="B23" s="12" t="s">
        <v>56</v>
      </c>
      <c r="C23" s="1" t="s">
        <v>37</v>
      </c>
      <c r="D23" s="85">
        <v>481336564</v>
      </c>
      <c r="E23" s="88">
        <v>9196479087</v>
      </c>
      <c r="F23" s="1" t="s">
        <v>5</v>
      </c>
      <c r="G23" s="108">
        <v>37144</v>
      </c>
      <c r="H23" s="67" t="str">
        <f t="shared" si="0"/>
        <v>Sep</v>
      </c>
      <c r="I23" s="9">
        <f t="shared" ca="1" si="1"/>
        <v>15</v>
      </c>
      <c r="J23" s="8" t="s">
        <v>4</v>
      </c>
      <c r="K23" s="7">
        <v>86510</v>
      </c>
      <c r="L23" s="6">
        <v>5</v>
      </c>
      <c r="M23" s="106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145</v>
      </c>
      <c r="B24" s="12" t="s">
        <v>39</v>
      </c>
      <c r="C24" s="1" t="s">
        <v>125</v>
      </c>
      <c r="D24" s="85">
        <v>460412180</v>
      </c>
      <c r="E24" s="88">
        <v>9196822349</v>
      </c>
      <c r="F24" s="1" t="s">
        <v>5</v>
      </c>
      <c r="G24" s="108">
        <v>41107</v>
      </c>
      <c r="H24" s="67" t="str">
        <f t="shared" si="0"/>
        <v>Jul</v>
      </c>
      <c r="I24" s="9">
        <f t="shared" ca="1" si="1"/>
        <v>4</v>
      </c>
      <c r="J24" s="8" t="s">
        <v>34</v>
      </c>
      <c r="K24" s="7">
        <v>61420</v>
      </c>
      <c r="L24" s="6">
        <v>3</v>
      </c>
      <c r="M24" s="106"/>
      <c r="N24" s="1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531</v>
      </c>
      <c r="B25" s="12" t="s">
        <v>39</v>
      </c>
      <c r="C25" s="1" t="s">
        <v>125</v>
      </c>
      <c r="D25" s="85">
        <v>515543972</v>
      </c>
      <c r="E25" s="88">
        <v>9193539483</v>
      </c>
      <c r="F25" s="1" t="s">
        <v>5</v>
      </c>
      <c r="G25" s="108">
        <v>37620</v>
      </c>
      <c r="H25" s="67" t="str">
        <f t="shared" si="0"/>
        <v>Dec</v>
      </c>
      <c r="I25" s="9">
        <f t="shared" ca="1" si="1"/>
        <v>13</v>
      </c>
      <c r="J25" s="8" t="s">
        <v>19</v>
      </c>
      <c r="K25" s="7">
        <v>67730</v>
      </c>
      <c r="L25" s="6">
        <v>1</v>
      </c>
      <c r="M25" s="106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 t="s">
        <v>667</v>
      </c>
      <c r="B26" s="12" t="s">
        <v>13</v>
      </c>
      <c r="C26" s="1" t="s">
        <v>125</v>
      </c>
      <c r="D26" s="85">
        <v>533976888</v>
      </c>
      <c r="E26" s="88">
        <v>9192572783</v>
      </c>
      <c r="F26" s="1" t="s">
        <v>5</v>
      </c>
      <c r="G26" s="108">
        <v>37215</v>
      </c>
      <c r="H26" s="67" t="str">
        <f t="shared" si="0"/>
        <v>Nov</v>
      </c>
      <c r="I26" s="9">
        <f t="shared" ca="1" si="1"/>
        <v>14</v>
      </c>
      <c r="J26" s="8" t="s">
        <v>8</v>
      </c>
      <c r="K26" s="7">
        <v>57420</v>
      </c>
      <c r="L26" s="6">
        <v>1</v>
      </c>
      <c r="M26" s="106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 t="s">
        <v>487</v>
      </c>
      <c r="B27" s="12" t="s">
        <v>39</v>
      </c>
      <c r="C27" s="1" t="s">
        <v>125</v>
      </c>
      <c r="D27" s="85">
        <v>796079833</v>
      </c>
      <c r="E27" s="88">
        <v>2525327906</v>
      </c>
      <c r="F27" s="1" t="s">
        <v>15</v>
      </c>
      <c r="G27" s="108">
        <v>36565</v>
      </c>
      <c r="H27" s="67" t="str">
        <f t="shared" si="0"/>
        <v>Feb</v>
      </c>
      <c r="I27" s="9">
        <f t="shared" ca="1" si="1"/>
        <v>16</v>
      </c>
      <c r="J27" s="8" t="s">
        <v>32</v>
      </c>
      <c r="K27" s="7">
        <v>13230</v>
      </c>
      <c r="L27" s="6">
        <v>1</v>
      </c>
      <c r="M27" s="106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745</v>
      </c>
      <c r="B28" s="12" t="s">
        <v>17</v>
      </c>
      <c r="C28" s="1" t="s">
        <v>125</v>
      </c>
      <c r="D28" s="85">
        <v>216607562</v>
      </c>
      <c r="E28" s="88">
        <v>2521593705</v>
      </c>
      <c r="F28" s="1" t="s">
        <v>5</v>
      </c>
      <c r="G28" s="108">
        <v>36460</v>
      </c>
      <c r="H28" s="67" t="str">
        <f t="shared" si="0"/>
        <v>Oct</v>
      </c>
      <c r="I28" s="9">
        <f t="shared" ca="1" si="1"/>
        <v>17</v>
      </c>
      <c r="J28" s="8" t="s">
        <v>4</v>
      </c>
      <c r="K28" s="7">
        <v>59230</v>
      </c>
      <c r="L28" s="6">
        <v>2</v>
      </c>
      <c r="M28" s="106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245</v>
      </c>
      <c r="B29" s="12" t="s">
        <v>17</v>
      </c>
      <c r="C29" s="1" t="s">
        <v>125</v>
      </c>
      <c r="D29" s="85">
        <v>243350742</v>
      </c>
      <c r="E29" s="88">
        <v>2528304204</v>
      </c>
      <c r="F29" s="1" t="s">
        <v>0</v>
      </c>
      <c r="G29" s="108">
        <v>36675</v>
      </c>
      <c r="H29" s="67" t="str">
        <f t="shared" si="0"/>
        <v>May</v>
      </c>
      <c r="I29" s="9">
        <f t="shared" ca="1" si="1"/>
        <v>16</v>
      </c>
      <c r="J29" s="8"/>
      <c r="K29" s="7">
        <v>24030</v>
      </c>
      <c r="L29" s="6">
        <v>4</v>
      </c>
      <c r="M29" s="106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 t="s">
        <v>591</v>
      </c>
      <c r="B30" s="12" t="s">
        <v>56</v>
      </c>
      <c r="C30" s="1" t="s">
        <v>125</v>
      </c>
      <c r="D30" s="85">
        <v>764375259</v>
      </c>
      <c r="E30" s="88">
        <v>2527515181</v>
      </c>
      <c r="F30" s="1" t="s">
        <v>5</v>
      </c>
      <c r="G30" s="108">
        <v>39052</v>
      </c>
      <c r="H30" s="67" t="str">
        <f t="shared" si="0"/>
        <v>Dec</v>
      </c>
      <c r="I30" s="9">
        <f t="shared" ca="1" si="1"/>
        <v>9</v>
      </c>
      <c r="J30" s="8" t="s">
        <v>32</v>
      </c>
      <c r="K30" s="7">
        <v>36420</v>
      </c>
      <c r="L30" s="6">
        <v>1</v>
      </c>
      <c r="M30" s="106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 t="s">
        <v>728</v>
      </c>
      <c r="B31" s="12" t="s">
        <v>39</v>
      </c>
      <c r="C31" s="1" t="s">
        <v>125</v>
      </c>
      <c r="D31" s="85">
        <v>278431222</v>
      </c>
      <c r="E31" s="88">
        <v>9196699611</v>
      </c>
      <c r="F31" s="1" t="s">
        <v>5</v>
      </c>
      <c r="G31" s="108">
        <v>37894</v>
      </c>
      <c r="H31" s="67" t="str">
        <f t="shared" si="0"/>
        <v>Sep</v>
      </c>
      <c r="I31" s="9">
        <f t="shared" ca="1" si="1"/>
        <v>13</v>
      </c>
      <c r="J31" s="8" t="s">
        <v>4</v>
      </c>
      <c r="K31" s="7">
        <v>40370</v>
      </c>
      <c r="L31" s="6">
        <v>3</v>
      </c>
      <c r="M31" s="106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 t="s">
        <v>126</v>
      </c>
      <c r="B32" s="12" t="s">
        <v>13</v>
      </c>
      <c r="C32" s="1" t="s">
        <v>125</v>
      </c>
      <c r="D32" s="85">
        <v>237359447</v>
      </c>
      <c r="E32" s="88">
        <v>9195882405</v>
      </c>
      <c r="F32" s="1" t="s">
        <v>5</v>
      </c>
      <c r="G32" s="108">
        <v>35302</v>
      </c>
      <c r="H32" s="67" t="str">
        <f t="shared" si="0"/>
        <v>Aug</v>
      </c>
      <c r="I32" s="9">
        <f t="shared" ca="1" si="1"/>
        <v>20</v>
      </c>
      <c r="J32" s="8" t="s">
        <v>32</v>
      </c>
      <c r="K32" s="7">
        <v>88130</v>
      </c>
      <c r="L32" s="6">
        <v>1</v>
      </c>
      <c r="M32" s="106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 t="s">
        <v>134</v>
      </c>
      <c r="B33" s="12" t="s">
        <v>39</v>
      </c>
      <c r="C33" s="1" t="s">
        <v>125</v>
      </c>
      <c r="D33" s="85">
        <v>963028490</v>
      </c>
      <c r="E33" s="88">
        <v>2524383168</v>
      </c>
      <c r="F33" s="1" t="s">
        <v>5</v>
      </c>
      <c r="G33" s="108">
        <v>34552</v>
      </c>
      <c r="H33" s="67" t="str">
        <f t="shared" si="0"/>
        <v>Aug</v>
      </c>
      <c r="I33" s="9">
        <f t="shared" ca="1" si="1"/>
        <v>22</v>
      </c>
      <c r="J33" s="8" t="s">
        <v>34</v>
      </c>
      <c r="K33" s="7">
        <v>49620</v>
      </c>
      <c r="L33" s="6">
        <v>2</v>
      </c>
      <c r="M33" s="106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561</v>
      </c>
      <c r="B34" s="12" t="s">
        <v>13</v>
      </c>
      <c r="C34" s="1" t="s">
        <v>24</v>
      </c>
      <c r="D34" s="85">
        <v>682791418</v>
      </c>
      <c r="E34" s="88">
        <v>9194603155</v>
      </c>
      <c r="F34" s="1" t="s">
        <v>5</v>
      </c>
      <c r="G34" s="108">
        <v>34714</v>
      </c>
      <c r="H34" s="67" t="str">
        <f t="shared" si="0"/>
        <v>Jan</v>
      </c>
      <c r="I34" s="9">
        <f t="shared" ca="1" si="1"/>
        <v>21</v>
      </c>
      <c r="J34" s="8" t="s">
        <v>32</v>
      </c>
      <c r="K34" s="7">
        <v>55460</v>
      </c>
      <c r="L34" s="6">
        <v>3</v>
      </c>
      <c r="M34" s="106"/>
      <c r="N34" s="16"/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 t="s">
        <v>36</v>
      </c>
      <c r="B35" s="12" t="s">
        <v>13</v>
      </c>
      <c r="C35" s="1" t="s">
        <v>24</v>
      </c>
      <c r="D35" s="85">
        <v>534034571</v>
      </c>
      <c r="E35" s="88">
        <v>2526169135</v>
      </c>
      <c r="F35" s="1" t="s">
        <v>15</v>
      </c>
      <c r="G35" s="108">
        <v>40418</v>
      </c>
      <c r="H35" s="67" t="str">
        <f t="shared" si="0"/>
        <v>Aug</v>
      </c>
      <c r="I35" s="9">
        <f t="shared" ca="1" si="1"/>
        <v>6</v>
      </c>
      <c r="J35" s="8" t="s">
        <v>19</v>
      </c>
      <c r="K35" s="7">
        <v>55310</v>
      </c>
      <c r="L35" s="6">
        <v>3</v>
      </c>
      <c r="M35" s="106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 t="s">
        <v>25</v>
      </c>
      <c r="B36" s="12" t="s">
        <v>17</v>
      </c>
      <c r="C36" s="1" t="s">
        <v>24</v>
      </c>
      <c r="D36" s="85">
        <v>601942708</v>
      </c>
      <c r="E36" s="88">
        <v>9198085402</v>
      </c>
      <c r="F36" s="1" t="s">
        <v>15</v>
      </c>
      <c r="G36" s="108">
        <v>41153</v>
      </c>
      <c r="H36" s="67" t="str">
        <f t="shared" si="0"/>
        <v>Sep</v>
      </c>
      <c r="I36" s="9">
        <f t="shared" ca="1" si="1"/>
        <v>4</v>
      </c>
      <c r="J36" s="8" t="s">
        <v>4</v>
      </c>
      <c r="K36" s="7">
        <v>34420</v>
      </c>
      <c r="L36" s="6">
        <v>1</v>
      </c>
      <c r="M36" s="106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 t="s">
        <v>116</v>
      </c>
      <c r="B37" s="12" t="s">
        <v>10</v>
      </c>
      <c r="C37" s="1" t="s">
        <v>24</v>
      </c>
      <c r="D37" s="85">
        <v>529609767</v>
      </c>
      <c r="E37" s="88">
        <v>2528006736</v>
      </c>
      <c r="F37" s="1" t="s">
        <v>12</v>
      </c>
      <c r="G37" s="108">
        <v>36396</v>
      </c>
      <c r="H37" s="67" t="str">
        <f t="shared" si="0"/>
        <v>Aug</v>
      </c>
      <c r="I37" s="9">
        <f t="shared" ca="1" si="1"/>
        <v>17</v>
      </c>
      <c r="J37" s="8"/>
      <c r="K37" s="7">
        <v>69760</v>
      </c>
      <c r="L37" s="6">
        <v>2</v>
      </c>
      <c r="M37" s="106"/>
      <c r="N37" s="2"/>
      <c r="O37" s="1"/>
      <c r="P37" s="5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 t="s">
        <v>42</v>
      </c>
      <c r="B38" s="12" t="s">
        <v>39</v>
      </c>
      <c r="C38" s="1" t="s">
        <v>26</v>
      </c>
      <c r="D38" s="85">
        <v>365117800</v>
      </c>
      <c r="E38" s="88">
        <v>2524125146</v>
      </c>
      <c r="F38" s="1" t="s">
        <v>5</v>
      </c>
      <c r="G38" s="108">
        <v>38961</v>
      </c>
      <c r="H38" s="67" t="str">
        <f t="shared" si="0"/>
        <v>Sep</v>
      </c>
      <c r="I38" s="9">
        <f t="shared" ca="1" si="1"/>
        <v>10</v>
      </c>
      <c r="J38" s="8" t="s">
        <v>32</v>
      </c>
      <c r="K38" s="7">
        <v>80270</v>
      </c>
      <c r="L38" s="6">
        <v>5</v>
      </c>
      <c r="M38" s="106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 t="s">
        <v>94</v>
      </c>
      <c r="B39" s="12" t="s">
        <v>39</v>
      </c>
      <c r="C39" s="1" t="s">
        <v>26</v>
      </c>
      <c r="D39" s="85">
        <v>580960042</v>
      </c>
      <c r="E39" s="88">
        <v>9197528456</v>
      </c>
      <c r="F39" s="1" t="s">
        <v>12</v>
      </c>
      <c r="G39" s="108">
        <v>40041</v>
      </c>
      <c r="H39" s="67" t="str">
        <f t="shared" si="0"/>
        <v>Aug</v>
      </c>
      <c r="I39" s="9">
        <f t="shared" ca="1" si="1"/>
        <v>7</v>
      </c>
      <c r="J39" s="8"/>
      <c r="K39" s="7">
        <v>74580</v>
      </c>
      <c r="L39" s="6">
        <v>4</v>
      </c>
      <c r="M39" s="106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 t="s">
        <v>674</v>
      </c>
      <c r="B40" s="12" t="s">
        <v>17</v>
      </c>
      <c r="C40" s="1" t="s">
        <v>26</v>
      </c>
      <c r="D40" s="85">
        <v>981106829</v>
      </c>
      <c r="E40" s="88">
        <v>2526196095</v>
      </c>
      <c r="F40" s="1" t="s">
        <v>12</v>
      </c>
      <c r="G40" s="108">
        <v>36849</v>
      </c>
      <c r="H40" s="67" t="str">
        <f t="shared" si="0"/>
        <v>Nov</v>
      </c>
      <c r="I40" s="9">
        <f t="shared" ca="1" si="1"/>
        <v>15</v>
      </c>
      <c r="J40" s="8"/>
      <c r="K40" s="7">
        <v>102580</v>
      </c>
      <c r="L40" s="6">
        <v>5</v>
      </c>
      <c r="M40" s="106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 t="s">
        <v>768</v>
      </c>
      <c r="B41" s="12" t="s">
        <v>13</v>
      </c>
      <c r="C41" s="1" t="s">
        <v>26</v>
      </c>
      <c r="D41" s="85">
        <v>260815239</v>
      </c>
      <c r="E41" s="88">
        <v>2523040292</v>
      </c>
      <c r="F41" s="1" t="s">
        <v>0</v>
      </c>
      <c r="G41" s="108">
        <v>34621</v>
      </c>
      <c r="H41" s="67" t="str">
        <f t="shared" si="0"/>
        <v>Oct</v>
      </c>
      <c r="I41" s="9">
        <f t="shared" ca="1" si="1"/>
        <v>22</v>
      </c>
      <c r="J41" s="8"/>
      <c r="K41" s="7">
        <v>17480</v>
      </c>
      <c r="L41" s="6">
        <v>3</v>
      </c>
      <c r="M41" s="106"/>
      <c r="N41" s="2"/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 t="s">
        <v>54</v>
      </c>
      <c r="B42" s="12" t="s">
        <v>13</v>
      </c>
      <c r="C42" s="1" t="s">
        <v>26</v>
      </c>
      <c r="D42" s="85">
        <v>334574480</v>
      </c>
      <c r="E42" s="88">
        <v>2525165289</v>
      </c>
      <c r="F42" s="1" t="s">
        <v>5</v>
      </c>
      <c r="G42" s="108">
        <v>37507</v>
      </c>
      <c r="H42" s="67" t="str">
        <f t="shared" si="0"/>
        <v>Sep</v>
      </c>
      <c r="I42" s="9">
        <f t="shared" ca="1" si="1"/>
        <v>14</v>
      </c>
      <c r="J42" s="8" t="s">
        <v>4</v>
      </c>
      <c r="K42" s="7">
        <v>38520</v>
      </c>
      <c r="L42" s="6">
        <v>1</v>
      </c>
      <c r="M42" s="106"/>
      <c r="N42" s="2"/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 t="s">
        <v>290</v>
      </c>
      <c r="B43" s="12" t="s">
        <v>10</v>
      </c>
      <c r="C43" s="1" t="s">
        <v>26</v>
      </c>
      <c r="D43" s="85">
        <v>163292583</v>
      </c>
      <c r="E43" s="88">
        <v>2522005810</v>
      </c>
      <c r="F43" s="1" t="s">
        <v>12</v>
      </c>
      <c r="G43" s="108">
        <v>37039</v>
      </c>
      <c r="H43" s="67" t="str">
        <f t="shared" si="0"/>
        <v>May</v>
      </c>
      <c r="I43" s="9">
        <f t="shared" ca="1" si="1"/>
        <v>15</v>
      </c>
      <c r="J43" s="8"/>
      <c r="K43" s="7">
        <v>36410</v>
      </c>
      <c r="L43" s="6">
        <v>3</v>
      </c>
      <c r="M43" s="106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 t="s">
        <v>752</v>
      </c>
      <c r="B44" s="12" t="s">
        <v>17</v>
      </c>
      <c r="C44" s="1" t="s">
        <v>26</v>
      </c>
      <c r="D44" s="85">
        <v>923665952</v>
      </c>
      <c r="E44" s="88">
        <v>2525295649</v>
      </c>
      <c r="F44" s="1" t="s">
        <v>5</v>
      </c>
      <c r="G44" s="108">
        <v>36087</v>
      </c>
      <c r="H44" s="67" t="str">
        <f t="shared" si="0"/>
        <v>Oct</v>
      </c>
      <c r="I44" s="9">
        <f t="shared" ca="1" si="1"/>
        <v>18</v>
      </c>
      <c r="J44" s="8" t="s">
        <v>19</v>
      </c>
      <c r="K44" s="7">
        <v>92820</v>
      </c>
      <c r="L44" s="6">
        <v>5</v>
      </c>
      <c r="M44" s="106"/>
      <c r="N44" s="1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 t="s">
        <v>488</v>
      </c>
      <c r="B45" s="12" t="s">
        <v>13</v>
      </c>
      <c r="C45" s="1" t="s">
        <v>26</v>
      </c>
      <c r="D45" s="85">
        <v>905675120</v>
      </c>
      <c r="E45" s="88">
        <v>9192526124</v>
      </c>
      <c r="F45" s="1" t="s">
        <v>5</v>
      </c>
      <c r="G45" s="108">
        <v>36208</v>
      </c>
      <c r="H45" s="67" t="str">
        <f t="shared" si="0"/>
        <v>Feb</v>
      </c>
      <c r="I45" s="9">
        <f t="shared" ca="1" si="1"/>
        <v>17</v>
      </c>
      <c r="J45" s="8" t="s">
        <v>19</v>
      </c>
      <c r="K45" s="7">
        <v>93100</v>
      </c>
      <c r="L45" s="6">
        <v>3</v>
      </c>
      <c r="M45" s="106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 t="s">
        <v>86</v>
      </c>
      <c r="B46" s="12" t="s">
        <v>17</v>
      </c>
      <c r="C46" s="1" t="s">
        <v>26</v>
      </c>
      <c r="D46" s="85">
        <v>242099349</v>
      </c>
      <c r="E46" s="88">
        <v>2526576057</v>
      </c>
      <c r="F46" s="1" t="s">
        <v>5</v>
      </c>
      <c r="G46" s="108">
        <v>41502</v>
      </c>
      <c r="H46" s="67" t="str">
        <f t="shared" si="0"/>
        <v>Aug</v>
      </c>
      <c r="I46" s="9">
        <f t="shared" ca="1" si="1"/>
        <v>3</v>
      </c>
      <c r="J46" s="8" t="s">
        <v>19</v>
      </c>
      <c r="K46" s="7">
        <v>93380</v>
      </c>
      <c r="L46" s="6">
        <v>3</v>
      </c>
      <c r="M46" s="106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 t="s">
        <v>188</v>
      </c>
      <c r="B47" s="12" t="s">
        <v>2</v>
      </c>
      <c r="C47" s="1" t="s">
        <v>26</v>
      </c>
      <c r="D47" s="85">
        <v>964243524</v>
      </c>
      <c r="E47" s="88">
        <v>2522339143</v>
      </c>
      <c r="F47" s="1" t="s">
        <v>5</v>
      </c>
      <c r="G47" s="108">
        <v>35997</v>
      </c>
      <c r="H47" s="67" t="str">
        <f t="shared" si="0"/>
        <v>Jul</v>
      </c>
      <c r="I47" s="9">
        <f t="shared" ca="1" si="1"/>
        <v>18</v>
      </c>
      <c r="J47" s="8" t="s">
        <v>32</v>
      </c>
      <c r="K47" s="7">
        <v>81470</v>
      </c>
      <c r="L47" s="6">
        <v>5</v>
      </c>
      <c r="M47" s="106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 t="s">
        <v>156</v>
      </c>
      <c r="B48" s="12" t="s">
        <v>17</v>
      </c>
      <c r="C48" s="1" t="s">
        <v>26</v>
      </c>
      <c r="D48" s="85">
        <v>436693732</v>
      </c>
      <c r="E48" s="88">
        <v>2524077699</v>
      </c>
      <c r="F48" s="1" t="s">
        <v>5</v>
      </c>
      <c r="G48" s="108">
        <v>38177</v>
      </c>
      <c r="H48" s="67" t="str">
        <f t="shared" si="0"/>
        <v>Jul</v>
      </c>
      <c r="I48" s="9">
        <f t="shared" ca="1" si="1"/>
        <v>12</v>
      </c>
      <c r="J48" s="8" t="s">
        <v>19</v>
      </c>
      <c r="K48" s="7">
        <v>75350</v>
      </c>
      <c r="L48" s="6">
        <v>2</v>
      </c>
      <c r="M48" s="106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 t="s">
        <v>494</v>
      </c>
      <c r="B49" s="12" t="s">
        <v>17</v>
      </c>
      <c r="C49" s="1" t="s">
        <v>26</v>
      </c>
      <c r="D49" s="85">
        <v>147261161</v>
      </c>
      <c r="E49" s="88">
        <v>9197692593</v>
      </c>
      <c r="F49" s="1" t="s">
        <v>5</v>
      </c>
      <c r="G49" s="108">
        <v>35833</v>
      </c>
      <c r="H49" s="67" t="str">
        <f t="shared" si="0"/>
        <v>Feb</v>
      </c>
      <c r="I49" s="9">
        <f t="shared" ca="1" si="1"/>
        <v>18</v>
      </c>
      <c r="J49" s="8" t="s">
        <v>32</v>
      </c>
      <c r="K49" s="7">
        <v>38290</v>
      </c>
      <c r="L49" s="6">
        <v>5</v>
      </c>
      <c r="M49" s="106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 t="s">
        <v>81</v>
      </c>
      <c r="B50" s="12" t="s">
        <v>17</v>
      </c>
      <c r="C50" s="1" t="s">
        <v>26</v>
      </c>
      <c r="D50" s="85">
        <v>513140687</v>
      </c>
      <c r="E50" s="88">
        <v>9192163497</v>
      </c>
      <c r="F50" s="1" t="s">
        <v>12</v>
      </c>
      <c r="G50" s="108">
        <v>34229</v>
      </c>
      <c r="H50" s="67" t="str">
        <f t="shared" si="0"/>
        <v>Sep</v>
      </c>
      <c r="I50" s="9">
        <f t="shared" ca="1" si="1"/>
        <v>23</v>
      </c>
      <c r="J50" s="8"/>
      <c r="K50" s="7">
        <v>51530</v>
      </c>
      <c r="L50" s="6">
        <v>1</v>
      </c>
      <c r="M50" s="106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 t="s">
        <v>314</v>
      </c>
      <c r="B51" s="12" t="s">
        <v>13</v>
      </c>
      <c r="C51" s="1" t="s">
        <v>26</v>
      </c>
      <c r="D51" s="85">
        <v>768215237</v>
      </c>
      <c r="E51" s="88">
        <v>9195993367</v>
      </c>
      <c r="F51" s="1" t="s">
        <v>15</v>
      </c>
      <c r="G51" s="108">
        <v>34473</v>
      </c>
      <c r="H51" s="67" t="str">
        <f t="shared" si="0"/>
        <v>May</v>
      </c>
      <c r="I51" s="9">
        <f t="shared" ca="1" si="1"/>
        <v>22</v>
      </c>
      <c r="J51" s="8" t="s">
        <v>34</v>
      </c>
      <c r="K51" s="7">
        <v>16560</v>
      </c>
      <c r="L51" s="6">
        <v>3</v>
      </c>
      <c r="M51" s="106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 t="s">
        <v>684</v>
      </c>
      <c r="B52" s="12" t="s">
        <v>10</v>
      </c>
      <c r="C52" s="1" t="s">
        <v>26</v>
      </c>
      <c r="D52" s="85">
        <v>247276092</v>
      </c>
      <c r="E52" s="88">
        <v>2522636516</v>
      </c>
      <c r="F52" s="1" t="s">
        <v>12</v>
      </c>
      <c r="G52" s="108">
        <v>36120</v>
      </c>
      <c r="H52" s="67" t="str">
        <f t="shared" si="0"/>
        <v>Nov</v>
      </c>
      <c r="I52" s="9">
        <f t="shared" ca="1" si="1"/>
        <v>17</v>
      </c>
      <c r="J52" s="8"/>
      <c r="K52" s="7">
        <v>77270</v>
      </c>
      <c r="L52" s="6">
        <v>2</v>
      </c>
      <c r="M52" s="106"/>
      <c r="N52" s="2"/>
      <c r="O52" s="1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 t="s">
        <v>78</v>
      </c>
      <c r="B53" s="12" t="s">
        <v>17</v>
      </c>
      <c r="C53" s="1" t="s">
        <v>26</v>
      </c>
      <c r="D53" s="85">
        <v>459522265</v>
      </c>
      <c r="E53" s="88">
        <v>2524633649</v>
      </c>
      <c r="F53" s="1" t="s">
        <v>5</v>
      </c>
      <c r="G53" s="108">
        <v>34576</v>
      </c>
      <c r="H53" s="67" t="str">
        <f t="shared" si="0"/>
        <v>Aug</v>
      </c>
      <c r="I53" s="9">
        <f t="shared" ca="1" si="1"/>
        <v>22</v>
      </c>
      <c r="J53" s="8" t="s">
        <v>34</v>
      </c>
      <c r="K53" s="7">
        <v>73680</v>
      </c>
      <c r="L53" s="6">
        <v>5</v>
      </c>
      <c r="M53" s="106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 t="s">
        <v>427</v>
      </c>
      <c r="B54" s="12" t="s">
        <v>39</v>
      </c>
      <c r="C54" s="1" t="s">
        <v>26</v>
      </c>
      <c r="D54" s="85">
        <v>339398339</v>
      </c>
      <c r="E54" s="88">
        <v>2527682821</v>
      </c>
      <c r="F54" s="1" t="s">
        <v>5</v>
      </c>
      <c r="G54" s="108">
        <v>36966</v>
      </c>
      <c r="H54" s="67" t="str">
        <f t="shared" si="0"/>
        <v>Mar</v>
      </c>
      <c r="I54" s="20">
        <f t="shared" ca="1" si="1"/>
        <v>15</v>
      </c>
      <c r="J54" s="19" t="s">
        <v>19</v>
      </c>
      <c r="K54" s="7">
        <v>41740</v>
      </c>
      <c r="L54" s="6">
        <v>4</v>
      </c>
      <c r="M54" s="106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 t="s">
        <v>522</v>
      </c>
      <c r="B55" s="12" t="s">
        <v>13</v>
      </c>
      <c r="C55" s="1" t="s">
        <v>26</v>
      </c>
      <c r="D55" s="85">
        <v>333947685</v>
      </c>
      <c r="E55" s="88">
        <v>9198314799</v>
      </c>
      <c r="F55" s="1" t="s">
        <v>5</v>
      </c>
      <c r="G55" s="108">
        <v>38349</v>
      </c>
      <c r="H55" s="67" t="str">
        <f t="shared" si="0"/>
        <v>Dec</v>
      </c>
      <c r="I55" s="9">
        <f t="shared" ca="1" si="1"/>
        <v>11</v>
      </c>
      <c r="J55" s="8" t="s">
        <v>34</v>
      </c>
      <c r="K55" s="7">
        <v>103060</v>
      </c>
      <c r="L55" s="6">
        <v>3</v>
      </c>
      <c r="M55" s="106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 t="s">
        <v>386</v>
      </c>
      <c r="B56" s="12" t="s">
        <v>39</v>
      </c>
      <c r="C56" s="1" t="s">
        <v>26</v>
      </c>
      <c r="D56" s="85">
        <v>721173550</v>
      </c>
      <c r="E56" s="88">
        <v>2528356334</v>
      </c>
      <c r="F56" s="1" t="s">
        <v>5</v>
      </c>
      <c r="G56" s="108">
        <v>34787</v>
      </c>
      <c r="H56" s="67" t="str">
        <f t="shared" si="0"/>
        <v>Mar</v>
      </c>
      <c r="I56" s="9">
        <f t="shared" ca="1" si="1"/>
        <v>21</v>
      </c>
      <c r="J56" s="8" t="s">
        <v>32</v>
      </c>
      <c r="K56" s="7">
        <v>85380</v>
      </c>
      <c r="L56" s="6">
        <v>2</v>
      </c>
      <c r="M56" s="106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 t="s">
        <v>407</v>
      </c>
      <c r="B57" s="12" t="s">
        <v>13</v>
      </c>
      <c r="C57" s="1" t="s">
        <v>26</v>
      </c>
      <c r="D57" s="85">
        <v>252276921</v>
      </c>
      <c r="E57" s="88">
        <v>2525777345</v>
      </c>
      <c r="F57" s="1" t="s">
        <v>5</v>
      </c>
      <c r="G57" s="108">
        <v>38786</v>
      </c>
      <c r="H57" s="67" t="str">
        <f t="shared" si="0"/>
        <v>Mar</v>
      </c>
      <c r="I57" s="9">
        <f t="shared" ca="1" si="1"/>
        <v>10</v>
      </c>
      <c r="J57" s="8" t="s">
        <v>4</v>
      </c>
      <c r="K57" s="7">
        <v>104740</v>
      </c>
      <c r="L57" s="6">
        <v>4</v>
      </c>
      <c r="M57" s="106"/>
      <c r="N57" s="2"/>
      <c r="O57" s="1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 t="s">
        <v>108</v>
      </c>
      <c r="B58" s="12" t="s">
        <v>39</v>
      </c>
      <c r="C58" s="1" t="s">
        <v>26</v>
      </c>
      <c r="D58" s="85">
        <v>393393249</v>
      </c>
      <c r="E58" s="88">
        <v>9194980674</v>
      </c>
      <c r="F58" s="1" t="s">
        <v>12</v>
      </c>
      <c r="G58" s="108">
        <v>37471</v>
      </c>
      <c r="H58" s="67" t="str">
        <f t="shared" si="0"/>
        <v>Aug</v>
      </c>
      <c r="I58" s="9">
        <f t="shared" ca="1" si="1"/>
        <v>14</v>
      </c>
      <c r="J58" s="8"/>
      <c r="K58" s="7">
        <v>28270</v>
      </c>
      <c r="L58" s="6">
        <v>3</v>
      </c>
      <c r="M58" s="106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 t="s">
        <v>490</v>
      </c>
      <c r="B59" s="12" t="s">
        <v>56</v>
      </c>
      <c r="C59" s="1" t="s">
        <v>26</v>
      </c>
      <c r="D59" s="85">
        <v>344090854</v>
      </c>
      <c r="E59" s="88">
        <v>2523542524</v>
      </c>
      <c r="F59" s="1" t="s">
        <v>5</v>
      </c>
      <c r="G59" s="108">
        <v>36198</v>
      </c>
      <c r="H59" s="67" t="str">
        <f t="shared" si="0"/>
        <v>Feb</v>
      </c>
      <c r="I59" s="9">
        <f t="shared" ca="1" si="1"/>
        <v>17</v>
      </c>
      <c r="J59" s="8" t="s">
        <v>8</v>
      </c>
      <c r="K59" s="7">
        <v>98540</v>
      </c>
      <c r="L59" s="6">
        <v>5</v>
      </c>
      <c r="M59" s="106"/>
      <c r="N59" s="2"/>
      <c r="O59" s="1"/>
      <c r="P59" s="5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 t="s">
        <v>215</v>
      </c>
      <c r="B60" s="12" t="s">
        <v>39</v>
      </c>
      <c r="C60" s="1" t="s">
        <v>26</v>
      </c>
      <c r="D60" s="85">
        <v>733413074</v>
      </c>
      <c r="E60" s="88">
        <v>9192224790</v>
      </c>
      <c r="F60" s="1" t="s">
        <v>12</v>
      </c>
      <c r="G60" s="108">
        <v>39971</v>
      </c>
      <c r="H60" s="67" t="str">
        <f t="shared" si="0"/>
        <v>Jun</v>
      </c>
      <c r="I60" s="9">
        <f t="shared" ca="1" si="1"/>
        <v>7</v>
      </c>
      <c r="J60" s="8"/>
      <c r="K60" s="7">
        <v>99680</v>
      </c>
      <c r="L60" s="6">
        <v>3</v>
      </c>
      <c r="M60" s="106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 t="s">
        <v>484</v>
      </c>
      <c r="B61" s="12" t="s">
        <v>13</v>
      </c>
      <c r="C61" s="1" t="s">
        <v>26</v>
      </c>
      <c r="D61" s="85">
        <v>164904130</v>
      </c>
      <c r="E61" s="88">
        <v>2528046670</v>
      </c>
      <c r="F61" s="1" t="s">
        <v>12</v>
      </c>
      <c r="G61" s="108">
        <v>36570</v>
      </c>
      <c r="H61" s="67" t="str">
        <f t="shared" si="0"/>
        <v>Feb</v>
      </c>
      <c r="I61" s="9">
        <f t="shared" ca="1" si="1"/>
        <v>16</v>
      </c>
      <c r="J61" s="8"/>
      <c r="K61" s="7">
        <v>101040</v>
      </c>
      <c r="L61" s="6">
        <v>2</v>
      </c>
      <c r="M61" s="106"/>
      <c r="N61" s="16"/>
      <c r="O61" s="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 t="s">
        <v>538</v>
      </c>
      <c r="B62" s="12" t="s">
        <v>17</v>
      </c>
      <c r="C62" s="1" t="s">
        <v>26</v>
      </c>
      <c r="D62" s="85">
        <v>504735443</v>
      </c>
      <c r="E62" s="88">
        <v>9191629556</v>
      </c>
      <c r="F62" s="1" t="s">
        <v>12</v>
      </c>
      <c r="G62" s="108">
        <v>36903</v>
      </c>
      <c r="H62" s="67" t="str">
        <f t="shared" si="0"/>
        <v>Jan</v>
      </c>
      <c r="I62" s="9">
        <f t="shared" ca="1" si="1"/>
        <v>15</v>
      </c>
      <c r="J62" s="8"/>
      <c r="K62" s="7">
        <v>76010</v>
      </c>
      <c r="L62" s="6">
        <v>3</v>
      </c>
      <c r="M62" s="106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 t="s">
        <v>47</v>
      </c>
      <c r="B63" s="12" t="s">
        <v>17</v>
      </c>
      <c r="C63" s="1" t="s">
        <v>26</v>
      </c>
      <c r="D63" s="85">
        <v>831188207</v>
      </c>
      <c r="E63" s="88">
        <v>9192121334</v>
      </c>
      <c r="F63" s="1" t="s">
        <v>5</v>
      </c>
      <c r="G63" s="108">
        <v>38242</v>
      </c>
      <c r="H63" s="67" t="str">
        <f t="shared" si="0"/>
        <v>Sep</v>
      </c>
      <c r="I63" s="9">
        <f t="shared" ca="1" si="1"/>
        <v>12</v>
      </c>
      <c r="J63" s="8" t="s">
        <v>32</v>
      </c>
      <c r="K63" s="7">
        <v>86340</v>
      </c>
      <c r="L63" s="6">
        <v>5</v>
      </c>
      <c r="M63" s="106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 t="s">
        <v>601</v>
      </c>
      <c r="B64" s="12" t="s">
        <v>13</v>
      </c>
      <c r="C64" s="1" t="s">
        <v>26</v>
      </c>
      <c r="D64" s="85">
        <v>856215418</v>
      </c>
      <c r="E64" s="88">
        <v>2526168483</v>
      </c>
      <c r="F64" s="1" t="s">
        <v>0</v>
      </c>
      <c r="G64" s="108">
        <v>37603</v>
      </c>
      <c r="H64" s="67" t="str">
        <f t="shared" si="0"/>
        <v>Dec</v>
      </c>
      <c r="I64" s="9">
        <f t="shared" ca="1" si="1"/>
        <v>13</v>
      </c>
      <c r="J64" s="8"/>
      <c r="K64" s="7">
        <v>36100</v>
      </c>
      <c r="L64" s="6">
        <v>3</v>
      </c>
      <c r="M64" s="106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 t="s">
        <v>106</v>
      </c>
      <c r="B65" s="12" t="s">
        <v>39</v>
      </c>
      <c r="C65" s="1" t="s">
        <v>26</v>
      </c>
      <c r="D65" s="85">
        <v>822974734</v>
      </c>
      <c r="E65" s="88">
        <v>2524924736</v>
      </c>
      <c r="F65" s="1" t="s">
        <v>0</v>
      </c>
      <c r="G65" s="108">
        <v>37488</v>
      </c>
      <c r="H65" s="67" t="str">
        <f t="shared" si="0"/>
        <v>Aug</v>
      </c>
      <c r="I65" s="9">
        <f t="shared" ca="1" si="1"/>
        <v>14</v>
      </c>
      <c r="J65" s="8"/>
      <c r="K65" s="7">
        <v>39670</v>
      </c>
      <c r="L65" s="6">
        <v>5</v>
      </c>
      <c r="M65" s="106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 t="s">
        <v>644</v>
      </c>
      <c r="B66" s="12" t="s">
        <v>13</v>
      </c>
      <c r="C66" s="1" t="s">
        <v>26</v>
      </c>
      <c r="D66" s="85">
        <v>129397083</v>
      </c>
      <c r="E66" s="88">
        <v>2521391475</v>
      </c>
      <c r="F66" s="1" t="s">
        <v>5</v>
      </c>
      <c r="G66" s="108">
        <v>41597</v>
      </c>
      <c r="H66" s="67" t="str">
        <f t="shared" ref="H66:H129" si="2">CHOOSE(MONTH(G66),"Jan","Feb","Mar","Apr","May","Jun","Jul","Aug","Sep","Oct","Nov","Dec")</f>
        <v>Nov</v>
      </c>
      <c r="I66" s="9">
        <f t="shared" ref="I66:I129" ca="1" si="3">DATEDIF(G66,TODAY(),"Y")</f>
        <v>2</v>
      </c>
      <c r="J66" s="8" t="s">
        <v>19</v>
      </c>
      <c r="K66" s="7">
        <v>82690</v>
      </c>
      <c r="L66" s="6">
        <v>5</v>
      </c>
      <c r="M66" s="106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 t="s">
        <v>236</v>
      </c>
      <c r="B67" s="12" t="s">
        <v>39</v>
      </c>
      <c r="C67" s="1" t="s">
        <v>26</v>
      </c>
      <c r="D67" s="85">
        <v>126492342</v>
      </c>
      <c r="E67" s="88">
        <v>9196299247</v>
      </c>
      <c r="F67" s="1" t="s">
        <v>0</v>
      </c>
      <c r="G67" s="108">
        <v>37060</v>
      </c>
      <c r="H67" s="67" t="str">
        <f t="shared" si="2"/>
        <v>Jun</v>
      </c>
      <c r="I67" s="9">
        <f t="shared" ca="1" si="3"/>
        <v>15</v>
      </c>
      <c r="J67" s="8"/>
      <c r="K67" s="7">
        <v>22200</v>
      </c>
      <c r="L67" s="6">
        <v>5</v>
      </c>
      <c r="M67" s="106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 t="s">
        <v>456</v>
      </c>
      <c r="B68" s="12" t="s">
        <v>13</v>
      </c>
      <c r="C68" s="1" t="s">
        <v>26</v>
      </c>
      <c r="D68" s="85">
        <v>653843221</v>
      </c>
      <c r="E68" s="88">
        <v>9197713771</v>
      </c>
      <c r="F68" s="1" t="s">
        <v>12</v>
      </c>
      <c r="G68" s="108">
        <v>40960</v>
      </c>
      <c r="H68" s="67" t="str">
        <f t="shared" si="2"/>
        <v>Feb</v>
      </c>
      <c r="I68" s="9">
        <f t="shared" ca="1" si="3"/>
        <v>4</v>
      </c>
      <c r="J68" s="8"/>
      <c r="K68" s="7">
        <v>95350</v>
      </c>
      <c r="L68" s="6">
        <v>5</v>
      </c>
      <c r="M68" s="106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 t="s">
        <v>198</v>
      </c>
      <c r="B69" s="12" t="s">
        <v>17</v>
      </c>
      <c r="C69" s="1" t="s">
        <v>26</v>
      </c>
      <c r="D69" s="85">
        <v>631405285</v>
      </c>
      <c r="E69" s="88">
        <v>2527491979</v>
      </c>
      <c r="F69" s="1" t="s">
        <v>5</v>
      </c>
      <c r="G69" s="108">
        <v>34528</v>
      </c>
      <c r="H69" s="67" t="str">
        <f t="shared" si="2"/>
        <v>Jul</v>
      </c>
      <c r="I69" s="9">
        <f t="shared" ca="1" si="3"/>
        <v>22</v>
      </c>
      <c r="J69" s="8" t="s">
        <v>4</v>
      </c>
      <c r="K69" s="7">
        <v>103100</v>
      </c>
      <c r="L69" s="6">
        <v>4</v>
      </c>
      <c r="M69" s="106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 t="s">
        <v>676</v>
      </c>
      <c r="B70" s="12" t="s">
        <v>17</v>
      </c>
      <c r="C70" s="1" t="s">
        <v>26</v>
      </c>
      <c r="D70" s="85">
        <v>639314672</v>
      </c>
      <c r="E70" s="88">
        <v>9191919478</v>
      </c>
      <c r="F70" s="1" t="s">
        <v>15</v>
      </c>
      <c r="G70" s="108">
        <v>36843</v>
      </c>
      <c r="H70" s="67" t="str">
        <f t="shared" si="2"/>
        <v>Nov</v>
      </c>
      <c r="I70" s="9">
        <f t="shared" ca="1" si="3"/>
        <v>15</v>
      </c>
      <c r="J70" s="8" t="s">
        <v>8</v>
      </c>
      <c r="K70" s="7">
        <v>28060</v>
      </c>
      <c r="L70" s="6">
        <v>4</v>
      </c>
      <c r="M70" s="106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 t="s">
        <v>464</v>
      </c>
      <c r="B71" s="12" t="s">
        <v>13</v>
      </c>
      <c r="C71" s="1" t="s">
        <v>26</v>
      </c>
      <c r="D71" s="85">
        <v>349979288</v>
      </c>
      <c r="E71" s="88">
        <v>9194629972</v>
      </c>
      <c r="F71" s="1" t="s">
        <v>5</v>
      </c>
      <c r="G71" s="108">
        <v>38019</v>
      </c>
      <c r="H71" s="67" t="str">
        <f t="shared" si="2"/>
        <v>Feb</v>
      </c>
      <c r="I71" s="9">
        <f t="shared" ca="1" si="3"/>
        <v>12</v>
      </c>
      <c r="J71" s="8" t="s">
        <v>4</v>
      </c>
      <c r="K71" s="7">
        <v>34380</v>
      </c>
      <c r="L71" s="6">
        <v>4</v>
      </c>
      <c r="M71" s="106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 t="s">
        <v>613</v>
      </c>
      <c r="B72" s="12" t="s">
        <v>39</v>
      </c>
      <c r="C72" s="1" t="s">
        <v>26</v>
      </c>
      <c r="D72" s="85">
        <v>936730279</v>
      </c>
      <c r="E72" s="88">
        <v>2528033253</v>
      </c>
      <c r="F72" s="1" t="s">
        <v>15</v>
      </c>
      <c r="G72" s="108">
        <v>36518</v>
      </c>
      <c r="H72" s="67" t="str">
        <f t="shared" si="2"/>
        <v>Dec</v>
      </c>
      <c r="I72" s="9">
        <f t="shared" ca="1" si="3"/>
        <v>16</v>
      </c>
      <c r="J72" s="8" t="s">
        <v>19</v>
      </c>
      <c r="K72" s="7">
        <v>58100</v>
      </c>
      <c r="L72" s="6">
        <v>4</v>
      </c>
      <c r="M72" s="106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 t="s">
        <v>567</v>
      </c>
      <c r="B73" s="12" t="s">
        <v>39</v>
      </c>
      <c r="C73" s="1" t="s">
        <v>26</v>
      </c>
      <c r="D73" s="85">
        <v>787156286</v>
      </c>
      <c r="E73" s="88">
        <v>2524588703</v>
      </c>
      <c r="F73" s="1" t="s">
        <v>5</v>
      </c>
      <c r="G73" s="108">
        <v>34349</v>
      </c>
      <c r="H73" s="67" t="str">
        <f t="shared" si="2"/>
        <v>Jan</v>
      </c>
      <c r="I73" s="9">
        <f t="shared" ca="1" si="3"/>
        <v>22</v>
      </c>
      <c r="J73" s="8" t="s">
        <v>8</v>
      </c>
      <c r="K73" s="7">
        <v>59770</v>
      </c>
      <c r="L73" s="6">
        <v>2</v>
      </c>
      <c r="M73" s="106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 t="s">
        <v>166</v>
      </c>
      <c r="B74" s="12" t="s">
        <v>39</v>
      </c>
      <c r="C74" s="1" t="s">
        <v>26</v>
      </c>
      <c r="D74" s="85">
        <v>474999228</v>
      </c>
      <c r="E74" s="88">
        <v>9193848677</v>
      </c>
      <c r="F74" s="1" t="s">
        <v>12</v>
      </c>
      <c r="G74" s="108">
        <v>37088</v>
      </c>
      <c r="H74" s="67" t="str">
        <f t="shared" si="2"/>
        <v>Jul</v>
      </c>
      <c r="I74" s="9">
        <f t="shared" ca="1" si="3"/>
        <v>15</v>
      </c>
      <c r="J74" s="8"/>
      <c r="K74" s="7">
        <v>92320</v>
      </c>
      <c r="L74" s="6">
        <v>1</v>
      </c>
      <c r="M74" s="106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 t="s">
        <v>639</v>
      </c>
      <c r="B75" s="12" t="s">
        <v>56</v>
      </c>
      <c r="C75" s="1" t="s">
        <v>26</v>
      </c>
      <c r="D75" s="85">
        <v>403504590</v>
      </c>
      <c r="E75" s="88">
        <v>9192400511</v>
      </c>
      <c r="F75" s="1" t="s">
        <v>12</v>
      </c>
      <c r="G75" s="108">
        <v>34679</v>
      </c>
      <c r="H75" s="67" t="str">
        <f t="shared" si="2"/>
        <v>Dec</v>
      </c>
      <c r="I75" s="9">
        <f t="shared" ca="1" si="3"/>
        <v>21</v>
      </c>
      <c r="J75" s="8"/>
      <c r="K75" s="7">
        <v>77350</v>
      </c>
      <c r="L75" s="6">
        <v>1</v>
      </c>
      <c r="M75" s="106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 t="s">
        <v>193</v>
      </c>
      <c r="B76" s="12" t="s">
        <v>13</v>
      </c>
      <c r="C76" s="1" t="s">
        <v>26</v>
      </c>
      <c r="D76" s="85">
        <v>951516517</v>
      </c>
      <c r="E76" s="88">
        <v>2524936058</v>
      </c>
      <c r="F76" s="1" t="s">
        <v>5</v>
      </c>
      <c r="G76" s="108">
        <v>34896</v>
      </c>
      <c r="H76" s="67" t="str">
        <f t="shared" si="2"/>
        <v>Jul</v>
      </c>
      <c r="I76" s="9">
        <f t="shared" ca="1" si="3"/>
        <v>21</v>
      </c>
      <c r="J76" s="8" t="s">
        <v>4</v>
      </c>
      <c r="K76" s="7">
        <v>86000</v>
      </c>
      <c r="L76" s="6">
        <v>4</v>
      </c>
      <c r="M76" s="106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 t="s">
        <v>208</v>
      </c>
      <c r="B77" s="12" t="s">
        <v>17</v>
      </c>
      <c r="C77" s="1" t="s">
        <v>26</v>
      </c>
      <c r="D77" s="85">
        <v>873100939</v>
      </c>
      <c r="E77" s="88">
        <v>9191259179</v>
      </c>
      <c r="F77" s="1" t="s">
        <v>5</v>
      </c>
      <c r="G77" s="108">
        <v>41086</v>
      </c>
      <c r="H77" s="67" t="str">
        <f t="shared" si="2"/>
        <v>Jun</v>
      </c>
      <c r="I77" s="9">
        <f t="shared" ca="1" si="3"/>
        <v>4</v>
      </c>
      <c r="J77" s="8" t="s">
        <v>32</v>
      </c>
      <c r="K77" s="7">
        <v>49790</v>
      </c>
      <c r="L77" s="6">
        <v>5</v>
      </c>
      <c r="M77" s="106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 t="s">
        <v>679</v>
      </c>
      <c r="B78" s="12" t="s">
        <v>13</v>
      </c>
      <c r="C78" s="1" t="s">
        <v>26</v>
      </c>
      <c r="D78" s="85">
        <v>571120098</v>
      </c>
      <c r="E78" s="88">
        <v>2525789252</v>
      </c>
      <c r="F78" s="1" t="s">
        <v>5</v>
      </c>
      <c r="G78" s="108">
        <v>36830</v>
      </c>
      <c r="H78" s="67" t="str">
        <f t="shared" si="2"/>
        <v>Oct</v>
      </c>
      <c r="I78" s="9">
        <f t="shared" ca="1" si="3"/>
        <v>16</v>
      </c>
      <c r="J78" s="8" t="s">
        <v>32</v>
      </c>
      <c r="K78" s="7">
        <v>73240</v>
      </c>
      <c r="L78" s="6">
        <v>3</v>
      </c>
      <c r="M78" s="106"/>
      <c r="N78" s="16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 t="s">
        <v>616</v>
      </c>
      <c r="B79" s="12" t="s">
        <v>17</v>
      </c>
      <c r="C79" s="1" t="s">
        <v>26</v>
      </c>
      <c r="D79" s="85">
        <v>627678686</v>
      </c>
      <c r="E79" s="88">
        <v>2526101454</v>
      </c>
      <c r="F79" s="1" t="s">
        <v>12</v>
      </c>
      <c r="G79" s="108">
        <v>36506</v>
      </c>
      <c r="H79" s="67" t="str">
        <f t="shared" si="2"/>
        <v>Dec</v>
      </c>
      <c r="I79" s="9">
        <f t="shared" ca="1" si="3"/>
        <v>16</v>
      </c>
      <c r="J79" s="8"/>
      <c r="K79" s="7">
        <v>89690</v>
      </c>
      <c r="L79" s="6">
        <v>5</v>
      </c>
      <c r="M79" s="106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 t="s">
        <v>501</v>
      </c>
      <c r="B80" s="12" t="s">
        <v>13</v>
      </c>
      <c r="C80" s="1" t="s">
        <v>26</v>
      </c>
      <c r="D80" s="85">
        <v>667812117</v>
      </c>
      <c r="E80" s="88">
        <v>2526396432</v>
      </c>
      <c r="F80" s="1" t="s">
        <v>5</v>
      </c>
      <c r="G80" s="108">
        <v>34747</v>
      </c>
      <c r="H80" s="67" t="str">
        <f t="shared" si="2"/>
        <v>Feb</v>
      </c>
      <c r="I80" s="9">
        <f t="shared" ca="1" si="3"/>
        <v>21</v>
      </c>
      <c r="J80" s="8" t="s">
        <v>34</v>
      </c>
      <c r="K80" s="7">
        <v>38200</v>
      </c>
      <c r="L80" s="6">
        <v>3</v>
      </c>
      <c r="M80" s="106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 t="s">
        <v>375</v>
      </c>
      <c r="B81" s="12" t="s">
        <v>17</v>
      </c>
      <c r="C81" s="1" t="s">
        <v>26</v>
      </c>
      <c r="D81" s="85">
        <v>148899089</v>
      </c>
      <c r="E81" s="88">
        <v>2524734960</v>
      </c>
      <c r="F81" s="1" t="s">
        <v>15</v>
      </c>
      <c r="G81" s="108">
        <v>35167</v>
      </c>
      <c r="H81" s="67" t="str">
        <f t="shared" si="2"/>
        <v>Apr</v>
      </c>
      <c r="I81" s="9">
        <f t="shared" ca="1" si="3"/>
        <v>20</v>
      </c>
      <c r="J81" s="8" t="s">
        <v>32</v>
      </c>
      <c r="K81" s="7">
        <v>32270</v>
      </c>
      <c r="L81" s="6">
        <v>3</v>
      </c>
      <c r="M81" s="106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 t="s">
        <v>524</v>
      </c>
      <c r="B82" s="12" t="s">
        <v>13</v>
      </c>
      <c r="C82" s="1" t="s">
        <v>26</v>
      </c>
      <c r="D82" s="85">
        <v>411058865</v>
      </c>
      <c r="E82" s="88">
        <v>2523883919</v>
      </c>
      <c r="F82" s="1" t="s">
        <v>5</v>
      </c>
      <c r="G82" s="108">
        <v>38009</v>
      </c>
      <c r="H82" s="67" t="str">
        <f t="shared" si="2"/>
        <v>Jan</v>
      </c>
      <c r="I82" s="9">
        <f t="shared" ca="1" si="3"/>
        <v>12</v>
      </c>
      <c r="J82" s="8" t="s">
        <v>32</v>
      </c>
      <c r="K82" s="7">
        <v>32620</v>
      </c>
      <c r="L82" s="6">
        <v>4</v>
      </c>
      <c r="M82" s="106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 t="s">
        <v>306</v>
      </c>
      <c r="B83" s="12" t="s">
        <v>13</v>
      </c>
      <c r="C83" s="1" t="s">
        <v>26</v>
      </c>
      <c r="D83" s="85">
        <v>870106287</v>
      </c>
      <c r="E83" s="88">
        <v>2528611970</v>
      </c>
      <c r="F83" s="1" t="s">
        <v>15</v>
      </c>
      <c r="G83" s="108">
        <v>35549</v>
      </c>
      <c r="H83" s="67" t="str">
        <f t="shared" si="2"/>
        <v>Apr</v>
      </c>
      <c r="I83" s="9">
        <f t="shared" ca="1" si="3"/>
        <v>19</v>
      </c>
      <c r="J83" s="8" t="s">
        <v>8</v>
      </c>
      <c r="K83" s="7">
        <v>46700</v>
      </c>
      <c r="L83" s="6">
        <v>4</v>
      </c>
      <c r="M83" s="106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 t="s">
        <v>727</v>
      </c>
      <c r="B84" s="12" t="s">
        <v>2</v>
      </c>
      <c r="C84" s="1" t="s">
        <v>26</v>
      </c>
      <c r="D84" s="85">
        <v>867671341</v>
      </c>
      <c r="E84" s="88">
        <v>2528317543</v>
      </c>
      <c r="F84" s="1" t="s">
        <v>15</v>
      </c>
      <c r="G84" s="108">
        <v>37897</v>
      </c>
      <c r="H84" s="67" t="str">
        <f t="shared" si="2"/>
        <v>Oct</v>
      </c>
      <c r="I84" s="9">
        <f t="shared" ca="1" si="3"/>
        <v>13</v>
      </c>
      <c r="J84" s="8" t="s">
        <v>32</v>
      </c>
      <c r="K84" s="7">
        <v>42340</v>
      </c>
      <c r="L84" s="6">
        <v>3</v>
      </c>
      <c r="M84" s="106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 t="s">
        <v>511</v>
      </c>
      <c r="B85" s="12" t="s">
        <v>39</v>
      </c>
      <c r="C85" s="1" t="s">
        <v>26</v>
      </c>
      <c r="D85" s="85">
        <v>676534152</v>
      </c>
      <c r="E85" s="88">
        <v>9194416232</v>
      </c>
      <c r="F85" s="1" t="s">
        <v>5</v>
      </c>
      <c r="G85" s="108">
        <v>41293</v>
      </c>
      <c r="H85" s="67" t="str">
        <f t="shared" si="2"/>
        <v>Jan</v>
      </c>
      <c r="I85" s="9">
        <f t="shared" ca="1" si="3"/>
        <v>3</v>
      </c>
      <c r="J85" s="8" t="s">
        <v>32</v>
      </c>
      <c r="K85" s="7">
        <v>27940</v>
      </c>
      <c r="L85" s="6">
        <v>1</v>
      </c>
      <c r="M85" s="106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 t="s">
        <v>363</v>
      </c>
      <c r="B86" s="12" t="s">
        <v>13</v>
      </c>
      <c r="C86" s="1" t="s">
        <v>26</v>
      </c>
      <c r="D86" s="85">
        <v>427811310</v>
      </c>
      <c r="E86" s="88">
        <v>9191362796</v>
      </c>
      <c r="F86" s="1" t="s">
        <v>12</v>
      </c>
      <c r="G86" s="108">
        <v>36256</v>
      </c>
      <c r="H86" s="67" t="str">
        <f t="shared" si="2"/>
        <v>Apr</v>
      </c>
      <c r="I86" s="9">
        <f t="shared" ca="1" si="3"/>
        <v>17</v>
      </c>
      <c r="J86" s="8"/>
      <c r="K86" s="7">
        <v>107170</v>
      </c>
      <c r="L86" s="6">
        <v>5</v>
      </c>
      <c r="M86" s="106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 t="s">
        <v>512</v>
      </c>
      <c r="B87" s="12" t="s">
        <v>17</v>
      </c>
      <c r="C87" s="1" t="s">
        <v>26</v>
      </c>
      <c r="D87" s="85">
        <v>721169660</v>
      </c>
      <c r="E87" s="88">
        <v>2526711140</v>
      </c>
      <c r="F87" s="1" t="s">
        <v>5</v>
      </c>
      <c r="G87" s="108">
        <v>41275</v>
      </c>
      <c r="H87" s="67" t="str">
        <f t="shared" si="2"/>
        <v>Jan</v>
      </c>
      <c r="I87" s="9">
        <f t="shared" ca="1" si="3"/>
        <v>3</v>
      </c>
      <c r="J87" s="8" t="s">
        <v>34</v>
      </c>
      <c r="K87" s="7">
        <v>46480</v>
      </c>
      <c r="L87" s="6">
        <v>1</v>
      </c>
      <c r="M87" s="106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 t="s">
        <v>27</v>
      </c>
      <c r="B88" s="12" t="s">
        <v>2</v>
      </c>
      <c r="C88" s="1" t="s">
        <v>26</v>
      </c>
      <c r="D88" s="85">
        <v>600458368</v>
      </c>
      <c r="E88" s="88">
        <v>9197280453</v>
      </c>
      <c r="F88" s="1" t="s">
        <v>15</v>
      </c>
      <c r="G88" s="108">
        <v>40803</v>
      </c>
      <c r="H88" s="67" t="str">
        <f t="shared" si="2"/>
        <v>Sep</v>
      </c>
      <c r="I88" s="9">
        <f t="shared" ca="1" si="3"/>
        <v>5</v>
      </c>
      <c r="J88" s="8" t="s">
        <v>8</v>
      </c>
      <c r="K88" s="7">
        <v>27040</v>
      </c>
      <c r="L88" s="6">
        <v>3</v>
      </c>
      <c r="M88" s="106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 t="s">
        <v>515</v>
      </c>
      <c r="B89" s="12" t="s">
        <v>10</v>
      </c>
      <c r="C89" s="1" t="s">
        <v>26</v>
      </c>
      <c r="D89" s="85">
        <v>683222853</v>
      </c>
      <c r="E89" s="88">
        <v>9196224056</v>
      </c>
      <c r="F89" s="1" t="s">
        <v>12</v>
      </c>
      <c r="G89" s="108">
        <v>40923</v>
      </c>
      <c r="H89" s="67" t="str">
        <f t="shared" si="2"/>
        <v>Jan</v>
      </c>
      <c r="I89" s="9">
        <f t="shared" ca="1" si="3"/>
        <v>4</v>
      </c>
      <c r="J89" s="8"/>
      <c r="K89" s="7">
        <v>30950</v>
      </c>
      <c r="L89" s="6">
        <v>3</v>
      </c>
      <c r="M89" s="106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 t="s">
        <v>475</v>
      </c>
      <c r="B90" s="12" t="s">
        <v>2</v>
      </c>
      <c r="C90" s="1" t="s">
        <v>26</v>
      </c>
      <c r="D90" s="85">
        <v>267218084</v>
      </c>
      <c r="E90" s="88">
        <v>9193825834</v>
      </c>
      <c r="F90" s="1" t="s">
        <v>12</v>
      </c>
      <c r="G90" s="108">
        <v>36941</v>
      </c>
      <c r="H90" s="67" t="str">
        <f t="shared" si="2"/>
        <v>Feb</v>
      </c>
      <c r="I90" s="9">
        <f t="shared" ca="1" si="3"/>
        <v>15</v>
      </c>
      <c r="J90" s="8"/>
      <c r="K90" s="7">
        <v>105600</v>
      </c>
      <c r="L90" s="6">
        <v>5</v>
      </c>
      <c r="M90" s="106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 t="s">
        <v>647</v>
      </c>
      <c r="B91" s="12" t="s">
        <v>56</v>
      </c>
      <c r="C91" s="1" t="s">
        <v>26</v>
      </c>
      <c r="D91" s="85">
        <v>877122222</v>
      </c>
      <c r="E91" s="88">
        <v>9195511103</v>
      </c>
      <c r="F91" s="1" t="s">
        <v>5</v>
      </c>
      <c r="G91" s="108">
        <v>41576</v>
      </c>
      <c r="H91" s="67" t="str">
        <f t="shared" si="2"/>
        <v>Oct</v>
      </c>
      <c r="I91" s="9">
        <f t="shared" ca="1" si="3"/>
        <v>3</v>
      </c>
      <c r="J91" s="8" t="s">
        <v>8</v>
      </c>
      <c r="K91" s="7">
        <v>89650</v>
      </c>
      <c r="L91" s="6">
        <v>2</v>
      </c>
      <c r="M91" s="106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 t="s">
        <v>547</v>
      </c>
      <c r="B92" s="12" t="s">
        <v>39</v>
      </c>
      <c r="C92" s="1" t="s">
        <v>26</v>
      </c>
      <c r="D92" s="85">
        <v>841913875</v>
      </c>
      <c r="E92" s="88">
        <v>2522511732</v>
      </c>
      <c r="F92" s="1" t="s">
        <v>12</v>
      </c>
      <c r="G92" s="108">
        <v>36161</v>
      </c>
      <c r="H92" s="67" t="str">
        <f t="shared" si="2"/>
        <v>Jan</v>
      </c>
      <c r="I92" s="9">
        <f t="shared" ca="1" si="3"/>
        <v>17</v>
      </c>
      <c r="J92" s="8"/>
      <c r="K92" s="7">
        <v>60660</v>
      </c>
      <c r="L92" s="6">
        <v>2</v>
      </c>
      <c r="M92" s="106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 t="s">
        <v>761</v>
      </c>
      <c r="B93" s="12" t="s">
        <v>39</v>
      </c>
      <c r="C93" s="1" t="s">
        <v>26</v>
      </c>
      <c r="D93" s="85">
        <v>648911225</v>
      </c>
      <c r="E93" s="88">
        <v>2525829090</v>
      </c>
      <c r="F93" s="1" t="s">
        <v>12</v>
      </c>
      <c r="G93" s="108">
        <v>34982</v>
      </c>
      <c r="H93" s="67" t="str">
        <f t="shared" si="2"/>
        <v>Oct</v>
      </c>
      <c r="I93" s="9">
        <f t="shared" ca="1" si="3"/>
        <v>21</v>
      </c>
      <c r="J93" s="8"/>
      <c r="K93" s="7">
        <v>99620</v>
      </c>
      <c r="L93" s="6">
        <v>4</v>
      </c>
      <c r="M93" s="106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 t="s">
        <v>498</v>
      </c>
      <c r="B94" s="12" t="s">
        <v>13</v>
      </c>
      <c r="C94" s="1" t="s">
        <v>26</v>
      </c>
      <c r="D94" s="85">
        <v>496260023</v>
      </c>
      <c r="E94" s="88">
        <v>2523962015</v>
      </c>
      <c r="F94" s="1" t="s">
        <v>5</v>
      </c>
      <c r="G94" s="108">
        <v>35475</v>
      </c>
      <c r="H94" s="67" t="str">
        <f t="shared" si="2"/>
        <v>Feb</v>
      </c>
      <c r="I94" s="9">
        <f t="shared" ca="1" si="3"/>
        <v>19</v>
      </c>
      <c r="J94" s="8" t="s">
        <v>34</v>
      </c>
      <c r="K94" s="7">
        <v>89600</v>
      </c>
      <c r="L94" s="6">
        <v>5</v>
      </c>
      <c r="M94" s="106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 t="s">
        <v>297</v>
      </c>
      <c r="B95" s="12" t="s">
        <v>39</v>
      </c>
      <c r="C95" s="1" t="s">
        <v>26</v>
      </c>
      <c r="D95" s="85">
        <v>415228597</v>
      </c>
      <c r="E95" s="88">
        <v>9196252690</v>
      </c>
      <c r="F95" s="1" t="s">
        <v>5</v>
      </c>
      <c r="G95" s="108">
        <v>36668</v>
      </c>
      <c r="H95" s="67" t="str">
        <f t="shared" si="2"/>
        <v>May</v>
      </c>
      <c r="I95" s="9">
        <f t="shared" ca="1" si="3"/>
        <v>16</v>
      </c>
      <c r="J95" s="8" t="s">
        <v>32</v>
      </c>
      <c r="K95" s="7">
        <v>49100</v>
      </c>
      <c r="L95" s="6">
        <v>4</v>
      </c>
      <c r="M95" s="106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 t="s">
        <v>124</v>
      </c>
      <c r="B96" s="12" t="s">
        <v>13</v>
      </c>
      <c r="C96" s="1" t="s">
        <v>26</v>
      </c>
      <c r="D96" s="85">
        <v>644862142</v>
      </c>
      <c r="E96" s="88">
        <v>9193274978</v>
      </c>
      <c r="F96" s="1" t="s">
        <v>12</v>
      </c>
      <c r="G96" s="108">
        <v>35652</v>
      </c>
      <c r="H96" s="67" t="str">
        <f t="shared" si="2"/>
        <v>Aug</v>
      </c>
      <c r="I96" s="9">
        <f t="shared" ca="1" si="3"/>
        <v>19</v>
      </c>
      <c r="J96" s="8"/>
      <c r="K96" s="7">
        <v>56000</v>
      </c>
      <c r="L96" s="6">
        <v>3</v>
      </c>
      <c r="M96" s="106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 t="s">
        <v>85</v>
      </c>
      <c r="B97" s="12" t="s">
        <v>56</v>
      </c>
      <c r="C97" s="1" t="s">
        <v>84</v>
      </c>
      <c r="D97" s="85">
        <v>640301378</v>
      </c>
      <c r="E97" s="88">
        <v>2524663056</v>
      </c>
      <c r="F97" s="1" t="s">
        <v>15</v>
      </c>
      <c r="G97" s="108">
        <v>41506</v>
      </c>
      <c r="H97" s="67" t="str">
        <f t="shared" si="2"/>
        <v>Aug</v>
      </c>
      <c r="I97" s="9">
        <f t="shared" ca="1" si="3"/>
        <v>3</v>
      </c>
      <c r="J97" s="8" t="s">
        <v>4</v>
      </c>
      <c r="K97" s="7">
        <v>55480</v>
      </c>
      <c r="L97" s="6">
        <v>2</v>
      </c>
      <c r="M97" s="106"/>
      <c r="N97" s="2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 t="s">
        <v>654</v>
      </c>
      <c r="B98" s="12" t="s">
        <v>17</v>
      </c>
      <c r="C98" s="1" t="s">
        <v>84</v>
      </c>
      <c r="D98" s="85">
        <v>759350847</v>
      </c>
      <c r="E98" s="88">
        <v>2527474942</v>
      </c>
      <c r="F98" s="1" t="s">
        <v>5</v>
      </c>
      <c r="G98" s="108">
        <v>39398</v>
      </c>
      <c r="H98" s="67" t="str">
        <f t="shared" si="2"/>
        <v>Nov</v>
      </c>
      <c r="I98" s="9">
        <f t="shared" ca="1" si="3"/>
        <v>8</v>
      </c>
      <c r="J98" s="8" t="s">
        <v>32</v>
      </c>
      <c r="K98" s="7">
        <v>43960</v>
      </c>
      <c r="L98" s="6">
        <v>4</v>
      </c>
      <c r="M98" s="106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 t="s">
        <v>652</v>
      </c>
      <c r="B99" s="12" t="s">
        <v>13</v>
      </c>
      <c r="C99" s="1" t="s">
        <v>84</v>
      </c>
      <c r="D99" s="85">
        <v>920505896</v>
      </c>
      <c r="E99" s="88">
        <v>2523173691</v>
      </c>
      <c r="F99" s="1" t="s">
        <v>12</v>
      </c>
      <c r="G99" s="108">
        <v>39756</v>
      </c>
      <c r="H99" s="67" t="str">
        <f t="shared" si="2"/>
        <v>Nov</v>
      </c>
      <c r="I99" s="9">
        <f t="shared" ca="1" si="3"/>
        <v>7</v>
      </c>
      <c r="J99" s="8"/>
      <c r="K99" s="7">
        <v>94630</v>
      </c>
      <c r="L99" s="6">
        <v>2</v>
      </c>
      <c r="M99" s="106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 t="s">
        <v>217</v>
      </c>
      <c r="B100" s="12" t="s">
        <v>13</v>
      </c>
      <c r="C100" s="1" t="s">
        <v>84</v>
      </c>
      <c r="D100" s="85">
        <v>272036635</v>
      </c>
      <c r="E100" s="88">
        <v>2521656242</v>
      </c>
      <c r="F100" s="1" t="s">
        <v>5</v>
      </c>
      <c r="G100" s="108">
        <v>38884</v>
      </c>
      <c r="H100" s="67" t="str">
        <f t="shared" si="2"/>
        <v>Jun</v>
      </c>
      <c r="I100" s="9">
        <f t="shared" ca="1" si="3"/>
        <v>10</v>
      </c>
      <c r="J100" s="8" t="s">
        <v>32</v>
      </c>
      <c r="K100" s="7">
        <v>103840</v>
      </c>
      <c r="L100" s="6">
        <v>1</v>
      </c>
      <c r="M100" s="106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 t="s">
        <v>514</v>
      </c>
      <c r="B101" s="12" t="s">
        <v>13</v>
      </c>
      <c r="C101" s="1" t="s">
        <v>84</v>
      </c>
      <c r="D101" s="85">
        <v>207506781</v>
      </c>
      <c r="E101" s="88">
        <v>9194125294</v>
      </c>
      <c r="F101" s="1" t="s">
        <v>5</v>
      </c>
      <c r="G101" s="108">
        <v>40924</v>
      </c>
      <c r="H101" s="67" t="str">
        <f t="shared" si="2"/>
        <v>Jan</v>
      </c>
      <c r="I101" s="9">
        <f t="shared" ca="1" si="3"/>
        <v>4</v>
      </c>
      <c r="J101" s="8" t="s">
        <v>32</v>
      </c>
      <c r="K101" s="7">
        <v>91730</v>
      </c>
      <c r="L101" s="6">
        <v>3</v>
      </c>
      <c r="M101" s="106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 t="s">
        <v>579</v>
      </c>
      <c r="B102" s="12" t="s">
        <v>17</v>
      </c>
      <c r="C102" s="1" t="s">
        <v>84</v>
      </c>
      <c r="D102" s="85">
        <v>106966222</v>
      </c>
      <c r="E102" s="88">
        <v>9198310129</v>
      </c>
      <c r="F102" s="1" t="s">
        <v>12</v>
      </c>
      <c r="G102" s="108">
        <v>40530</v>
      </c>
      <c r="H102" s="67" t="str">
        <f t="shared" si="2"/>
        <v>Dec</v>
      </c>
      <c r="I102" s="9">
        <f t="shared" ca="1" si="3"/>
        <v>5</v>
      </c>
      <c r="J102" s="8"/>
      <c r="K102" s="7">
        <v>42740</v>
      </c>
      <c r="L102" s="6">
        <v>4</v>
      </c>
      <c r="M102" s="106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 t="s">
        <v>574</v>
      </c>
      <c r="B103" s="12" t="s">
        <v>13</v>
      </c>
      <c r="C103" s="1" t="s">
        <v>84</v>
      </c>
      <c r="D103" s="85">
        <v>495042805</v>
      </c>
      <c r="E103" s="88">
        <v>9197146686</v>
      </c>
      <c r="F103" s="1" t="s">
        <v>12</v>
      </c>
      <c r="G103" s="108">
        <v>41254</v>
      </c>
      <c r="H103" s="67" t="str">
        <f t="shared" si="2"/>
        <v>Dec</v>
      </c>
      <c r="I103" s="9">
        <f t="shared" ca="1" si="3"/>
        <v>3</v>
      </c>
      <c r="J103" s="8"/>
      <c r="K103" s="7">
        <v>71220</v>
      </c>
      <c r="L103" s="6">
        <v>5</v>
      </c>
      <c r="M103" s="106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 t="s">
        <v>92</v>
      </c>
      <c r="B104" s="12" t="s">
        <v>10</v>
      </c>
      <c r="C104" s="1" t="s">
        <v>84</v>
      </c>
      <c r="D104" s="85">
        <v>676831149</v>
      </c>
      <c r="E104" s="88">
        <v>9192824485</v>
      </c>
      <c r="F104" s="1" t="s">
        <v>5</v>
      </c>
      <c r="G104" s="108">
        <v>40389</v>
      </c>
      <c r="H104" s="67" t="str">
        <f t="shared" si="2"/>
        <v>Jul</v>
      </c>
      <c r="I104" s="9">
        <f t="shared" ca="1" si="3"/>
        <v>6</v>
      </c>
      <c r="J104" s="8" t="s">
        <v>32</v>
      </c>
      <c r="K104" s="7">
        <v>85340</v>
      </c>
      <c r="L104" s="6">
        <v>4</v>
      </c>
      <c r="M104" s="106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 t="s">
        <v>705</v>
      </c>
      <c r="B105" s="12" t="s">
        <v>13</v>
      </c>
      <c r="C105" s="1" t="s">
        <v>16</v>
      </c>
      <c r="D105" s="85">
        <v>124203063</v>
      </c>
      <c r="E105" s="88">
        <v>9192229885</v>
      </c>
      <c r="F105" s="1" t="s">
        <v>15</v>
      </c>
      <c r="G105" s="108">
        <v>41573</v>
      </c>
      <c r="H105" s="67" t="str">
        <f t="shared" si="2"/>
        <v>Oct</v>
      </c>
      <c r="I105" s="9">
        <f t="shared" ca="1" si="3"/>
        <v>3</v>
      </c>
      <c r="J105" s="8" t="s">
        <v>4</v>
      </c>
      <c r="K105" s="7">
        <v>12620</v>
      </c>
      <c r="L105" s="6">
        <v>4</v>
      </c>
      <c r="M105" s="106"/>
      <c r="N105" s="2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 t="s">
        <v>603</v>
      </c>
      <c r="B106" s="12" t="s">
        <v>17</v>
      </c>
      <c r="C106" s="1" t="s">
        <v>16</v>
      </c>
      <c r="D106" s="85">
        <v>925049144</v>
      </c>
      <c r="E106" s="88">
        <v>2524752921</v>
      </c>
      <c r="F106" s="1" t="s">
        <v>5</v>
      </c>
      <c r="G106" s="108">
        <v>37250</v>
      </c>
      <c r="H106" s="67" t="str">
        <f t="shared" si="2"/>
        <v>Dec</v>
      </c>
      <c r="I106" s="9">
        <f t="shared" ca="1" si="3"/>
        <v>14</v>
      </c>
      <c r="J106" s="8" t="s">
        <v>32</v>
      </c>
      <c r="K106" s="7">
        <v>59830</v>
      </c>
      <c r="L106" s="6">
        <v>2</v>
      </c>
      <c r="M106" s="106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 t="s">
        <v>734</v>
      </c>
      <c r="B107" s="12" t="s">
        <v>10</v>
      </c>
      <c r="C107" s="1" t="s">
        <v>16</v>
      </c>
      <c r="D107" s="85">
        <v>313651312</v>
      </c>
      <c r="E107" s="88">
        <v>2526092172</v>
      </c>
      <c r="F107" s="1" t="s">
        <v>5</v>
      </c>
      <c r="G107" s="108">
        <v>37183</v>
      </c>
      <c r="H107" s="67" t="str">
        <f t="shared" si="2"/>
        <v>Oct</v>
      </c>
      <c r="I107" s="9">
        <f t="shared" ca="1" si="3"/>
        <v>15</v>
      </c>
      <c r="J107" s="8" t="s">
        <v>4</v>
      </c>
      <c r="K107" s="7">
        <v>81960</v>
      </c>
      <c r="L107" s="6">
        <v>5</v>
      </c>
      <c r="M107" s="106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 t="s">
        <v>18</v>
      </c>
      <c r="B108" s="12" t="s">
        <v>17</v>
      </c>
      <c r="C108" s="1" t="s">
        <v>16</v>
      </c>
      <c r="D108" s="85">
        <v>324622113</v>
      </c>
      <c r="E108" s="88">
        <v>9198824849</v>
      </c>
      <c r="F108" s="1" t="s">
        <v>15</v>
      </c>
      <c r="G108" s="108">
        <v>41517</v>
      </c>
      <c r="H108" s="67" t="str">
        <f t="shared" si="2"/>
        <v>Aug</v>
      </c>
      <c r="I108" s="9">
        <f t="shared" ca="1" si="3"/>
        <v>3</v>
      </c>
      <c r="J108" s="8" t="s">
        <v>4</v>
      </c>
      <c r="K108" s="7">
        <v>34350</v>
      </c>
      <c r="L108" s="6">
        <v>1</v>
      </c>
      <c r="M108" s="106"/>
      <c r="N108" s="2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 t="s">
        <v>455</v>
      </c>
      <c r="B109" s="12" t="s">
        <v>17</v>
      </c>
      <c r="C109" s="1" t="s">
        <v>16</v>
      </c>
      <c r="D109" s="85">
        <v>651995963</v>
      </c>
      <c r="E109" s="88">
        <v>9194944945</v>
      </c>
      <c r="F109" s="1" t="s">
        <v>0</v>
      </c>
      <c r="G109" s="108">
        <v>41314</v>
      </c>
      <c r="H109" s="67" t="str">
        <f t="shared" si="2"/>
        <v>Feb</v>
      </c>
      <c r="I109" s="9">
        <f t="shared" ca="1" si="3"/>
        <v>3</v>
      </c>
      <c r="J109" s="8"/>
      <c r="K109" s="7">
        <v>32980</v>
      </c>
      <c r="L109" s="6">
        <v>4</v>
      </c>
      <c r="M109" s="106"/>
      <c r="N109" s="2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 t="s">
        <v>614</v>
      </c>
      <c r="B110" s="12" t="s">
        <v>2</v>
      </c>
      <c r="C110" s="1" t="s">
        <v>16</v>
      </c>
      <c r="D110" s="85">
        <v>452692136</v>
      </c>
      <c r="E110" s="88">
        <v>2524106437</v>
      </c>
      <c r="F110" s="1" t="s">
        <v>5</v>
      </c>
      <c r="G110" s="108">
        <v>36515</v>
      </c>
      <c r="H110" s="67" t="str">
        <f t="shared" si="2"/>
        <v>Dec</v>
      </c>
      <c r="I110" s="9">
        <f t="shared" ca="1" si="3"/>
        <v>16</v>
      </c>
      <c r="J110" s="8" t="s">
        <v>19</v>
      </c>
      <c r="K110" s="7">
        <v>31810</v>
      </c>
      <c r="L110" s="6">
        <v>1</v>
      </c>
      <c r="M110" s="106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 t="s">
        <v>583</v>
      </c>
      <c r="B111" s="12" t="s">
        <v>13</v>
      </c>
      <c r="C111" s="1" t="s">
        <v>16</v>
      </c>
      <c r="D111" s="85">
        <v>510190628</v>
      </c>
      <c r="E111" s="88">
        <v>2527405629</v>
      </c>
      <c r="F111" s="1" t="s">
        <v>5</v>
      </c>
      <c r="G111" s="108">
        <v>40148</v>
      </c>
      <c r="H111" s="67" t="str">
        <f t="shared" si="2"/>
        <v>Dec</v>
      </c>
      <c r="I111" s="9">
        <f t="shared" ca="1" si="3"/>
        <v>6</v>
      </c>
      <c r="J111" s="8" t="s">
        <v>4</v>
      </c>
      <c r="K111" s="7">
        <v>52420</v>
      </c>
      <c r="L111" s="6">
        <v>5</v>
      </c>
      <c r="M111" s="106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 t="s">
        <v>392</v>
      </c>
      <c r="B112" s="12" t="s">
        <v>13</v>
      </c>
      <c r="C112" s="1" t="s">
        <v>16</v>
      </c>
      <c r="D112" s="85">
        <v>405297884</v>
      </c>
      <c r="E112" s="88">
        <v>2524747044</v>
      </c>
      <c r="F112" s="1" t="s">
        <v>5</v>
      </c>
      <c r="G112" s="108">
        <v>34072</v>
      </c>
      <c r="H112" s="67" t="str">
        <f t="shared" si="2"/>
        <v>Apr</v>
      </c>
      <c r="I112" s="9">
        <f t="shared" ca="1" si="3"/>
        <v>23</v>
      </c>
      <c r="J112" s="8" t="s">
        <v>4</v>
      </c>
      <c r="K112" s="7">
        <v>82870</v>
      </c>
      <c r="L112" s="6">
        <v>1</v>
      </c>
      <c r="M112" s="106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 t="s">
        <v>749</v>
      </c>
      <c r="B113" s="12" t="s">
        <v>17</v>
      </c>
      <c r="C113" s="1" t="s">
        <v>16</v>
      </c>
      <c r="D113" s="85">
        <v>943671719</v>
      </c>
      <c r="E113" s="88">
        <v>9193517837</v>
      </c>
      <c r="F113" s="1" t="s">
        <v>5</v>
      </c>
      <c r="G113" s="108">
        <v>36450</v>
      </c>
      <c r="H113" s="67" t="str">
        <f t="shared" si="2"/>
        <v>Oct</v>
      </c>
      <c r="I113" s="9">
        <f t="shared" ca="1" si="3"/>
        <v>17</v>
      </c>
      <c r="J113" s="8" t="s">
        <v>4</v>
      </c>
      <c r="K113" s="7">
        <v>27500</v>
      </c>
      <c r="L113" s="6">
        <v>3</v>
      </c>
      <c r="M113" s="106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 t="s">
        <v>772</v>
      </c>
      <c r="B114" s="12" t="s">
        <v>17</v>
      </c>
      <c r="C114" s="1" t="s">
        <v>44</v>
      </c>
      <c r="D114" s="85">
        <v>690374765</v>
      </c>
      <c r="E114" s="88">
        <v>2525786813</v>
      </c>
      <c r="F114" s="1" t="s">
        <v>5</v>
      </c>
      <c r="G114" s="108">
        <v>34614</v>
      </c>
      <c r="H114" s="67" t="str">
        <f t="shared" si="2"/>
        <v>Oct</v>
      </c>
      <c r="I114" s="9">
        <f t="shared" ca="1" si="3"/>
        <v>22</v>
      </c>
      <c r="J114" s="8" t="s">
        <v>19</v>
      </c>
      <c r="K114" s="7">
        <v>99000</v>
      </c>
      <c r="L114" s="6">
        <v>5</v>
      </c>
      <c r="M114" s="106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 t="s">
        <v>791</v>
      </c>
      <c r="B115" s="12" t="s">
        <v>56</v>
      </c>
      <c r="C115" s="1" t="s">
        <v>44</v>
      </c>
      <c r="D115" s="85">
        <v>938508346</v>
      </c>
      <c r="E115" s="89">
        <v>2526738901</v>
      </c>
      <c r="F115" s="1" t="s">
        <v>12</v>
      </c>
      <c r="G115" s="108">
        <v>34246</v>
      </c>
      <c r="H115" s="67" t="str">
        <f t="shared" si="2"/>
        <v>Oct</v>
      </c>
      <c r="I115" s="9">
        <f t="shared" ca="1" si="3"/>
        <v>23</v>
      </c>
      <c r="J115" s="8"/>
      <c r="K115" s="7">
        <v>96060</v>
      </c>
      <c r="L115" s="6">
        <v>2</v>
      </c>
      <c r="M115" s="106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 t="s">
        <v>353</v>
      </c>
      <c r="B116" s="12" t="s">
        <v>2</v>
      </c>
      <c r="C116" s="1" t="s">
        <v>44</v>
      </c>
      <c r="D116" s="85">
        <v>707882019</v>
      </c>
      <c r="E116" s="88">
        <v>2523373445</v>
      </c>
      <c r="F116" s="1" t="s">
        <v>12</v>
      </c>
      <c r="G116" s="108">
        <v>37343</v>
      </c>
      <c r="H116" s="67" t="str">
        <f t="shared" si="2"/>
        <v>Mar</v>
      </c>
      <c r="I116" s="9">
        <f t="shared" ca="1" si="3"/>
        <v>14</v>
      </c>
      <c r="J116" s="8"/>
      <c r="K116" s="7">
        <v>104360</v>
      </c>
      <c r="L116" s="6">
        <v>4</v>
      </c>
      <c r="M116" s="106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 t="s">
        <v>657</v>
      </c>
      <c r="B117" s="12" t="s">
        <v>10</v>
      </c>
      <c r="C117" s="1" t="s">
        <v>44</v>
      </c>
      <c r="D117" s="85">
        <v>581823751</v>
      </c>
      <c r="E117" s="88">
        <v>2528577225</v>
      </c>
      <c r="F117" s="1" t="s">
        <v>12</v>
      </c>
      <c r="G117" s="108">
        <v>38668</v>
      </c>
      <c r="H117" s="67" t="str">
        <f t="shared" si="2"/>
        <v>Nov</v>
      </c>
      <c r="I117" s="9">
        <f t="shared" ca="1" si="3"/>
        <v>10</v>
      </c>
      <c r="J117" s="8"/>
      <c r="K117" s="7">
        <v>88070</v>
      </c>
      <c r="L117" s="6">
        <v>2</v>
      </c>
      <c r="M117" s="106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 t="s">
        <v>115</v>
      </c>
      <c r="B118" s="12" t="s">
        <v>17</v>
      </c>
      <c r="C118" s="1" t="s">
        <v>44</v>
      </c>
      <c r="D118" s="85">
        <v>197789466</v>
      </c>
      <c r="E118" s="88">
        <v>9191472895</v>
      </c>
      <c r="F118" s="1" t="s">
        <v>12</v>
      </c>
      <c r="G118" s="108">
        <v>36738</v>
      </c>
      <c r="H118" s="67" t="str">
        <f t="shared" si="2"/>
        <v>Jul</v>
      </c>
      <c r="I118" s="9">
        <f t="shared" ca="1" si="3"/>
        <v>16</v>
      </c>
      <c r="J118" s="8"/>
      <c r="K118" s="7">
        <v>91220</v>
      </c>
      <c r="L118" s="6">
        <v>1</v>
      </c>
      <c r="M118" s="106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 t="s">
        <v>680</v>
      </c>
      <c r="B119" s="12" t="s">
        <v>2</v>
      </c>
      <c r="C119" s="1" t="s">
        <v>44</v>
      </c>
      <c r="D119" s="85">
        <v>291798311</v>
      </c>
      <c r="E119" s="88">
        <v>2526742736</v>
      </c>
      <c r="F119" s="1" t="s">
        <v>5</v>
      </c>
      <c r="G119" s="108">
        <v>36488</v>
      </c>
      <c r="H119" s="67" t="str">
        <f t="shared" si="2"/>
        <v>Nov</v>
      </c>
      <c r="I119" s="9">
        <f t="shared" ca="1" si="3"/>
        <v>16</v>
      </c>
      <c r="J119" s="8" t="s">
        <v>32</v>
      </c>
      <c r="K119" s="7">
        <v>96140</v>
      </c>
      <c r="L119" s="6">
        <v>4</v>
      </c>
      <c r="M119" s="106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 t="s">
        <v>45</v>
      </c>
      <c r="B120" s="12" t="s">
        <v>2</v>
      </c>
      <c r="C120" s="1" t="s">
        <v>44</v>
      </c>
      <c r="D120" s="85">
        <v>434927073</v>
      </c>
      <c r="E120" s="88">
        <v>2528440900</v>
      </c>
      <c r="F120" s="1" t="s">
        <v>5</v>
      </c>
      <c r="G120" s="108">
        <v>38613</v>
      </c>
      <c r="H120" s="67" t="str">
        <f t="shared" si="2"/>
        <v>Sep</v>
      </c>
      <c r="I120" s="9">
        <f t="shared" ca="1" si="3"/>
        <v>11</v>
      </c>
      <c r="J120" s="8" t="s">
        <v>19</v>
      </c>
      <c r="K120" s="7">
        <v>47690</v>
      </c>
      <c r="L120" s="6">
        <v>1</v>
      </c>
      <c r="M120" s="106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 t="s">
        <v>310</v>
      </c>
      <c r="B121" s="12" t="s">
        <v>13</v>
      </c>
      <c r="C121" s="1" t="s">
        <v>44</v>
      </c>
      <c r="D121" s="85">
        <v>685953695</v>
      </c>
      <c r="E121" s="88">
        <v>9196756847</v>
      </c>
      <c r="F121" s="1" t="s">
        <v>5</v>
      </c>
      <c r="G121" s="108">
        <v>34824</v>
      </c>
      <c r="H121" s="67" t="str">
        <f t="shared" si="2"/>
        <v>May</v>
      </c>
      <c r="I121" s="9">
        <f t="shared" ca="1" si="3"/>
        <v>21</v>
      </c>
      <c r="J121" s="8" t="s">
        <v>4</v>
      </c>
      <c r="K121" s="7">
        <v>99310</v>
      </c>
      <c r="L121" s="6">
        <v>4</v>
      </c>
      <c r="M121" s="106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 t="s">
        <v>736</v>
      </c>
      <c r="B122" s="12" t="s">
        <v>56</v>
      </c>
      <c r="C122" s="1" t="s">
        <v>44</v>
      </c>
      <c r="D122" s="85">
        <v>843875501</v>
      </c>
      <c r="E122" s="88">
        <v>2522715355</v>
      </c>
      <c r="F122" s="1" t="s">
        <v>12</v>
      </c>
      <c r="G122" s="108">
        <v>37177</v>
      </c>
      <c r="H122" s="67" t="str">
        <f t="shared" si="2"/>
        <v>Oct</v>
      </c>
      <c r="I122" s="9">
        <f t="shared" ca="1" si="3"/>
        <v>15</v>
      </c>
      <c r="J122" s="8"/>
      <c r="K122" s="7">
        <v>39530</v>
      </c>
      <c r="L122" s="6">
        <v>5</v>
      </c>
      <c r="M122" s="106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 t="s">
        <v>759</v>
      </c>
      <c r="B123" s="12" t="s">
        <v>13</v>
      </c>
      <c r="C123" s="1" t="s">
        <v>44</v>
      </c>
      <c r="D123" s="85">
        <v>585815837</v>
      </c>
      <c r="E123" s="88">
        <v>9194983657</v>
      </c>
      <c r="F123" s="1" t="s">
        <v>15</v>
      </c>
      <c r="G123" s="108">
        <v>34995</v>
      </c>
      <c r="H123" s="67" t="str">
        <f t="shared" si="2"/>
        <v>Oct</v>
      </c>
      <c r="I123" s="9">
        <f t="shared" ca="1" si="3"/>
        <v>21</v>
      </c>
      <c r="J123" s="8" t="s">
        <v>8</v>
      </c>
      <c r="K123" s="7">
        <v>22390</v>
      </c>
      <c r="L123" s="6">
        <v>4</v>
      </c>
      <c r="M123" s="106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 t="s">
        <v>175</v>
      </c>
      <c r="B124" s="12" t="s">
        <v>17</v>
      </c>
      <c r="C124" s="1" t="s">
        <v>44</v>
      </c>
      <c r="D124" s="85">
        <v>863161920</v>
      </c>
      <c r="E124" s="88">
        <v>2523748373</v>
      </c>
      <c r="F124" s="1" t="s">
        <v>5</v>
      </c>
      <c r="G124" s="108">
        <v>37078</v>
      </c>
      <c r="H124" s="67" t="str">
        <f t="shared" si="2"/>
        <v>Jul</v>
      </c>
      <c r="I124" s="9">
        <f t="shared" ca="1" si="3"/>
        <v>15</v>
      </c>
      <c r="J124" s="8" t="s">
        <v>4</v>
      </c>
      <c r="K124" s="7">
        <v>60130</v>
      </c>
      <c r="L124" s="6">
        <v>1</v>
      </c>
      <c r="M124" s="106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 t="s">
        <v>283</v>
      </c>
      <c r="B125" s="12" t="s">
        <v>17</v>
      </c>
      <c r="C125" s="1" t="s">
        <v>44</v>
      </c>
      <c r="D125" s="85">
        <v>469591073</v>
      </c>
      <c r="E125" s="88">
        <v>2523327522</v>
      </c>
      <c r="F125" s="1" t="s">
        <v>5</v>
      </c>
      <c r="G125" s="108">
        <v>38114</v>
      </c>
      <c r="H125" s="67" t="str">
        <f t="shared" si="2"/>
        <v>May</v>
      </c>
      <c r="I125" s="9">
        <f t="shared" ca="1" si="3"/>
        <v>12</v>
      </c>
      <c r="J125" s="8" t="s">
        <v>19</v>
      </c>
      <c r="K125" s="7">
        <v>73380</v>
      </c>
      <c r="L125" s="6">
        <v>4</v>
      </c>
      <c r="M125" s="106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 t="s">
        <v>138</v>
      </c>
      <c r="B126" s="12" t="s">
        <v>13</v>
      </c>
      <c r="C126" s="1" t="s">
        <v>44</v>
      </c>
      <c r="D126" s="85">
        <v>828996583</v>
      </c>
      <c r="E126" s="88">
        <v>2521282202</v>
      </c>
      <c r="F126" s="1" t="s">
        <v>0</v>
      </c>
      <c r="G126" s="108">
        <v>34184</v>
      </c>
      <c r="H126" s="67" t="str">
        <f t="shared" si="2"/>
        <v>Aug</v>
      </c>
      <c r="I126" s="9">
        <f t="shared" ca="1" si="3"/>
        <v>23</v>
      </c>
      <c r="J126" s="8"/>
      <c r="K126" s="7">
        <v>17650</v>
      </c>
      <c r="L126" s="6">
        <v>5</v>
      </c>
      <c r="M126" s="106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 t="s">
        <v>296</v>
      </c>
      <c r="B127" s="12" t="s">
        <v>13</v>
      </c>
      <c r="C127" s="1" t="s">
        <v>44</v>
      </c>
      <c r="D127" s="85">
        <v>195245117</v>
      </c>
      <c r="E127" s="88">
        <v>9193451072</v>
      </c>
      <c r="F127" s="1" t="s">
        <v>0</v>
      </c>
      <c r="G127" s="108">
        <v>36674</v>
      </c>
      <c r="H127" s="67" t="str">
        <f t="shared" si="2"/>
        <v>May</v>
      </c>
      <c r="I127" s="9">
        <f t="shared" ca="1" si="3"/>
        <v>16</v>
      </c>
      <c r="J127" s="8"/>
      <c r="K127" s="7">
        <v>15210</v>
      </c>
      <c r="L127" s="6">
        <v>2</v>
      </c>
      <c r="M127" s="106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 t="s">
        <v>387</v>
      </c>
      <c r="B128" s="12" t="s">
        <v>39</v>
      </c>
      <c r="C128" s="1" t="s">
        <v>44</v>
      </c>
      <c r="D128" s="85">
        <v>719937584</v>
      </c>
      <c r="E128" s="88">
        <v>9191653055</v>
      </c>
      <c r="F128" s="1" t="s">
        <v>5</v>
      </c>
      <c r="G128" s="108">
        <v>34448</v>
      </c>
      <c r="H128" s="67" t="str">
        <f t="shared" si="2"/>
        <v>Apr</v>
      </c>
      <c r="I128" s="9">
        <f t="shared" ca="1" si="3"/>
        <v>22</v>
      </c>
      <c r="J128" s="8" t="s">
        <v>4</v>
      </c>
      <c r="K128" s="7">
        <v>45140</v>
      </c>
      <c r="L128" s="6">
        <v>5</v>
      </c>
      <c r="M128" s="106"/>
      <c r="N128" s="16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 t="s">
        <v>622</v>
      </c>
      <c r="B129" s="12" t="s">
        <v>39</v>
      </c>
      <c r="C129" s="1" t="s">
        <v>44</v>
      </c>
      <c r="D129" s="85">
        <v>681596577</v>
      </c>
      <c r="E129" s="88">
        <v>9192387348</v>
      </c>
      <c r="F129" s="1" t="s">
        <v>12</v>
      </c>
      <c r="G129" s="108">
        <v>36151</v>
      </c>
      <c r="H129" s="67" t="str">
        <f t="shared" si="2"/>
        <v>Dec</v>
      </c>
      <c r="I129" s="9">
        <f t="shared" ca="1" si="3"/>
        <v>17</v>
      </c>
      <c r="J129" s="8"/>
      <c r="K129" s="7">
        <v>42310</v>
      </c>
      <c r="L129" s="6">
        <v>2</v>
      </c>
      <c r="M129" s="106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 t="s">
        <v>429</v>
      </c>
      <c r="B130" s="12" t="s">
        <v>17</v>
      </c>
      <c r="C130" s="1" t="s">
        <v>44</v>
      </c>
      <c r="D130" s="85">
        <v>526188716</v>
      </c>
      <c r="E130" s="88">
        <v>2527230063</v>
      </c>
      <c r="F130" s="1" t="s">
        <v>12</v>
      </c>
      <c r="G130" s="108">
        <v>36960</v>
      </c>
      <c r="H130" s="67" t="str">
        <f t="shared" ref="H130:H193" si="4">CHOOSE(MONTH(G130),"Jan","Feb","Mar","Apr","May","Jun","Jul","Aug","Sep","Oct","Nov","Dec")</f>
        <v>Mar</v>
      </c>
      <c r="I130" s="9">
        <f t="shared" ref="I130:I193" ca="1" si="5">DATEDIF(G130,TODAY(),"Y")</f>
        <v>15</v>
      </c>
      <c r="J130" s="8"/>
      <c r="K130" s="7">
        <v>77360</v>
      </c>
      <c r="L130" s="6">
        <v>3</v>
      </c>
      <c r="M130" s="106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 t="s">
        <v>351</v>
      </c>
      <c r="B131" s="12" t="s">
        <v>17</v>
      </c>
      <c r="C131" s="1" t="s">
        <v>44</v>
      </c>
      <c r="D131" s="85">
        <v>907491320</v>
      </c>
      <c r="E131" s="88">
        <v>2525724528</v>
      </c>
      <c r="F131" s="1" t="s">
        <v>15</v>
      </c>
      <c r="G131" s="108">
        <v>37358</v>
      </c>
      <c r="H131" s="67" t="str">
        <f t="shared" si="4"/>
        <v>Apr</v>
      </c>
      <c r="I131" s="9">
        <f t="shared" ca="1" si="5"/>
        <v>14</v>
      </c>
      <c r="J131" s="8" t="s">
        <v>8</v>
      </c>
      <c r="K131" s="7">
        <v>51490</v>
      </c>
      <c r="L131" s="6">
        <v>1</v>
      </c>
      <c r="M131" s="106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 t="s">
        <v>534</v>
      </c>
      <c r="B132" s="12" t="s">
        <v>13</v>
      </c>
      <c r="C132" s="1" t="s">
        <v>44</v>
      </c>
      <c r="D132" s="85">
        <v>694800128</v>
      </c>
      <c r="E132" s="88">
        <v>9197111802</v>
      </c>
      <c r="F132" s="1" t="s">
        <v>5</v>
      </c>
      <c r="G132" s="108">
        <v>37270</v>
      </c>
      <c r="H132" s="67" t="str">
        <f t="shared" si="4"/>
        <v>Jan</v>
      </c>
      <c r="I132" s="9">
        <f t="shared" ca="1" si="5"/>
        <v>14</v>
      </c>
      <c r="J132" s="8" t="s">
        <v>4</v>
      </c>
      <c r="K132" s="7">
        <v>73600</v>
      </c>
      <c r="L132" s="6">
        <v>1</v>
      </c>
      <c r="M132" s="106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 t="s">
        <v>278</v>
      </c>
      <c r="B133" s="12" t="s">
        <v>13</v>
      </c>
      <c r="C133" s="1" t="s">
        <v>247</v>
      </c>
      <c r="D133" s="85">
        <v>850210766</v>
      </c>
      <c r="E133" s="88">
        <v>2527838614</v>
      </c>
      <c r="F133" s="1" t="s">
        <v>5</v>
      </c>
      <c r="G133" s="108">
        <v>39588</v>
      </c>
      <c r="H133" s="67" t="str">
        <f t="shared" si="4"/>
        <v>May</v>
      </c>
      <c r="I133" s="9">
        <f t="shared" ca="1" si="5"/>
        <v>8</v>
      </c>
      <c r="J133" s="8" t="s">
        <v>32</v>
      </c>
      <c r="K133" s="7">
        <v>56820</v>
      </c>
      <c r="L133" s="6">
        <v>5</v>
      </c>
      <c r="M133" s="106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 t="s">
        <v>401</v>
      </c>
      <c r="B134" s="12" t="s">
        <v>13</v>
      </c>
      <c r="C134" s="1" t="s">
        <v>247</v>
      </c>
      <c r="D134" s="85">
        <v>699053064</v>
      </c>
      <c r="E134" s="88">
        <v>9191299076</v>
      </c>
      <c r="F134" s="1" t="s">
        <v>12</v>
      </c>
      <c r="G134" s="108">
        <v>39528</v>
      </c>
      <c r="H134" s="67" t="str">
        <f t="shared" si="4"/>
        <v>Mar</v>
      </c>
      <c r="I134" s="9">
        <f t="shared" ca="1" si="5"/>
        <v>8</v>
      </c>
      <c r="J134" s="8"/>
      <c r="K134" s="7">
        <v>72070</v>
      </c>
      <c r="L134" s="6">
        <v>2</v>
      </c>
      <c r="M134" s="106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 t="s">
        <v>270</v>
      </c>
      <c r="B135" s="12" t="s">
        <v>39</v>
      </c>
      <c r="C135" s="1" t="s">
        <v>247</v>
      </c>
      <c r="D135" s="85">
        <v>914041569</v>
      </c>
      <c r="E135" s="88">
        <v>9196082608</v>
      </c>
      <c r="F135" s="1" t="s">
        <v>5</v>
      </c>
      <c r="G135" s="108">
        <v>41401</v>
      </c>
      <c r="H135" s="67" t="str">
        <f t="shared" si="4"/>
        <v>May</v>
      </c>
      <c r="I135" s="9">
        <f t="shared" ca="1" si="5"/>
        <v>3</v>
      </c>
      <c r="J135" s="8" t="s">
        <v>4</v>
      </c>
      <c r="K135" s="7">
        <v>94980</v>
      </c>
      <c r="L135" s="6">
        <v>2</v>
      </c>
      <c r="M135" s="106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 t="s">
        <v>660</v>
      </c>
      <c r="B136" s="12" t="s">
        <v>39</v>
      </c>
      <c r="C136" s="1" t="s">
        <v>247</v>
      </c>
      <c r="D136" s="85">
        <v>885773638</v>
      </c>
      <c r="E136" s="88">
        <v>9196188082</v>
      </c>
      <c r="F136" s="1" t="s">
        <v>5</v>
      </c>
      <c r="G136" s="108">
        <v>37570</v>
      </c>
      <c r="H136" s="67" t="str">
        <f t="shared" si="4"/>
        <v>Nov</v>
      </c>
      <c r="I136" s="9">
        <f t="shared" ca="1" si="5"/>
        <v>13</v>
      </c>
      <c r="J136" s="8" t="s">
        <v>4</v>
      </c>
      <c r="K136" s="7">
        <v>90070</v>
      </c>
      <c r="L136" s="6">
        <v>5</v>
      </c>
      <c r="M136" s="106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 t="s">
        <v>248</v>
      </c>
      <c r="B137" s="12" t="s">
        <v>17</v>
      </c>
      <c r="C137" s="1" t="s">
        <v>247</v>
      </c>
      <c r="D137" s="85">
        <v>999789446</v>
      </c>
      <c r="E137" s="88">
        <v>2521696804</v>
      </c>
      <c r="F137" s="1" t="s">
        <v>5</v>
      </c>
      <c r="G137" s="108">
        <v>36330</v>
      </c>
      <c r="H137" s="67" t="str">
        <f t="shared" si="4"/>
        <v>Jun</v>
      </c>
      <c r="I137" s="9">
        <f t="shared" ca="1" si="5"/>
        <v>17</v>
      </c>
      <c r="J137" s="8" t="s">
        <v>32</v>
      </c>
      <c r="K137" s="7">
        <v>80090</v>
      </c>
      <c r="L137" s="6">
        <v>2</v>
      </c>
      <c r="M137" s="106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 t="s">
        <v>753</v>
      </c>
      <c r="B138" s="12" t="s">
        <v>17</v>
      </c>
      <c r="C138" s="1" t="s">
        <v>72</v>
      </c>
      <c r="D138" s="85">
        <v>707553376</v>
      </c>
      <c r="E138" s="88">
        <v>9194194193</v>
      </c>
      <c r="F138" s="1" t="s">
        <v>5</v>
      </c>
      <c r="G138" s="108">
        <v>36085</v>
      </c>
      <c r="H138" s="67" t="str">
        <f t="shared" si="4"/>
        <v>Oct</v>
      </c>
      <c r="I138" s="9">
        <f t="shared" ca="1" si="5"/>
        <v>18</v>
      </c>
      <c r="J138" s="8" t="s">
        <v>8</v>
      </c>
      <c r="K138" s="7">
        <v>59110</v>
      </c>
      <c r="L138" s="6">
        <v>3</v>
      </c>
      <c r="M138" s="106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 t="s">
        <v>722</v>
      </c>
      <c r="B139" s="12" t="s">
        <v>13</v>
      </c>
      <c r="C139" s="1" t="s">
        <v>72</v>
      </c>
      <c r="D139" s="85">
        <v>575648597</v>
      </c>
      <c r="E139" s="88">
        <v>9198865267</v>
      </c>
      <c r="F139" s="1" t="s">
        <v>12</v>
      </c>
      <c r="G139" s="108">
        <v>38642</v>
      </c>
      <c r="H139" s="67" t="str">
        <f t="shared" si="4"/>
        <v>Oct</v>
      </c>
      <c r="I139" s="9">
        <f t="shared" ca="1" si="5"/>
        <v>11</v>
      </c>
      <c r="J139" s="8"/>
      <c r="K139" s="7">
        <v>38360</v>
      </c>
      <c r="L139" s="6">
        <v>5</v>
      </c>
      <c r="M139" s="106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 t="s">
        <v>754</v>
      </c>
      <c r="B140" s="12" t="s">
        <v>13</v>
      </c>
      <c r="C140" s="1" t="s">
        <v>72</v>
      </c>
      <c r="D140" s="85">
        <v>425598783</v>
      </c>
      <c r="E140" s="88">
        <v>9191559081</v>
      </c>
      <c r="F140" s="1" t="s">
        <v>15</v>
      </c>
      <c r="G140" s="108">
        <v>36071</v>
      </c>
      <c r="H140" s="67" t="str">
        <f t="shared" si="4"/>
        <v>Oct</v>
      </c>
      <c r="I140" s="9">
        <f t="shared" ca="1" si="5"/>
        <v>18</v>
      </c>
      <c r="J140" s="8" t="s">
        <v>8</v>
      </c>
      <c r="K140" s="7">
        <v>25460</v>
      </c>
      <c r="L140" s="6">
        <v>3</v>
      </c>
      <c r="M140" s="106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 t="s">
        <v>171</v>
      </c>
      <c r="B141" s="12" t="s">
        <v>56</v>
      </c>
      <c r="C141" s="1" t="s">
        <v>72</v>
      </c>
      <c r="D141" s="85">
        <v>212136062</v>
      </c>
      <c r="E141" s="88">
        <v>9197226463</v>
      </c>
      <c r="F141" s="1" t="s">
        <v>5</v>
      </c>
      <c r="G141" s="108">
        <v>37083</v>
      </c>
      <c r="H141" s="67" t="str">
        <f t="shared" si="4"/>
        <v>Jul</v>
      </c>
      <c r="I141" s="9">
        <f t="shared" ca="1" si="5"/>
        <v>15</v>
      </c>
      <c r="J141" s="8" t="s">
        <v>4</v>
      </c>
      <c r="K141" s="7">
        <v>98880</v>
      </c>
      <c r="L141" s="6">
        <v>2</v>
      </c>
      <c r="M141" s="106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 t="s">
        <v>256</v>
      </c>
      <c r="B142" s="12" t="s">
        <v>10</v>
      </c>
      <c r="C142" s="1" t="s">
        <v>72</v>
      </c>
      <c r="D142" s="85">
        <v>291841866</v>
      </c>
      <c r="E142" s="88">
        <v>9191534053</v>
      </c>
      <c r="F142" s="1" t="s">
        <v>5</v>
      </c>
      <c r="G142" s="108">
        <v>34873</v>
      </c>
      <c r="H142" s="67" t="str">
        <f t="shared" si="4"/>
        <v>Jun</v>
      </c>
      <c r="I142" s="9">
        <f t="shared" ca="1" si="5"/>
        <v>21</v>
      </c>
      <c r="J142" s="8" t="s">
        <v>32</v>
      </c>
      <c r="K142" s="7">
        <v>77410</v>
      </c>
      <c r="L142" s="6">
        <v>3</v>
      </c>
      <c r="M142" s="106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 t="s">
        <v>89</v>
      </c>
      <c r="B143" s="12" t="s">
        <v>17</v>
      </c>
      <c r="C143" s="1" t="s">
        <v>72</v>
      </c>
      <c r="D143" s="85">
        <v>736688620</v>
      </c>
      <c r="E143" s="88">
        <v>2524562999</v>
      </c>
      <c r="F143" s="1" t="s">
        <v>15</v>
      </c>
      <c r="G143" s="108">
        <v>40769</v>
      </c>
      <c r="H143" s="67" t="str">
        <f t="shared" si="4"/>
        <v>Aug</v>
      </c>
      <c r="I143" s="9">
        <f t="shared" ca="1" si="5"/>
        <v>5</v>
      </c>
      <c r="J143" s="8" t="s">
        <v>32</v>
      </c>
      <c r="K143" s="7">
        <v>47420</v>
      </c>
      <c r="L143" s="6">
        <v>5</v>
      </c>
      <c r="M143" s="106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 t="s">
        <v>493</v>
      </c>
      <c r="B144" s="12" t="s">
        <v>13</v>
      </c>
      <c r="C144" s="1" t="s">
        <v>72</v>
      </c>
      <c r="D144" s="85">
        <v>393051351</v>
      </c>
      <c r="E144" s="88">
        <v>9197508998</v>
      </c>
      <c r="F144" s="1" t="s">
        <v>15</v>
      </c>
      <c r="G144" s="108">
        <v>36187</v>
      </c>
      <c r="H144" s="67" t="str">
        <f t="shared" si="4"/>
        <v>Jan</v>
      </c>
      <c r="I144" s="9">
        <f t="shared" ca="1" si="5"/>
        <v>17</v>
      </c>
      <c r="J144" s="8" t="s">
        <v>8</v>
      </c>
      <c r="K144" s="7">
        <v>39400</v>
      </c>
      <c r="L144" s="6">
        <v>2</v>
      </c>
      <c r="M144" s="106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 t="s">
        <v>271</v>
      </c>
      <c r="B145" s="12" t="s">
        <v>17</v>
      </c>
      <c r="C145" s="1" t="s">
        <v>72</v>
      </c>
      <c r="D145" s="85">
        <v>518690148</v>
      </c>
      <c r="E145" s="88">
        <v>2526500529</v>
      </c>
      <c r="F145" s="1" t="s">
        <v>5</v>
      </c>
      <c r="G145" s="108">
        <v>41400</v>
      </c>
      <c r="H145" s="67" t="str">
        <f t="shared" si="4"/>
        <v>May</v>
      </c>
      <c r="I145" s="9">
        <f t="shared" ca="1" si="5"/>
        <v>3</v>
      </c>
      <c r="J145" s="8" t="s">
        <v>19</v>
      </c>
      <c r="K145" s="7">
        <v>39170</v>
      </c>
      <c r="L145" s="6">
        <v>4</v>
      </c>
      <c r="M145" s="106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 t="s">
        <v>365</v>
      </c>
      <c r="B146" s="12" t="s">
        <v>13</v>
      </c>
      <c r="C146" s="1" t="s">
        <v>72</v>
      </c>
      <c r="D146" s="85">
        <v>110184347</v>
      </c>
      <c r="E146" s="88">
        <v>2526166452</v>
      </c>
      <c r="F146" s="1" t="s">
        <v>5</v>
      </c>
      <c r="G146" s="108">
        <v>36254</v>
      </c>
      <c r="H146" s="67" t="str">
        <f t="shared" si="4"/>
        <v>Apr</v>
      </c>
      <c r="I146" s="9">
        <f t="shared" ca="1" si="5"/>
        <v>17</v>
      </c>
      <c r="J146" s="8" t="s">
        <v>32</v>
      </c>
      <c r="K146" s="7">
        <v>76540</v>
      </c>
      <c r="L146" s="6">
        <v>5</v>
      </c>
      <c r="M146" s="106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 t="s">
        <v>476</v>
      </c>
      <c r="B147" s="12" t="s">
        <v>17</v>
      </c>
      <c r="C147" s="1" t="s">
        <v>72</v>
      </c>
      <c r="D147" s="85">
        <v>282972141</v>
      </c>
      <c r="E147" s="88">
        <v>2527135797</v>
      </c>
      <c r="F147" s="1" t="s">
        <v>12</v>
      </c>
      <c r="G147" s="108">
        <v>36940</v>
      </c>
      <c r="H147" s="67" t="str">
        <f t="shared" si="4"/>
        <v>Feb</v>
      </c>
      <c r="I147" s="9">
        <f t="shared" ca="1" si="5"/>
        <v>15</v>
      </c>
      <c r="J147" s="8"/>
      <c r="K147" s="7">
        <v>30140</v>
      </c>
      <c r="L147" s="6">
        <v>5</v>
      </c>
      <c r="M147" s="106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 t="s">
        <v>572</v>
      </c>
      <c r="B148" s="12" t="s">
        <v>2</v>
      </c>
      <c r="C148" s="1" t="s">
        <v>72</v>
      </c>
      <c r="D148" s="85">
        <v>956291859</v>
      </c>
      <c r="E148" s="88">
        <v>2521156902</v>
      </c>
      <c r="F148" s="1" t="s">
        <v>12</v>
      </c>
      <c r="G148" s="108">
        <v>41260</v>
      </c>
      <c r="H148" s="67" t="str">
        <f t="shared" si="4"/>
        <v>Dec</v>
      </c>
      <c r="I148" s="9">
        <f t="shared" ca="1" si="5"/>
        <v>3</v>
      </c>
      <c r="J148" s="8"/>
      <c r="K148" s="7">
        <v>54850</v>
      </c>
      <c r="L148" s="6">
        <v>3</v>
      </c>
      <c r="M148" s="106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 t="s">
        <v>447</v>
      </c>
      <c r="B149" s="12" t="s">
        <v>17</v>
      </c>
      <c r="C149" s="1" t="s">
        <v>72</v>
      </c>
      <c r="D149" s="85">
        <v>503349830</v>
      </c>
      <c r="E149" s="88">
        <v>9191999230</v>
      </c>
      <c r="F149" s="1" t="s">
        <v>5</v>
      </c>
      <c r="G149" s="108">
        <v>34406</v>
      </c>
      <c r="H149" s="67" t="str">
        <f t="shared" si="4"/>
        <v>Mar</v>
      </c>
      <c r="I149" s="9">
        <f t="shared" ca="1" si="5"/>
        <v>22</v>
      </c>
      <c r="J149" s="8" t="s">
        <v>4</v>
      </c>
      <c r="K149" s="7">
        <v>38570</v>
      </c>
      <c r="L149" s="6">
        <v>2</v>
      </c>
      <c r="M149" s="106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 t="s">
        <v>576</v>
      </c>
      <c r="B150" s="12" t="s">
        <v>17</v>
      </c>
      <c r="C150" s="1" t="s">
        <v>72</v>
      </c>
      <c r="D150" s="85">
        <v>407299017</v>
      </c>
      <c r="E150" s="88">
        <v>9195968632</v>
      </c>
      <c r="F150" s="1" t="s">
        <v>0</v>
      </c>
      <c r="G150" s="108">
        <v>40894</v>
      </c>
      <c r="H150" s="67" t="str">
        <f t="shared" si="4"/>
        <v>Dec</v>
      </c>
      <c r="I150" s="9">
        <f t="shared" ca="1" si="5"/>
        <v>4</v>
      </c>
      <c r="J150" s="8"/>
      <c r="K150" s="7">
        <v>18890</v>
      </c>
      <c r="L150" s="6">
        <v>3</v>
      </c>
      <c r="M150" s="106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 t="s">
        <v>628</v>
      </c>
      <c r="B151" s="12" t="s">
        <v>39</v>
      </c>
      <c r="C151" s="1" t="s">
        <v>72</v>
      </c>
      <c r="D151" s="85">
        <v>870601943</v>
      </c>
      <c r="E151" s="88">
        <v>9196097340</v>
      </c>
      <c r="F151" s="1" t="s">
        <v>12</v>
      </c>
      <c r="G151" s="108">
        <v>35762</v>
      </c>
      <c r="H151" s="67" t="str">
        <f t="shared" si="4"/>
        <v>Nov</v>
      </c>
      <c r="I151" s="9">
        <f t="shared" ca="1" si="5"/>
        <v>18</v>
      </c>
      <c r="J151" s="8"/>
      <c r="K151" s="7">
        <v>54050</v>
      </c>
      <c r="L151" s="6">
        <v>5</v>
      </c>
      <c r="M151" s="106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 t="s">
        <v>389</v>
      </c>
      <c r="B152" s="12" t="s">
        <v>13</v>
      </c>
      <c r="C152" s="1" t="s">
        <v>72</v>
      </c>
      <c r="D152" s="85">
        <v>927043360</v>
      </c>
      <c r="E152" s="88">
        <v>2526053287</v>
      </c>
      <c r="F152" s="1" t="s">
        <v>12</v>
      </c>
      <c r="G152" s="108">
        <v>34425</v>
      </c>
      <c r="H152" s="67" t="str">
        <f t="shared" si="4"/>
        <v>Apr</v>
      </c>
      <c r="I152" s="9">
        <f t="shared" ca="1" si="5"/>
        <v>22</v>
      </c>
      <c r="J152" s="8"/>
      <c r="K152" s="7">
        <v>26780</v>
      </c>
      <c r="L152" s="6">
        <v>2</v>
      </c>
      <c r="M152" s="106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 t="s">
        <v>563</v>
      </c>
      <c r="B153" s="12" t="s">
        <v>39</v>
      </c>
      <c r="C153" s="1" t="s">
        <v>72</v>
      </c>
      <c r="D153" s="85">
        <v>304068732</v>
      </c>
      <c r="E153" s="88">
        <v>2523919445</v>
      </c>
      <c r="F153" s="1" t="s">
        <v>15</v>
      </c>
      <c r="G153" s="108">
        <v>34710</v>
      </c>
      <c r="H153" s="67" t="str">
        <f t="shared" si="4"/>
        <v>Jan</v>
      </c>
      <c r="I153" s="9">
        <f t="shared" ca="1" si="5"/>
        <v>21</v>
      </c>
      <c r="J153" s="8" t="s">
        <v>32</v>
      </c>
      <c r="K153" s="7">
        <v>40930</v>
      </c>
      <c r="L153" s="6">
        <v>4</v>
      </c>
      <c r="M153" s="106"/>
      <c r="N153" s="1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 t="s">
        <v>526</v>
      </c>
      <c r="B154" s="12" t="s">
        <v>39</v>
      </c>
      <c r="C154" s="1" t="s">
        <v>72</v>
      </c>
      <c r="D154" s="85">
        <v>429283827</v>
      </c>
      <c r="E154" s="88">
        <v>9195508095</v>
      </c>
      <c r="F154" s="1" t="s">
        <v>5</v>
      </c>
      <c r="G154" s="108">
        <v>37644</v>
      </c>
      <c r="H154" s="67" t="str">
        <f t="shared" si="4"/>
        <v>Jan</v>
      </c>
      <c r="I154" s="9">
        <f t="shared" ca="1" si="5"/>
        <v>13</v>
      </c>
      <c r="J154" s="8" t="s">
        <v>4</v>
      </c>
      <c r="K154" s="7">
        <v>85660</v>
      </c>
      <c r="L154" s="6">
        <v>2</v>
      </c>
      <c r="M154" s="106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 t="s">
        <v>130</v>
      </c>
      <c r="B155" s="12" t="s">
        <v>56</v>
      </c>
      <c r="C155" s="1" t="s">
        <v>72</v>
      </c>
      <c r="D155" s="85">
        <v>993867417</v>
      </c>
      <c r="E155" s="88">
        <v>2522338778</v>
      </c>
      <c r="F155" s="1" t="s">
        <v>5</v>
      </c>
      <c r="G155" s="108">
        <v>34924</v>
      </c>
      <c r="H155" s="67" t="str">
        <f t="shared" si="4"/>
        <v>Aug</v>
      </c>
      <c r="I155" s="9">
        <f t="shared" ca="1" si="5"/>
        <v>21</v>
      </c>
      <c r="J155" s="8" t="s">
        <v>4</v>
      </c>
      <c r="K155" s="7">
        <v>55610</v>
      </c>
      <c r="L155" s="6">
        <v>5</v>
      </c>
      <c r="M155" s="106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 t="s">
        <v>231</v>
      </c>
      <c r="B156" s="12" t="s">
        <v>10</v>
      </c>
      <c r="C156" s="1" t="s">
        <v>72</v>
      </c>
      <c r="D156" s="85">
        <v>525507320</v>
      </c>
      <c r="E156" s="88">
        <v>2523938131</v>
      </c>
      <c r="F156" s="1" t="s">
        <v>5</v>
      </c>
      <c r="G156" s="108">
        <v>37415</v>
      </c>
      <c r="H156" s="67" t="str">
        <f t="shared" si="4"/>
        <v>Jun</v>
      </c>
      <c r="I156" s="9">
        <f t="shared" ca="1" si="5"/>
        <v>14</v>
      </c>
      <c r="J156" s="8" t="s">
        <v>8</v>
      </c>
      <c r="K156" s="7">
        <v>47620</v>
      </c>
      <c r="L156" s="6">
        <v>5</v>
      </c>
      <c r="M156" s="106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 t="s">
        <v>535</v>
      </c>
      <c r="B157" s="12" t="s">
        <v>10</v>
      </c>
      <c r="C157" s="1" t="s">
        <v>72</v>
      </c>
      <c r="D157" s="85">
        <v>279591317</v>
      </c>
      <c r="E157" s="88">
        <v>2522381391</v>
      </c>
      <c r="F157" s="1" t="s">
        <v>0</v>
      </c>
      <c r="G157" s="108">
        <v>37264</v>
      </c>
      <c r="H157" s="67" t="str">
        <f t="shared" si="4"/>
        <v>Jan</v>
      </c>
      <c r="I157" s="9">
        <f t="shared" ca="1" si="5"/>
        <v>14</v>
      </c>
      <c r="J157" s="8"/>
      <c r="K157" s="7">
        <v>46520</v>
      </c>
      <c r="L157" s="6">
        <v>4</v>
      </c>
      <c r="M157" s="106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 t="s">
        <v>459</v>
      </c>
      <c r="B158" s="12" t="s">
        <v>13</v>
      </c>
      <c r="C158" s="1" t="s">
        <v>72</v>
      </c>
      <c r="D158" s="85">
        <v>541365827</v>
      </c>
      <c r="E158" s="88">
        <v>2525317859</v>
      </c>
      <c r="F158" s="1" t="s">
        <v>5</v>
      </c>
      <c r="G158" s="108">
        <v>39136</v>
      </c>
      <c r="H158" s="67" t="str">
        <f t="shared" si="4"/>
        <v>Feb</v>
      </c>
      <c r="I158" s="9">
        <f t="shared" ca="1" si="5"/>
        <v>9</v>
      </c>
      <c r="J158" s="8" t="s">
        <v>19</v>
      </c>
      <c r="K158" s="7">
        <v>78670</v>
      </c>
      <c r="L158" s="6">
        <v>1</v>
      </c>
      <c r="M158" s="106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 t="s">
        <v>431</v>
      </c>
      <c r="B159" s="12" t="s">
        <v>17</v>
      </c>
      <c r="C159" s="1" t="s">
        <v>72</v>
      </c>
      <c r="D159" s="85">
        <v>571821715</v>
      </c>
      <c r="E159" s="88">
        <v>2527102355</v>
      </c>
      <c r="F159" s="1" t="s">
        <v>5</v>
      </c>
      <c r="G159" s="108">
        <v>36606</v>
      </c>
      <c r="H159" s="67" t="str">
        <f t="shared" si="4"/>
        <v>Mar</v>
      </c>
      <c r="I159" s="9">
        <f t="shared" ca="1" si="5"/>
        <v>16</v>
      </c>
      <c r="J159" s="8" t="s">
        <v>4</v>
      </c>
      <c r="K159" s="7">
        <v>68240</v>
      </c>
      <c r="L159" s="6">
        <v>1</v>
      </c>
      <c r="M159" s="106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 t="s">
        <v>391</v>
      </c>
      <c r="B160" s="12" t="s">
        <v>10</v>
      </c>
      <c r="C160" s="1" t="s">
        <v>72</v>
      </c>
      <c r="D160" s="85">
        <v>171868795</v>
      </c>
      <c r="E160" s="88">
        <v>9194323329</v>
      </c>
      <c r="F160" s="1" t="s">
        <v>5</v>
      </c>
      <c r="G160" s="108">
        <v>34080</v>
      </c>
      <c r="H160" s="67" t="str">
        <f t="shared" si="4"/>
        <v>Apr</v>
      </c>
      <c r="I160" s="9">
        <f t="shared" ca="1" si="5"/>
        <v>23</v>
      </c>
      <c r="J160" s="8" t="s">
        <v>8</v>
      </c>
      <c r="K160" s="7">
        <v>38830</v>
      </c>
      <c r="L160" s="6">
        <v>4</v>
      </c>
      <c r="M160" s="106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 t="s">
        <v>653</v>
      </c>
      <c r="B161" s="12" t="s">
        <v>13</v>
      </c>
      <c r="C161" s="1" t="s">
        <v>72</v>
      </c>
      <c r="D161" s="85">
        <v>659929807</v>
      </c>
      <c r="E161" s="88">
        <v>9193089561</v>
      </c>
      <c r="F161" s="1" t="s">
        <v>5</v>
      </c>
      <c r="G161" s="108">
        <v>39754</v>
      </c>
      <c r="H161" s="67" t="str">
        <f t="shared" si="4"/>
        <v>Nov</v>
      </c>
      <c r="I161" s="9">
        <f t="shared" ca="1" si="5"/>
        <v>8</v>
      </c>
      <c r="J161" s="8" t="s">
        <v>32</v>
      </c>
      <c r="K161" s="7">
        <v>26890</v>
      </c>
      <c r="L161" s="6">
        <v>4</v>
      </c>
      <c r="M161" s="106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 t="s">
        <v>265</v>
      </c>
      <c r="B162" s="12" t="s">
        <v>17</v>
      </c>
      <c r="C162" s="1" t="s">
        <v>72</v>
      </c>
      <c r="D162" s="85">
        <v>113699123</v>
      </c>
      <c r="E162" s="88">
        <v>2526563683</v>
      </c>
      <c r="F162" s="1" t="s">
        <v>5</v>
      </c>
      <c r="G162" s="108">
        <v>34118</v>
      </c>
      <c r="H162" s="67" t="str">
        <f t="shared" si="4"/>
        <v>May</v>
      </c>
      <c r="I162" s="9">
        <f t="shared" ca="1" si="5"/>
        <v>23</v>
      </c>
      <c r="J162" s="8" t="s">
        <v>19</v>
      </c>
      <c r="K162" s="7">
        <v>42430</v>
      </c>
      <c r="L162" s="6">
        <v>5</v>
      </c>
      <c r="M162" s="106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 t="s">
        <v>73</v>
      </c>
      <c r="B163" s="12" t="s">
        <v>17</v>
      </c>
      <c r="C163" s="1" t="s">
        <v>72</v>
      </c>
      <c r="D163" s="85">
        <v>249760737</v>
      </c>
      <c r="E163" s="88">
        <v>2522969056</v>
      </c>
      <c r="F163" s="1" t="s">
        <v>12</v>
      </c>
      <c r="G163" s="108">
        <v>34950</v>
      </c>
      <c r="H163" s="67" t="str">
        <f t="shared" si="4"/>
        <v>Sep</v>
      </c>
      <c r="I163" s="9">
        <f t="shared" ca="1" si="5"/>
        <v>21</v>
      </c>
      <c r="J163" s="8"/>
      <c r="K163" s="7">
        <v>97280</v>
      </c>
      <c r="L163" s="6">
        <v>5</v>
      </c>
      <c r="M163" s="106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 t="s">
        <v>142</v>
      </c>
      <c r="B164" s="12" t="s">
        <v>13</v>
      </c>
      <c r="C164" s="1" t="s">
        <v>72</v>
      </c>
      <c r="D164" s="85">
        <v>536516131</v>
      </c>
      <c r="E164" s="88">
        <v>2524442207</v>
      </c>
      <c r="F164" s="1" t="s">
        <v>5</v>
      </c>
      <c r="G164" s="108">
        <v>41471</v>
      </c>
      <c r="H164" s="67" t="str">
        <f t="shared" si="4"/>
        <v>Jul</v>
      </c>
      <c r="I164" s="9">
        <f t="shared" ca="1" si="5"/>
        <v>3</v>
      </c>
      <c r="J164" s="8" t="s">
        <v>4</v>
      </c>
      <c r="K164" s="7">
        <v>51140</v>
      </c>
      <c r="L164" s="6">
        <v>3</v>
      </c>
      <c r="M164" s="106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 t="s">
        <v>378</v>
      </c>
      <c r="B165" s="12" t="s">
        <v>39</v>
      </c>
      <c r="C165" s="1" t="s">
        <v>72</v>
      </c>
      <c r="D165" s="85">
        <v>932787692</v>
      </c>
      <c r="E165" s="88">
        <v>2522612740</v>
      </c>
      <c r="F165" s="1" t="s">
        <v>12</v>
      </c>
      <c r="G165" s="108">
        <v>35162</v>
      </c>
      <c r="H165" s="67" t="str">
        <f t="shared" si="4"/>
        <v>Apr</v>
      </c>
      <c r="I165" s="9">
        <f t="shared" ca="1" si="5"/>
        <v>20</v>
      </c>
      <c r="J165" s="8"/>
      <c r="K165" s="7">
        <v>76910</v>
      </c>
      <c r="L165" s="6">
        <v>2</v>
      </c>
      <c r="M165" s="106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 t="s">
        <v>685</v>
      </c>
      <c r="B166" s="12" t="s">
        <v>13</v>
      </c>
      <c r="C166" s="1" t="s">
        <v>72</v>
      </c>
      <c r="D166" s="85">
        <v>116869057</v>
      </c>
      <c r="E166" s="88">
        <v>2521614846</v>
      </c>
      <c r="F166" s="1" t="s">
        <v>15</v>
      </c>
      <c r="G166" s="108">
        <v>35756</v>
      </c>
      <c r="H166" s="67" t="str">
        <f t="shared" si="4"/>
        <v>Nov</v>
      </c>
      <c r="I166" s="9">
        <f t="shared" ca="1" si="5"/>
        <v>18</v>
      </c>
      <c r="J166" s="8" t="s">
        <v>19</v>
      </c>
      <c r="K166" s="7">
        <v>18010</v>
      </c>
      <c r="L166" s="6">
        <v>4</v>
      </c>
      <c r="M166" s="106"/>
      <c r="N166" s="1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 t="s">
        <v>358</v>
      </c>
      <c r="B167" s="12" t="s">
        <v>56</v>
      </c>
      <c r="C167" s="1" t="s">
        <v>72</v>
      </c>
      <c r="D167" s="85">
        <v>105708355</v>
      </c>
      <c r="E167" s="88">
        <v>2524697218</v>
      </c>
      <c r="F167" s="1" t="s">
        <v>5</v>
      </c>
      <c r="G167" s="108">
        <v>36990</v>
      </c>
      <c r="H167" s="67" t="str">
        <f t="shared" si="4"/>
        <v>Apr</v>
      </c>
      <c r="I167" s="9">
        <f t="shared" ca="1" si="5"/>
        <v>15</v>
      </c>
      <c r="J167" s="8" t="s">
        <v>34</v>
      </c>
      <c r="K167" s="7">
        <v>85210</v>
      </c>
      <c r="L167" s="6">
        <v>5</v>
      </c>
      <c r="M167" s="106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 t="s">
        <v>617</v>
      </c>
      <c r="B168" s="12" t="s">
        <v>13</v>
      </c>
      <c r="C168" s="1" t="s">
        <v>72</v>
      </c>
      <c r="D168" s="85">
        <v>659766304</v>
      </c>
      <c r="E168" s="88">
        <v>9195876028</v>
      </c>
      <c r="F168" s="1" t="s">
        <v>5</v>
      </c>
      <c r="G168" s="108">
        <v>36502</v>
      </c>
      <c r="H168" s="67" t="str">
        <f t="shared" si="4"/>
        <v>Dec</v>
      </c>
      <c r="I168" s="9">
        <f t="shared" ca="1" si="5"/>
        <v>16</v>
      </c>
      <c r="J168" s="8" t="s">
        <v>4</v>
      </c>
      <c r="K168" s="7">
        <v>45300</v>
      </c>
      <c r="L168" s="6">
        <v>5</v>
      </c>
      <c r="M168" s="106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 t="s">
        <v>648</v>
      </c>
      <c r="B169" s="12" t="s">
        <v>17</v>
      </c>
      <c r="C169" s="1" t="s">
        <v>72</v>
      </c>
      <c r="D169" s="85">
        <v>232896341</v>
      </c>
      <c r="E169" s="88">
        <v>9197288082</v>
      </c>
      <c r="F169" s="1" t="s">
        <v>12</v>
      </c>
      <c r="G169" s="108">
        <v>41237</v>
      </c>
      <c r="H169" s="67" t="str">
        <f t="shared" si="4"/>
        <v>Nov</v>
      </c>
      <c r="I169" s="9">
        <f t="shared" ca="1" si="5"/>
        <v>3</v>
      </c>
      <c r="J169" s="8"/>
      <c r="K169" s="7">
        <v>55000</v>
      </c>
      <c r="L169" s="6">
        <v>4</v>
      </c>
      <c r="M169" s="106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 t="s">
        <v>273</v>
      </c>
      <c r="B170" s="12" t="s">
        <v>56</v>
      </c>
      <c r="C170" s="1" t="s">
        <v>72</v>
      </c>
      <c r="D170" s="85">
        <v>281005046</v>
      </c>
      <c r="E170" s="88">
        <v>2527051004</v>
      </c>
      <c r="F170" s="1" t="s">
        <v>12</v>
      </c>
      <c r="G170" s="108">
        <v>41055</v>
      </c>
      <c r="H170" s="67" t="str">
        <f t="shared" si="4"/>
        <v>May</v>
      </c>
      <c r="I170" s="9">
        <f t="shared" ca="1" si="5"/>
        <v>4</v>
      </c>
      <c r="J170" s="8"/>
      <c r="K170" s="7">
        <v>68300</v>
      </c>
      <c r="L170" s="6">
        <v>4</v>
      </c>
      <c r="M170" s="106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 t="s">
        <v>554</v>
      </c>
      <c r="B171" s="12" t="s">
        <v>13</v>
      </c>
      <c r="C171" s="1" t="s">
        <v>72</v>
      </c>
      <c r="D171" s="85">
        <v>302598687</v>
      </c>
      <c r="E171" s="88">
        <v>9195394899</v>
      </c>
      <c r="F171" s="1" t="s">
        <v>5</v>
      </c>
      <c r="G171" s="108">
        <v>35087</v>
      </c>
      <c r="H171" s="67" t="str">
        <f t="shared" si="4"/>
        <v>Jan</v>
      </c>
      <c r="I171" s="9">
        <f t="shared" ca="1" si="5"/>
        <v>20</v>
      </c>
      <c r="J171" s="8" t="s">
        <v>32</v>
      </c>
      <c r="K171" s="7">
        <v>38210</v>
      </c>
      <c r="L171" s="6">
        <v>1</v>
      </c>
      <c r="M171" s="106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 t="s">
        <v>255</v>
      </c>
      <c r="B172" s="12" t="s">
        <v>17</v>
      </c>
      <c r="C172" s="1" t="s">
        <v>72</v>
      </c>
      <c r="D172" s="85">
        <v>603301910</v>
      </c>
      <c r="E172" s="88">
        <v>9196514650</v>
      </c>
      <c r="F172" s="1" t="s">
        <v>5</v>
      </c>
      <c r="G172" s="108">
        <v>35214</v>
      </c>
      <c r="H172" s="67" t="str">
        <f t="shared" si="4"/>
        <v>May</v>
      </c>
      <c r="I172" s="9">
        <f t="shared" ca="1" si="5"/>
        <v>20</v>
      </c>
      <c r="J172" s="8" t="s">
        <v>32</v>
      </c>
      <c r="K172" s="7">
        <v>87480</v>
      </c>
      <c r="L172" s="6">
        <v>3</v>
      </c>
      <c r="M172" s="106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 t="s">
        <v>305</v>
      </c>
      <c r="B173" s="12" t="s">
        <v>13</v>
      </c>
      <c r="C173" s="1" t="s">
        <v>72</v>
      </c>
      <c r="D173" s="85">
        <v>661397587</v>
      </c>
      <c r="E173" s="88">
        <v>9196126835</v>
      </c>
      <c r="F173" s="1" t="s">
        <v>12</v>
      </c>
      <c r="G173" s="108">
        <v>35913</v>
      </c>
      <c r="H173" s="67" t="str">
        <f t="shared" si="4"/>
        <v>Apr</v>
      </c>
      <c r="I173" s="9">
        <f t="shared" ca="1" si="5"/>
        <v>18</v>
      </c>
      <c r="J173" s="8"/>
      <c r="K173" s="7">
        <v>48670</v>
      </c>
      <c r="L173" s="6">
        <v>5</v>
      </c>
      <c r="M173" s="106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 t="s">
        <v>627</v>
      </c>
      <c r="B174" s="12" t="s">
        <v>17</v>
      </c>
      <c r="C174" s="1" t="s">
        <v>72</v>
      </c>
      <c r="D174" s="85">
        <v>622274162</v>
      </c>
      <c r="E174" s="88">
        <v>9191264786</v>
      </c>
      <c r="F174" s="1" t="s">
        <v>12</v>
      </c>
      <c r="G174" s="108">
        <v>35772</v>
      </c>
      <c r="H174" s="67" t="str">
        <f t="shared" si="4"/>
        <v>Dec</v>
      </c>
      <c r="I174" s="9">
        <f t="shared" ca="1" si="5"/>
        <v>18</v>
      </c>
      <c r="J174" s="8"/>
      <c r="K174" s="7">
        <v>31630</v>
      </c>
      <c r="L174" s="6">
        <v>4</v>
      </c>
      <c r="M174" s="106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 t="s">
        <v>658</v>
      </c>
      <c r="B175" s="12" t="s">
        <v>17</v>
      </c>
      <c r="C175" s="1" t="s">
        <v>72</v>
      </c>
      <c r="D175" s="85">
        <v>625531462</v>
      </c>
      <c r="E175" s="88">
        <v>2527553017</v>
      </c>
      <c r="F175" s="1" t="s">
        <v>5</v>
      </c>
      <c r="G175" s="108">
        <v>38289</v>
      </c>
      <c r="H175" s="67" t="str">
        <f t="shared" si="4"/>
        <v>Oct</v>
      </c>
      <c r="I175" s="9">
        <f t="shared" ca="1" si="5"/>
        <v>12</v>
      </c>
      <c r="J175" s="8" t="s">
        <v>32</v>
      </c>
      <c r="K175" s="7">
        <v>50980</v>
      </c>
      <c r="L175" s="6">
        <v>3</v>
      </c>
      <c r="M175" s="106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 t="s">
        <v>571</v>
      </c>
      <c r="B176" s="12" t="s">
        <v>56</v>
      </c>
      <c r="C176" s="1" t="s">
        <v>50</v>
      </c>
      <c r="D176" s="85">
        <v>117896630</v>
      </c>
      <c r="E176" s="88">
        <v>9197173558</v>
      </c>
      <c r="F176" s="1" t="s">
        <v>12</v>
      </c>
      <c r="G176" s="108">
        <v>41264</v>
      </c>
      <c r="H176" s="67" t="str">
        <f t="shared" si="4"/>
        <v>Dec</v>
      </c>
      <c r="I176" s="9">
        <f t="shared" ca="1" si="5"/>
        <v>3</v>
      </c>
      <c r="J176" s="8" t="s">
        <v>19</v>
      </c>
      <c r="K176" s="7">
        <v>85430</v>
      </c>
      <c r="L176" s="6">
        <v>4</v>
      </c>
      <c r="M176" s="106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 t="s">
        <v>51</v>
      </c>
      <c r="B177" s="12" t="s">
        <v>17</v>
      </c>
      <c r="C177" s="1" t="s">
        <v>50</v>
      </c>
      <c r="D177" s="85">
        <v>351268538</v>
      </c>
      <c r="E177" s="88">
        <v>2525610944</v>
      </c>
      <c r="F177" s="1" t="s">
        <v>0</v>
      </c>
      <c r="G177" s="108">
        <v>37520</v>
      </c>
      <c r="H177" s="67" t="str">
        <f t="shared" si="4"/>
        <v>Sep</v>
      </c>
      <c r="I177" s="9">
        <f t="shared" ca="1" si="5"/>
        <v>14</v>
      </c>
      <c r="J177" s="8" t="s">
        <v>4</v>
      </c>
      <c r="K177" s="7">
        <v>74230</v>
      </c>
      <c r="L177" s="6">
        <v>5</v>
      </c>
      <c r="M177" s="106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 t="s">
        <v>100</v>
      </c>
      <c r="B178" s="12" t="s">
        <v>13</v>
      </c>
      <c r="C178" s="1" t="s">
        <v>50</v>
      </c>
      <c r="D178" s="85">
        <v>771953685</v>
      </c>
      <c r="E178" s="88">
        <v>2526739978</v>
      </c>
      <c r="F178" s="1" t="s">
        <v>0</v>
      </c>
      <c r="G178" s="108">
        <v>38947</v>
      </c>
      <c r="H178" s="67" t="str">
        <f t="shared" si="4"/>
        <v>Aug</v>
      </c>
      <c r="I178" s="9">
        <f t="shared" ca="1" si="5"/>
        <v>10</v>
      </c>
      <c r="J178" s="8" t="s">
        <v>32</v>
      </c>
      <c r="K178" s="7">
        <v>102160</v>
      </c>
      <c r="L178" s="6">
        <v>5</v>
      </c>
      <c r="M178" s="106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 t="s">
        <v>221</v>
      </c>
      <c r="B179" s="12" t="s">
        <v>13</v>
      </c>
      <c r="C179" s="1" t="s">
        <v>50</v>
      </c>
      <c r="D179" s="85">
        <v>875920441</v>
      </c>
      <c r="E179" s="88">
        <v>9191715499</v>
      </c>
      <c r="F179" s="1" t="s">
        <v>15</v>
      </c>
      <c r="G179" s="108">
        <v>38506</v>
      </c>
      <c r="H179" s="67" t="str">
        <f t="shared" si="4"/>
        <v>Jun</v>
      </c>
      <c r="I179" s="9">
        <f t="shared" ca="1" si="5"/>
        <v>11</v>
      </c>
      <c r="J179" s="8" t="s">
        <v>8</v>
      </c>
      <c r="K179" s="7">
        <v>62160</v>
      </c>
      <c r="L179" s="6">
        <v>1</v>
      </c>
      <c r="M179" s="106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 t="s">
        <v>413</v>
      </c>
      <c r="B180" s="12" t="s">
        <v>10</v>
      </c>
      <c r="C180" s="1" t="s">
        <v>50</v>
      </c>
      <c r="D180" s="85">
        <v>477110649</v>
      </c>
      <c r="E180" s="88">
        <v>9191351512</v>
      </c>
      <c r="F180" s="1" t="s">
        <v>5</v>
      </c>
      <c r="G180" s="108">
        <v>38044</v>
      </c>
      <c r="H180" s="67" t="str">
        <f t="shared" si="4"/>
        <v>Feb</v>
      </c>
      <c r="I180" s="9">
        <f t="shared" ca="1" si="5"/>
        <v>12</v>
      </c>
      <c r="J180" s="8" t="s">
        <v>34</v>
      </c>
      <c r="K180" s="7">
        <v>54180</v>
      </c>
      <c r="L180" s="6">
        <v>1</v>
      </c>
      <c r="M180" s="106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 t="s">
        <v>466</v>
      </c>
      <c r="B181" s="12" t="s">
        <v>10</v>
      </c>
      <c r="C181" s="1" t="s">
        <v>50</v>
      </c>
      <c r="D181" s="85">
        <v>746497232</v>
      </c>
      <c r="E181" s="88">
        <v>9196681578</v>
      </c>
      <c r="F181" s="1" t="s">
        <v>12</v>
      </c>
      <c r="G181" s="108">
        <v>37674</v>
      </c>
      <c r="H181" s="67" t="str">
        <f t="shared" si="4"/>
        <v>Feb</v>
      </c>
      <c r="I181" s="9">
        <f t="shared" ca="1" si="5"/>
        <v>13</v>
      </c>
      <c r="J181" s="8" t="s">
        <v>4</v>
      </c>
      <c r="K181" s="7">
        <v>83290</v>
      </c>
      <c r="L181" s="6">
        <v>4</v>
      </c>
      <c r="M181" s="106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 t="s">
        <v>504</v>
      </c>
      <c r="B182" s="12" t="s">
        <v>17</v>
      </c>
      <c r="C182" s="1" t="s">
        <v>50</v>
      </c>
      <c r="D182" s="85">
        <v>861884260</v>
      </c>
      <c r="E182" s="88">
        <v>9196632360</v>
      </c>
      <c r="F182" s="1" t="s">
        <v>5</v>
      </c>
      <c r="G182" s="108">
        <v>34386</v>
      </c>
      <c r="H182" s="67" t="str">
        <f t="shared" si="4"/>
        <v>Feb</v>
      </c>
      <c r="I182" s="9">
        <f t="shared" ca="1" si="5"/>
        <v>22</v>
      </c>
      <c r="J182" s="8" t="s">
        <v>32</v>
      </c>
      <c r="K182" s="7">
        <v>106970</v>
      </c>
      <c r="L182" s="6">
        <v>1</v>
      </c>
      <c r="M182" s="106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 t="s">
        <v>631</v>
      </c>
      <c r="B183" s="12" t="s">
        <v>17</v>
      </c>
      <c r="C183" s="1" t="s">
        <v>50</v>
      </c>
      <c r="D183" s="85">
        <v>244171882</v>
      </c>
      <c r="E183" s="88">
        <v>2527577867</v>
      </c>
      <c r="F183" s="1" t="s">
        <v>15</v>
      </c>
      <c r="G183" s="108">
        <v>35402</v>
      </c>
      <c r="H183" s="67" t="str">
        <f t="shared" si="4"/>
        <v>Dec</v>
      </c>
      <c r="I183" s="9">
        <f t="shared" ca="1" si="5"/>
        <v>19</v>
      </c>
      <c r="J183" s="8" t="s">
        <v>19</v>
      </c>
      <c r="K183" s="7">
        <v>107740</v>
      </c>
      <c r="L183" s="6">
        <v>4</v>
      </c>
      <c r="M183" s="106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 t="s">
        <v>610</v>
      </c>
      <c r="B184" s="12" t="s">
        <v>17</v>
      </c>
      <c r="C184" s="1" t="s">
        <v>20</v>
      </c>
      <c r="D184" s="85">
        <v>501523688</v>
      </c>
      <c r="E184" s="88">
        <v>2528560698</v>
      </c>
      <c r="F184" s="1" t="s">
        <v>5</v>
      </c>
      <c r="G184" s="108">
        <v>36521</v>
      </c>
      <c r="H184" s="67" t="str">
        <f t="shared" si="4"/>
        <v>Dec</v>
      </c>
      <c r="I184" s="9">
        <f t="shared" ca="1" si="5"/>
        <v>16</v>
      </c>
      <c r="J184" s="8" t="s">
        <v>32</v>
      </c>
      <c r="K184" s="7">
        <v>95680</v>
      </c>
      <c r="L184" s="6">
        <v>2</v>
      </c>
      <c r="M184" s="106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 t="s">
        <v>359</v>
      </c>
      <c r="B185" s="12" t="s">
        <v>13</v>
      </c>
      <c r="C185" s="1" t="s">
        <v>20</v>
      </c>
      <c r="D185" s="85">
        <v>722630791</v>
      </c>
      <c r="E185" s="88">
        <v>2522263363</v>
      </c>
      <c r="F185" s="1" t="s">
        <v>0</v>
      </c>
      <c r="G185" s="108">
        <v>36983</v>
      </c>
      <c r="H185" s="67" t="str">
        <f t="shared" si="4"/>
        <v>Apr</v>
      </c>
      <c r="I185" s="9">
        <f t="shared" ca="1" si="5"/>
        <v>15</v>
      </c>
      <c r="J185" s="8"/>
      <c r="K185" s="7">
        <v>10680</v>
      </c>
      <c r="L185" s="6">
        <v>3</v>
      </c>
      <c r="M185" s="106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 t="s">
        <v>185</v>
      </c>
      <c r="B186" s="12" t="s">
        <v>17</v>
      </c>
      <c r="C186" s="1" t="s">
        <v>20</v>
      </c>
      <c r="D186" s="85">
        <v>592631929</v>
      </c>
      <c r="E186" s="88">
        <v>2523922629</v>
      </c>
      <c r="F186" s="1" t="s">
        <v>12</v>
      </c>
      <c r="G186" s="108">
        <v>36350</v>
      </c>
      <c r="H186" s="67" t="str">
        <f t="shared" si="4"/>
        <v>Jul</v>
      </c>
      <c r="I186" s="9">
        <f t="shared" ca="1" si="5"/>
        <v>17</v>
      </c>
      <c r="J186" s="8"/>
      <c r="K186" s="7">
        <v>63530</v>
      </c>
      <c r="L186" s="6">
        <v>4</v>
      </c>
      <c r="M186" s="106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 t="s">
        <v>420</v>
      </c>
      <c r="B187" s="12" t="s">
        <v>13</v>
      </c>
      <c r="C187" s="1" t="s">
        <v>20</v>
      </c>
      <c r="D187" s="85">
        <v>319449613</v>
      </c>
      <c r="E187" s="88">
        <v>2523454032</v>
      </c>
      <c r="F187" s="1" t="s">
        <v>5</v>
      </c>
      <c r="G187" s="108">
        <v>37333</v>
      </c>
      <c r="H187" s="67" t="str">
        <f t="shared" si="4"/>
        <v>Mar</v>
      </c>
      <c r="I187" s="9">
        <f t="shared" ca="1" si="5"/>
        <v>14</v>
      </c>
      <c r="J187" s="8" t="s">
        <v>19</v>
      </c>
      <c r="K187" s="7">
        <v>45310</v>
      </c>
      <c r="L187" s="6">
        <v>2</v>
      </c>
      <c r="M187" s="106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 t="s">
        <v>369</v>
      </c>
      <c r="B188" s="12" t="s">
        <v>39</v>
      </c>
      <c r="C188" s="1" t="s">
        <v>20</v>
      </c>
      <c r="D188" s="85">
        <v>865073824</v>
      </c>
      <c r="E188" s="88">
        <v>2524785979</v>
      </c>
      <c r="F188" s="1" t="s">
        <v>5</v>
      </c>
      <c r="G188" s="108">
        <v>35542</v>
      </c>
      <c r="H188" s="67" t="str">
        <f t="shared" si="4"/>
        <v>Apr</v>
      </c>
      <c r="I188" s="9">
        <f t="shared" ca="1" si="5"/>
        <v>19</v>
      </c>
      <c r="J188" s="8" t="s">
        <v>8</v>
      </c>
      <c r="K188" s="7">
        <v>41380</v>
      </c>
      <c r="L188" s="6">
        <v>3</v>
      </c>
      <c r="M188" s="106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 t="s">
        <v>411</v>
      </c>
      <c r="B189" s="12" t="s">
        <v>13</v>
      </c>
      <c r="C189" s="1" t="s">
        <v>20</v>
      </c>
      <c r="D189" s="85">
        <v>894030119</v>
      </c>
      <c r="E189" s="88">
        <v>2528652588</v>
      </c>
      <c r="F189" s="1" t="s">
        <v>5</v>
      </c>
      <c r="G189" s="108">
        <v>38069</v>
      </c>
      <c r="H189" s="67" t="str">
        <f t="shared" si="4"/>
        <v>Mar</v>
      </c>
      <c r="I189" s="9">
        <f t="shared" ca="1" si="5"/>
        <v>12</v>
      </c>
      <c r="J189" s="8" t="s">
        <v>34</v>
      </c>
      <c r="K189" s="7">
        <v>79210</v>
      </c>
      <c r="L189" s="6">
        <v>5</v>
      </c>
      <c r="M189" s="106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 t="s">
        <v>742</v>
      </c>
      <c r="B190" s="12" t="s">
        <v>56</v>
      </c>
      <c r="C190" s="1" t="s">
        <v>20</v>
      </c>
      <c r="D190" s="85">
        <v>100679868</v>
      </c>
      <c r="E190" s="88">
        <v>9198082183</v>
      </c>
      <c r="F190" s="1" t="s">
        <v>15</v>
      </c>
      <c r="G190" s="108">
        <v>36808</v>
      </c>
      <c r="H190" s="67" t="str">
        <f t="shared" si="4"/>
        <v>Oct</v>
      </c>
      <c r="I190" s="9">
        <f t="shared" ca="1" si="5"/>
        <v>16</v>
      </c>
      <c r="J190" s="8" t="s">
        <v>32</v>
      </c>
      <c r="K190" s="7">
        <v>58600</v>
      </c>
      <c r="L190" s="6">
        <v>5</v>
      </c>
      <c r="M190" s="106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 t="s">
        <v>191</v>
      </c>
      <c r="B191" s="12" t="s">
        <v>10</v>
      </c>
      <c r="C191" s="1" t="s">
        <v>20</v>
      </c>
      <c r="D191" s="85">
        <v>647552282</v>
      </c>
      <c r="E191" s="88">
        <v>9193392642</v>
      </c>
      <c r="F191" s="1" t="s">
        <v>12</v>
      </c>
      <c r="G191" s="108">
        <v>35266</v>
      </c>
      <c r="H191" s="67" t="str">
        <f t="shared" si="4"/>
        <v>Jul</v>
      </c>
      <c r="I191" s="9">
        <f t="shared" ca="1" si="5"/>
        <v>20</v>
      </c>
      <c r="J191" s="8"/>
      <c r="K191" s="7">
        <v>42550</v>
      </c>
      <c r="L191" s="6">
        <v>3</v>
      </c>
      <c r="M191" s="106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 t="s">
        <v>182</v>
      </c>
      <c r="B192" s="12" t="s">
        <v>2</v>
      </c>
      <c r="C192" s="1" t="s">
        <v>20</v>
      </c>
      <c r="D192" s="85">
        <v>906321388</v>
      </c>
      <c r="E192" s="88">
        <v>2527919826</v>
      </c>
      <c r="F192" s="1" t="s">
        <v>12</v>
      </c>
      <c r="G192" s="108">
        <v>36361</v>
      </c>
      <c r="H192" s="67" t="str">
        <f t="shared" si="4"/>
        <v>Jul</v>
      </c>
      <c r="I192" s="9">
        <f t="shared" ca="1" si="5"/>
        <v>17</v>
      </c>
      <c r="J192" s="8"/>
      <c r="K192" s="7">
        <v>33910</v>
      </c>
      <c r="L192" s="6">
        <v>5</v>
      </c>
      <c r="M192" s="106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 t="s">
        <v>636</v>
      </c>
      <c r="B193" s="12" t="s">
        <v>56</v>
      </c>
      <c r="C193" s="1" t="s">
        <v>20</v>
      </c>
      <c r="D193" s="85">
        <v>884025623</v>
      </c>
      <c r="E193" s="88">
        <v>2521280865</v>
      </c>
      <c r="F193" s="1" t="s">
        <v>12</v>
      </c>
      <c r="G193" s="108">
        <v>35032</v>
      </c>
      <c r="H193" s="67" t="str">
        <f t="shared" si="4"/>
        <v>Nov</v>
      </c>
      <c r="I193" s="9">
        <f t="shared" ca="1" si="5"/>
        <v>20</v>
      </c>
      <c r="J193" s="8"/>
      <c r="K193" s="7">
        <v>77320</v>
      </c>
      <c r="L193" s="6">
        <v>4</v>
      </c>
      <c r="M193" s="106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 t="s">
        <v>577</v>
      </c>
      <c r="B194" s="12" t="s">
        <v>39</v>
      </c>
      <c r="C194" s="1" t="s">
        <v>20</v>
      </c>
      <c r="D194" s="85">
        <v>318068637</v>
      </c>
      <c r="E194" s="88">
        <v>9193709408</v>
      </c>
      <c r="F194" s="1" t="s">
        <v>12</v>
      </c>
      <c r="G194" s="108">
        <v>40539</v>
      </c>
      <c r="H194" s="67" t="str">
        <f t="shared" ref="H194:H257" si="6">CHOOSE(MONTH(G194),"Jan","Feb","Mar","Apr","May","Jun","Jul","Aug","Sep","Oct","Nov","Dec")</f>
        <v>Dec</v>
      </c>
      <c r="I194" s="9">
        <f t="shared" ref="I194:I257" ca="1" si="7">DATEDIF(G194,TODAY(),"Y")</f>
        <v>5</v>
      </c>
      <c r="J194" s="8"/>
      <c r="K194" s="7">
        <v>75340</v>
      </c>
      <c r="L194" s="6">
        <v>4</v>
      </c>
      <c r="M194" s="106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 t="s">
        <v>600</v>
      </c>
      <c r="B195" s="12" t="s">
        <v>13</v>
      </c>
      <c r="C195" s="1" t="s">
        <v>20</v>
      </c>
      <c r="D195" s="85">
        <v>356242235</v>
      </c>
      <c r="E195" s="88">
        <v>2521667727</v>
      </c>
      <c r="F195" s="1" t="s">
        <v>15</v>
      </c>
      <c r="G195" s="108">
        <v>37605</v>
      </c>
      <c r="H195" s="67" t="str">
        <f t="shared" si="6"/>
        <v>Dec</v>
      </c>
      <c r="I195" s="9">
        <f t="shared" ca="1" si="7"/>
        <v>13</v>
      </c>
      <c r="J195" s="8" t="s">
        <v>4</v>
      </c>
      <c r="K195" s="7">
        <v>56050</v>
      </c>
      <c r="L195" s="6">
        <v>3</v>
      </c>
      <c r="M195" s="106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 t="s">
        <v>615</v>
      </c>
      <c r="B196" s="12" t="s">
        <v>39</v>
      </c>
      <c r="C196" s="1" t="s">
        <v>20</v>
      </c>
      <c r="D196" s="85">
        <v>612295735</v>
      </c>
      <c r="E196" s="88">
        <v>9195228292</v>
      </c>
      <c r="F196" s="1" t="s">
        <v>5</v>
      </c>
      <c r="G196" s="108">
        <v>36512</v>
      </c>
      <c r="H196" s="67" t="str">
        <f t="shared" si="6"/>
        <v>Dec</v>
      </c>
      <c r="I196" s="9">
        <f t="shared" ca="1" si="7"/>
        <v>16</v>
      </c>
      <c r="J196" s="8" t="s">
        <v>4</v>
      </c>
      <c r="K196" s="7">
        <v>87770</v>
      </c>
      <c r="L196" s="6">
        <v>5</v>
      </c>
      <c r="M196" s="106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 t="s">
        <v>425</v>
      </c>
      <c r="B197" s="12" t="s">
        <v>13</v>
      </c>
      <c r="C197" s="1" t="s">
        <v>20</v>
      </c>
      <c r="D197" s="85">
        <v>725801036</v>
      </c>
      <c r="E197" s="88">
        <v>9195089157</v>
      </c>
      <c r="F197" s="1" t="s">
        <v>12</v>
      </c>
      <c r="G197" s="108">
        <v>36973</v>
      </c>
      <c r="H197" s="67" t="str">
        <f t="shared" si="6"/>
        <v>Mar</v>
      </c>
      <c r="I197" s="9">
        <f t="shared" ca="1" si="7"/>
        <v>15</v>
      </c>
      <c r="J197" s="8"/>
      <c r="K197" s="7">
        <v>86050</v>
      </c>
      <c r="L197" s="6">
        <v>5</v>
      </c>
      <c r="M197" s="106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 t="s">
        <v>213</v>
      </c>
      <c r="B198" s="12" t="s">
        <v>17</v>
      </c>
      <c r="C198" s="1" t="s">
        <v>20</v>
      </c>
      <c r="D198" s="85">
        <v>415299442</v>
      </c>
      <c r="E198" s="88">
        <v>2521408985</v>
      </c>
      <c r="F198" s="1" t="s">
        <v>5</v>
      </c>
      <c r="G198" s="108">
        <v>40697</v>
      </c>
      <c r="H198" s="67" t="str">
        <f t="shared" si="6"/>
        <v>Jun</v>
      </c>
      <c r="I198" s="9">
        <f t="shared" ca="1" si="7"/>
        <v>5</v>
      </c>
      <c r="J198" s="8" t="s">
        <v>32</v>
      </c>
      <c r="K198" s="7">
        <v>83180</v>
      </c>
      <c r="L198" s="6">
        <v>3</v>
      </c>
      <c r="M198" s="106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 t="s">
        <v>508</v>
      </c>
      <c r="B199" s="12" t="s">
        <v>17</v>
      </c>
      <c r="C199" s="1" t="s">
        <v>20</v>
      </c>
      <c r="D199" s="85">
        <v>387517948</v>
      </c>
      <c r="E199" s="88">
        <v>9198213594</v>
      </c>
      <c r="F199" s="1" t="s">
        <v>5</v>
      </c>
      <c r="G199" s="108">
        <v>41635</v>
      </c>
      <c r="H199" s="67" t="str">
        <f t="shared" si="6"/>
        <v>Dec</v>
      </c>
      <c r="I199" s="9">
        <f t="shared" ca="1" si="7"/>
        <v>2</v>
      </c>
      <c r="J199" s="8" t="s">
        <v>32</v>
      </c>
      <c r="K199" s="7">
        <v>56930</v>
      </c>
      <c r="L199" s="6">
        <v>3</v>
      </c>
      <c r="M199" s="106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 t="s">
        <v>646</v>
      </c>
      <c r="B200" s="12" t="s">
        <v>39</v>
      </c>
      <c r="C200" s="1" t="s">
        <v>20</v>
      </c>
      <c r="D200" s="85">
        <v>466947318</v>
      </c>
      <c r="E200" s="88">
        <v>9191765611</v>
      </c>
      <c r="F200" s="1" t="s">
        <v>5</v>
      </c>
      <c r="G200" s="108">
        <v>41579</v>
      </c>
      <c r="H200" s="67" t="str">
        <f t="shared" si="6"/>
        <v>Nov</v>
      </c>
      <c r="I200" s="9">
        <f t="shared" ca="1" si="7"/>
        <v>3</v>
      </c>
      <c r="J200" s="8" t="s">
        <v>32</v>
      </c>
      <c r="K200" s="7">
        <v>52580</v>
      </c>
      <c r="L200" s="6">
        <v>2</v>
      </c>
      <c r="M200" s="106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 t="s">
        <v>249</v>
      </c>
      <c r="B201" s="12" t="s">
        <v>56</v>
      </c>
      <c r="C201" s="1" t="s">
        <v>20</v>
      </c>
      <c r="D201" s="85">
        <v>682907379</v>
      </c>
      <c r="E201" s="88">
        <v>2521854525</v>
      </c>
      <c r="F201" s="1" t="s">
        <v>5</v>
      </c>
      <c r="G201" s="108">
        <v>36312</v>
      </c>
      <c r="H201" s="67" t="str">
        <f t="shared" si="6"/>
        <v>Jun</v>
      </c>
      <c r="I201" s="9">
        <f t="shared" ca="1" si="7"/>
        <v>17</v>
      </c>
      <c r="J201" s="8" t="s">
        <v>19</v>
      </c>
      <c r="K201" s="7">
        <v>47420</v>
      </c>
      <c r="L201" s="6">
        <v>5</v>
      </c>
      <c r="M201" s="106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 t="s">
        <v>415</v>
      </c>
      <c r="B202" s="12" t="s">
        <v>10</v>
      </c>
      <c r="C202" s="1" t="s">
        <v>20</v>
      </c>
      <c r="D202" s="85">
        <v>826450563</v>
      </c>
      <c r="E202" s="88">
        <v>9196607355</v>
      </c>
      <c r="F202" s="1" t="s">
        <v>12</v>
      </c>
      <c r="G202" s="108">
        <v>37705</v>
      </c>
      <c r="H202" s="67" t="str">
        <f t="shared" si="6"/>
        <v>Mar</v>
      </c>
      <c r="I202" s="9">
        <f t="shared" ca="1" si="7"/>
        <v>13</v>
      </c>
      <c r="J202" s="8"/>
      <c r="K202" s="7">
        <v>69310</v>
      </c>
      <c r="L202" s="6">
        <v>3</v>
      </c>
      <c r="M202" s="106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 t="s">
        <v>478</v>
      </c>
      <c r="B203" s="12" t="s">
        <v>13</v>
      </c>
      <c r="C203" s="1" t="s">
        <v>20</v>
      </c>
      <c r="D203" s="85">
        <v>618535019</v>
      </c>
      <c r="E203" s="88">
        <v>9193695179</v>
      </c>
      <c r="F203" s="1" t="s">
        <v>5</v>
      </c>
      <c r="G203" s="108">
        <v>36933</v>
      </c>
      <c r="H203" s="67" t="str">
        <f t="shared" si="6"/>
        <v>Feb</v>
      </c>
      <c r="I203" s="9">
        <f t="shared" ca="1" si="7"/>
        <v>15</v>
      </c>
      <c r="J203" s="8" t="s">
        <v>4</v>
      </c>
      <c r="K203" s="7">
        <v>107690</v>
      </c>
      <c r="L203" s="6">
        <v>5</v>
      </c>
      <c r="M203" s="106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 t="s">
        <v>704</v>
      </c>
      <c r="B204" s="12" t="s">
        <v>17</v>
      </c>
      <c r="C204" s="1" t="s">
        <v>20</v>
      </c>
      <c r="D204" s="85">
        <v>665773893</v>
      </c>
      <c r="E204" s="88">
        <v>9198857217</v>
      </c>
      <c r="F204" s="1" t="s">
        <v>0</v>
      </c>
      <c r="G204" s="108">
        <v>41575</v>
      </c>
      <c r="H204" s="67" t="str">
        <f t="shared" si="6"/>
        <v>Oct</v>
      </c>
      <c r="I204" s="9">
        <f t="shared" ca="1" si="7"/>
        <v>3</v>
      </c>
      <c r="J204" s="8"/>
      <c r="K204" s="7">
        <v>34110</v>
      </c>
      <c r="L204" s="6">
        <v>4</v>
      </c>
      <c r="M204" s="106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 t="s">
        <v>669</v>
      </c>
      <c r="B205" s="12" t="s">
        <v>56</v>
      </c>
      <c r="C205" s="1" t="s">
        <v>20</v>
      </c>
      <c r="D205" s="85">
        <v>923123594</v>
      </c>
      <c r="E205" s="88">
        <v>2528669137</v>
      </c>
      <c r="F205" s="1" t="s">
        <v>5</v>
      </c>
      <c r="G205" s="108">
        <v>37199</v>
      </c>
      <c r="H205" s="67" t="str">
        <f t="shared" si="6"/>
        <v>Nov</v>
      </c>
      <c r="I205" s="9">
        <f t="shared" ca="1" si="7"/>
        <v>14</v>
      </c>
      <c r="J205" s="8" t="s">
        <v>8</v>
      </c>
      <c r="K205" s="7">
        <v>97680</v>
      </c>
      <c r="L205" s="6">
        <v>2</v>
      </c>
      <c r="M205" s="106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 t="s">
        <v>556</v>
      </c>
      <c r="B206" s="12" t="s">
        <v>10</v>
      </c>
      <c r="C206" s="1" t="s">
        <v>20</v>
      </c>
      <c r="D206" s="85">
        <v>487810878</v>
      </c>
      <c r="E206" s="88">
        <v>9194555389</v>
      </c>
      <c r="F206" s="1" t="s">
        <v>5</v>
      </c>
      <c r="G206" s="108">
        <v>35069</v>
      </c>
      <c r="H206" s="67" t="str">
        <f t="shared" si="6"/>
        <v>Jan</v>
      </c>
      <c r="I206" s="9">
        <f t="shared" ca="1" si="7"/>
        <v>20</v>
      </c>
      <c r="J206" s="8" t="s">
        <v>4</v>
      </c>
      <c r="K206" s="7">
        <v>28000</v>
      </c>
      <c r="L206" s="6">
        <v>4</v>
      </c>
      <c r="M206" s="106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 t="s">
        <v>68</v>
      </c>
      <c r="B207" s="12" t="s">
        <v>2</v>
      </c>
      <c r="C207" s="1" t="s">
        <v>20</v>
      </c>
      <c r="D207" s="85">
        <v>165917010</v>
      </c>
      <c r="E207" s="88">
        <v>2527038033</v>
      </c>
      <c r="F207" s="1" t="s">
        <v>12</v>
      </c>
      <c r="G207" s="108">
        <v>35672</v>
      </c>
      <c r="H207" s="67" t="str">
        <f t="shared" si="6"/>
        <v>Aug</v>
      </c>
      <c r="I207" s="9">
        <f t="shared" ca="1" si="7"/>
        <v>19</v>
      </c>
      <c r="J207" s="8"/>
      <c r="K207" s="7">
        <v>96830</v>
      </c>
      <c r="L207" s="6">
        <v>3</v>
      </c>
      <c r="M207" s="106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 t="s">
        <v>655</v>
      </c>
      <c r="B208" s="12" t="s">
        <v>13</v>
      </c>
      <c r="C208" s="1" t="s">
        <v>20</v>
      </c>
      <c r="D208" s="85">
        <v>337370590</v>
      </c>
      <c r="E208" s="88">
        <v>9197046530</v>
      </c>
      <c r="F208" s="1" t="s">
        <v>12</v>
      </c>
      <c r="G208" s="108">
        <v>39045</v>
      </c>
      <c r="H208" s="67" t="str">
        <f t="shared" si="6"/>
        <v>Nov</v>
      </c>
      <c r="I208" s="9">
        <f t="shared" ca="1" si="7"/>
        <v>9</v>
      </c>
      <c r="J208" s="8"/>
      <c r="K208" s="7">
        <v>68890</v>
      </c>
      <c r="L208" s="6">
        <v>2</v>
      </c>
      <c r="M208" s="106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 t="s">
        <v>110</v>
      </c>
      <c r="B209" s="12" t="s">
        <v>39</v>
      </c>
      <c r="C209" s="1" t="s">
        <v>20</v>
      </c>
      <c r="D209" s="85">
        <v>354619285</v>
      </c>
      <c r="E209" s="88">
        <v>2526657361</v>
      </c>
      <c r="F209" s="1" t="s">
        <v>5</v>
      </c>
      <c r="G209" s="108">
        <v>37123</v>
      </c>
      <c r="H209" s="67" t="str">
        <f t="shared" si="6"/>
        <v>Aug</v>
      </c>
      <c r="I209" s="9">
        <f t="shared" ca="1" si="7"/>
        <v>15</v>
      </c>
      <c r="J209" s="8" t="s">
        <v>34</v>
      </c>
      <c r="K209" s="7">
        <v>27190</v>
      </c>
      <c r="L209" s="6">
        <v>2</v>
      </c>
      <c r="M209" s="106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 t="s">
        <v>766</v>
      </c>
      <c r="B210" s="12" t="s">
        <v>17</v>
      </c>
      <c r="C210" s="1" t="s">
        <v>20</v>
      </c>
      <c r="D210" s="85">
        <v>806508287</v>
      </c>
      <c r="E210" s="88">
        <v>2528801464</v>
      </c>
      <c r="F210" s="1" t="s">
        <v>5</v>
      </c>
      <c r="G210" s="108">
        <v>34632</v>
      </c>
      <c r="H210" s="67" t="str">
        <f t="shared" si="6"/>
        <v>Oct</v>
      </c>
      <c r="I210" s="9">
        <f t="shared" ca="1" si="7"/>
        <v>22</v>
      </c>
      <c r="J210" s="8" t="s">
        <v>32</v>
      </c>
      <c r="K210" s="7">
        <v>63530</v>
      </c>
      <c r="L210" s="6">
        <v>4</v>
      </c>
      <c r="M210" s="106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 t="s">
        <v>356</v>
      </c>
      <c r="B211" s="12" t="s">
        <v>17</v>
      </c>
      <c r="C211" s="1" t="s">
        <v>20</v>
      </c>
      <c r="D211" s="85">
        <v>332289257</v>
      </c>
      <c r="E211" s="88">
        <v>9198367725</v>
      </c>
      <c r="F211" s="1" t="s">
        <v>12</v>
      </c>
      <c r="G211" s="108">
        <v>36993</v>
      </c>
      <c r="H211" s="67" t="str">
        <f t="shared" si="6"/>
        <v>Apr</v>
      </c>
      <c r="I211" s="9">
        <f t="shared" ca="1" si="7"/>
        <v>15</v>
      </c>
      <c r="J211" s="8"/>
      <c r="K211" s="7">
        <v>81910</v>
      </c>
      <c r="L211" s="6">
        <v>5</v>
      </c>
      <c r="M211" s="106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 t="s">
        <v>336</v>
      </c>
      <c r="B212" s="12" t="s">
        <v>2</v>
      </c>
      <c r="C212" s="1" t="s">
        <v>20</v>
      </c>
      <c r="D212" s="85">
        <v>143534593</v>
      </c>
      <c r="E212" s="88">
        <v>2527172882</v>
      </c>
      <c r="F212" s="1" t="s">
        <v>12</v>
      </c>
      <c r="G212" s="108">
        <v>38821</v>
      </c>
      <c r="H212" s="67" t="str">
        <f t="shared" si="6"/>
        <v>Apr</v>
      </c>
      <c r="I212" s="9">
        <f t="shared" ca="1" si="7"/>
        <v>10</v>
      </c>
      <c r="J212" s="8"/>
      <c r="K212" s="7">
        <v>90500</v>
      </c>
      <c r="L212" s="6">
        <v>1</v>
      </c>
      <c r="M212" s="106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 t="s">
        <v>602</v>
      </c>
      <c r="B213" s="12" t="s">
        <v>10</v>
      </c>
      <c r="C213" s="1" t="s">
        <v>20</v>
      </c>
      <c r="D213" s="85">
        <v>396727504</v>
      </c>
      <c r="E213" s="88">
        <v>9193204992</v>
      </c>
      <c r="F213" s="1" t="s">
        <v>12</v>
      </c>
      <c r="G213" s="108">
        <v>37601</v>
      </c>
      <c r="H213" s="67" t="str">
        <f t="shared" si="6"/>
        <v>Dec</v>
      </c>
      <c r="I213" s="9">
        <f t="shared" ca="1" si="7"/>
        <v>13</v>
      </c>
      <c r="J213" s="8"/>
      <c r="K213" s="7">
        <v>50210</v>
      </c>
      <c r="L213" s="6">
        <v>2</v>
      </c>
      <c r="M213" s="106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 t="s">
        <v>121</v>
      </c>
      <c r="B214" s="12" t="s">
        <v>13</v>
      </c>
      <c r="C214" s="1" t="s">
        <v>20</v>
      </c>
      <c r="D214" s="85">
        <v>561737107</v>
      </c>
      <c r="E214" s="88">
        <v>9198294156</v>
      </c>
      <c r="F214" s="1" t="s">
        <v>5</v>
      </c>
      <c r="G214" s="108">
        <v>36025</v>
      </c>
      <c r="H214" s="67" t="str">
        <f t="shared" si="6"/>
        <v>Aug</v>
      </c>
      <c r="I214" s="9">
        <f t="shared" ca="1" si="7"/>
        <v>18</v>
      </c>
      <c r="J214" s="8" t="s">
        <v>4</v>
      </c>
      <c r="K214" s="7">
        <v>87690</v>
      </c>
      <c r="L214" s="6">
        <v>5</v>
      </c>
      <c r="M214" s="106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 t="s">
        <v>333</v>
      </c>
      <c r="B215" s="12" t="s">
        <v>39</v>
      </c>
      <c r="C215" s="1" t="s">
        <v>20</v>
      </c>
      <c r="D215" s="85">
        <v>470935648</v>
      </c>
      <c r="E215" s="88">
        <v>9192053579</v>
      </c>
      <c r="F215" s="1" t="s">
        <v>12</v>
      </c>
      <c r="G215" s="108">
        <v>39538</v>
      </c>
      <c r="H215" s="67" t="str">
        <f t="shared" si="6"/>
        <v>Mar</v>
      </c>
      <c r="I215" s="9">
        <f t="shared" ca="1" si="7"/>
        <v>8</v>
      </c>
      <c r="J215" s="8"/>
      <c r="K215" s="7">
        <v>47620</v>
      </c>
      <c r="L215" s="6">
        <v>1</v>
      </c>
      <c r="M215" s="106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 t="s">
        <v>463</v>
      </c>
      <c r="B216" s="12" t="s">
        <v>13</v>
      </c>
      <c r="C216" s="1" t="s">
        <v>20</v>
      </c>
      <c r="D216" s="85">
        <v>337943008</v>
      </c>
      <c r="E216" s="88">
        <v>2521257896</v>
      </c>
      <c r="F216" s="1" t="s">
        <v>5</v>
      </c>
      <c r="G216" s="108">
        <v>38395</v>
      </c>
      <c r="H216" s="67" t="str">
        <f t="shared" si="6"/>
        <v>Feb</v>
      </c>
      <c r="I216" s="9">
        <f t="shared" ca="1" si="7"/>
        <v>11</v>
      </c>
      <c r="J216" s="8" t="s">
        <v>32</v>
      </c>
      <c r="K216" s="7">
        <v>34760</v>
      </c>
      <c r="L216" s="6">
        <v>3</v>
      </c>
      <c r="M216" s="106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 t="s">
        <v>439</v>
      </c>
      <c r="B217" s="12" t="s">
        <v>17</v>
      </c>
      <c r="C217" s="1" t="s">
        <v>20</v>
      </c>
      <c r="D217" s="85">
        <v>220781349</v>
      </c>
      <c r="E217" s="88">
        <v>2525185281</v>
      </c>
      <c r="F217" s="1" t="s">
        <v>12</v>
      </c>
      <c r="G217" s="108">
        <v>35150</v>
      </c>
      <c r="H217" s="67" t="str">
        <f t="shared" si="6"/>
        <v>Mar</v>
      </c>
      <c r="I217" s="9">
        <f t="shared" ca="1" si="7"/>
        <v>20</v>
      </c>
      <c r="J217" s="8"/>
      <c r="K217" s="7">
        <v>54920</v>
      </c>
      <c r="L217" s="6">
        <v>5</v>
      </c>
      <c r="M217" s="106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 t="s">
        <v>719</v>
      </c>
      <c r="B218" s="12" t="s">
        <v>10</v>
      </c>
      <c r="C218" s="1" t="s">
        <v>20</v>
      </c>
      <c r="D218" s="85">
        <v>620336005</v>
      </c>
      <c r="E218" s="88">
        <v>9196422185</v>
      </c>
      <c r="F218" s="1" t="s">
        <v>5</v>
      </c>
      <c r="G218" s="108">
        <v>39378</v>
      </c>
      <c r="H218" s="67" t="str">
        <f t="shared" si="6"/>
        <v>Oct</v>
      </c>
      <c r="I218" s="9">
        <f t="shared" ca="1" si="7"/>
        <v>9</v>
      </c>
      <c r="J218" s="8" t="s">
        <v>32</v>
      </c>
      <c r="K218" s="7">
        <v>49270</v>
      </c>
      <c r="L218" s="6">
        <v>3</v>
      </c>
      <c r="M218" s="106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 t="s">
        <v>711</v>
      </c>
      <c r="B219" s="12" t="s">
        <v>39</v>
      </c>
      <c r="C219" s="1" t="s">
        <v>20</v>
      </c>
      <c r="D219" s="85">
        <v>436778229</v>
      </c>
      <c r="E219" s="88">
        <v>2525871924</v>
      </c>
      <c r="F219" s="1" t="s">
        <v>12</v>
      </c>
      <c r="G219" s="108">
        <v>40823</v>
      </c>
      <c r="H219" s="67" t="str">
        <f t="shared" si="6"/>
        <v>Oct</v>
      </c>
      <c r="I219" s="9">
        <f t="shared" ca="1" si="7"/>
        <v>5</v>
      </c>
      <c r="J219" s="8"/>
      <c r="K219" s="7">
        <v>72050</v>
      </c>
      <c r="L219" s="6">
        <v>5</v>
      </c>
      <c r="M219" s="106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 t="s">
        <v>713</v>
      </c>
      <c r="B220" s="12" t="s">
        <v>2</v>
      </c>
      <c r="C220" s="1" t="s">
        <v>20</v>
      </c>
      <c r="D220" s="85">
        <v>292993080</v>
      </c>
      <c r="E220" s="88">
        <v>2525085320</v>
      </c>
      <c r="F220" s="1" t="s">
        <v>5</v>
      </c>
      <c r="G220" s="108">
        <v>40456</v>
      </c>
      <c r="H220" s="67" t="str">
        <f t="shared" si="6"/>
        <v>Oct</v>
      </c>
      <c r="I220" s="9">
        <f t="shared" ca="1" si="7"/>
        <v>6</v>
      </c>
      <c r="J220" s="8" t="s">
        <v>4</v>
      </c>
      <c r="K220" s="7">
        <v>71300</v>
      </c>
      <c r="L220" s="6">
        <v>4</v>
      </c>
      <c r="M220" s="106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 t="s">
        <v>155</v>
      </c>
      <c r="B221" s="12" t="s">
        <v>2</v>
      </c>
      <c r="C221" s="1" t="s">
        <v>20</v>
      </c>
      <c r="D221" s="85">
        <v>378189642</v>
      </c>
      <c r="E221" s="88">
        <v>2526228199</v>
      </c>
      <c r="F221" s="1" t="s">
        <v>12</v>
      </c>
      <c r="G221" s="108">
        <v>38900</v>
      </c>
      <c r="H221" s="67" t="str">
        <f t="shared" si="6"/>
        <v>Jul</v>
      </c>
      <c r="I221" s="9">
        <f t="shared" ca="1" si="7"/>
        <v>10</v>
      </c>
      <c r="J221" s="8"/>
      <c r="K221" s="7">
        <v>77060</v>
      </c>
      <c r="L221" s="6">
        <v>5</v>
      </c>
      <c r="M221" s="106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 t="s">
        <v>101</v>
      </c>
      <c r="B222" s="12" t="s">
        <v>17</v>
      </c>
      <c r="C222" s="1" t="s">
        <v>20</v>
      </c>
      <c r="D222" s="85">
        <v>708108747</v>
      </c>
      <c r="E222" s="88">
        <v>9192520526</v>
      </c>
      <c r="F222" s="1" t="s">
        <v>5</v>
      </c>
      <c r="G222" s="108">
        <v>38944</v>
      </c>
      <c r="H222" s="67" t="str">
        <f t="shared" si="6"/>
        <v>Aug</v>
      </c>
      <c r="I222" s="9">
        <f t="shared" ca="1" si="7"/>
        <v>10</v>
      </c>
      <c r="J222" s="8" t="s">
        <v>32</v>
      </c>
      <c r="K222" s="7">
        <v>90210</v>
      </c>
      <c r="L222" s="6">
        <v>3</v>
      </c>
      <c r="M222" s="106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 t="s">
        <v>170</v>
      </c>
      <c r="B223" s="12" t="s">
        <v>10</v>
      </c>
      <c r="C223" s="1" t="s">
        <v>20</v>
      </c>
      <c r="D223" s="85">
        <v>504914685</v>
      </c>
      <c r="E223" s="88">
        <v>9195250630</v>
      </c>
      <c r="F223" s="1" t="s">
        <v>5</v>
      </c>
      <c r="G223" s="108">
        <v>37085</v>
      </c>
      <c r="H223" s="67" t="str">
        <f t="shared" si="6"/>
        <v>Jul</v>
      </c>
      <c r="I223" s="9">
        <f t="shared" ca="1" si="7"/>
        <v>15</v>
      </c>
      <c r="J223" s="8" t="s">
        <v>32</v>
      </c>
      <c r="K223" s="7">
        <v>39850</v>
      </c>
      <c r="L223" s="6">
        <v>4</v>
      </c>
      <c r="M223" s="106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 t="s">
        <v>162</v>
      </c>
      <c r="B224" s="12" t="s">
        <v>17</v>
      </c>
      <c r="C224" s="1" t="s">
        <v>20</v>
      </c>
      <c r="D224" s="85">
        <v>384454025</v>
      </c>
      <c r="E224" s="88">
        <v>2522064219</v>
      </c>
      <c r="F224" s="1" t="s">
        <v>12</v>
      </c>
      <c r="G224" s="108">
        <v>37456</v>
      </c>
      <c r="H224" s="67" t="str">
        <f t="shared" si="6"/>
        <v>Jul</v>
      </c>
      <c r="I224" s="9">
        <f t="shared" ca="1" si="7"/>
        <v>14</v>
      </c>
      <c r="J224" s="8"/>
      <c r="K224" s="7">
        <v>28570</v>
      </c>
      <c r="L224" s="6">
        <v>4</v>
      </c>
      <c r="M224" s="106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 t="s">
        <v>521</v>
      </c>
      <c r="B225" s="12" t="s">
        <v>13</v>
      </c>
      <c r="C225" s="1" t="s">
        <v>20</v>
      </c>
      <c r="D225" s="85">
        <v>167058119</v>
      </c>
      <c r="E225" s="88">
        <v>2527237007</v>
      </c>
      <c r="F225" s="1" t="s">
        <v>0</v>
      </c>
      <c r="G225" s="108">
        <v>38731</v>
      </c>
      <c r="H225" s="67" t="str">
        <f t="shared" si="6"/>
        <v>Jan</v>
      </c>
      <c r="I225" s="9">
        <f t="shared" ca="1" si="7"/>
        <v>10</v>
      </c>
      <c r="J225" s="8"/>
      <c r="K225" s="7">
        <v>10670</v>
      </c>
      <c r="L225" s="6">
        <v>1</v>
      </c>
      <c r="M225" s="106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 t="s">
        <v>716</v>
      </c>
      <c r="B226" s="12" t="s">
        <v>39</v>
      </c>
      <c r="C226" s="1" t="s">
        <v>20</v>
      </c>
      <c r="D226" s="85">
        <v>405396173</v>
      </c>
      <c r="E226" s="88">
        <v>2521777060</v>
      </c>
      <c r="F226" s="1" t="s">
        <v>5</v>
      </c>
      <c r="G226" s="108">
        <v>39734</v>
      </c>
      <c r="H226" s="67" t="str">
        <f t="shared" si="6"/>
        <v>Oct</v>
      </c>
      <c r="I226" s="9">
        <f t="shared" ca="1" si="7"/>
        <v>8</v>
      </c>
      <c r="J226" s="8" t="s">
        <v>8</v>
      </c>
      <c r="K226" s="7">
        <v>82450</v>
      </c>
      <c r="L226" s="6">
        <v>4</v>
      </c>
      <c r="M226" s="106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 t="s">
        <v>99</v>
      </c>
      <c r="B227" s="12" t="s">
        <v>13</v>
      </c>
      <c r="C227" s="1" t="s">
        <v>20</v>
      </c>
      <c r="D227" s="85">
        <v>399060898</v>
      </c>
      <c r="E227" s="88">
        <v>9195197037</v>
      </c>
      <c r="F227" s="1" t="s">
        <v>12</v>
      </c>
      <c r="G227" s="108">
        <v>39322</v>
      </c>
      <c r="H227" s="67" t="str">
        <f t="shared" si="6"/>
        <v>Aug</v>
      </c>
      <c r="I227" s="9">
        <f t="shared" ca="1" si="7"/>
        <v>9</v>
      </c>
      <c r="J227" s="8"/>
      <c r="K227" s="7">
        <v>45580</v>
      </c>
      <c r="L227" s="6">
        <v>4</v>
      </c>
      <c r="M227" s="106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 t="s">
        <v>214</v>
      </c>
      <c r="B228" s="12" t="s">
        <v>10</v>
      </c>
      <c r="C228" s="1" t="s">
        <v>20</v>
      </c>
      <c r="D228" s="85">
        <v>575270646</v>
      </c>
      <c r="E228" s="88">
        <v>9197819805</v>
      </c>
      <c r="F228" s="1" t="s">
        <v>5</v>
      </c>
      <c r="G228" s="108">
        <v>40349</v>
      </c>
      <c r="H228" s="67" t="str">
        <f t="shared" si="6"/>
        <v>Jun</v>
      </c>
      <c r="I228" s="9">
        <f t="shared" ca="1" si="7"/>
        <v>6</v>
      </c>
      <c r="J228" s="8" t="s">
        <v>32</v>
      </c>
      <c r="K228" s="7">
        <v>55460</v>
      </c>
      <c r="L228" s="6">
        <v>2</v>
      </c>
      <c r="M228" s="106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 t="s">
        <v>513</v>
      </c>
      <c r="B229" s="12" t="s">
        <v>17</v>
      </c>
      <c r="C229" s="1" t="s">
        <v>20</v>
      </c>
      <c r="D229" s="85">
        <v>527185620</v>
      </c>
      <c r="E229" s="88">
        <v>2524627771</v>
      </c>
      <c r="F229" s="1" t="s">
        <v>5</v>
      </c>
      <c r="G229" s="108">
        <v>41271</v>
      </c>
      <c r="H229" s="67" t="str">
        <f t="shared" si="6"/>
        <v>Dec</v>
      </c>
      <c r="I229" s="9">
        <f t="shared" ca="1" si="7"/>
        <v>3</v>
      </c>
      <c r="J229" s="8" t="s">
        <v>4</v>
      </c>
      <c r="K229" s="7">
        <v>42360</v>
      </c>
      <c r="L229" s="6">
        <v>5</v>
      </c>
      <c r="M229" s="106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 t="s">
        <v>331</v>
      </c>
      <c r="B230" s="12" t="s">
        <v>56</v>
      </c>
      <c r="C230" s="1" t="s">
        <v>20</v>
      </c>
      <c r="D230" s="85">
        <v>240272873</v>
      </c>
      <c r="E230" s="88">
        <v>9198912054</v>
      </c>
      <c r="F230" s="1" t="s">
        <v>12</v>
      </c>
      <c r="G230" s="108">
        <v>39913</v>
      </c>
      <c r="H230" s="67" t="str">
        <f t="shared" si="6"/>
        <v>Apr</v>
      </c>
      <c r="I230" s="9">
        <f t="shared" ca="1" si="7"/>
        <v>7</v>
      </c>
      <c r="J230" s="8"/>
      <c r="K230" s="7">
        <v>96400</v>
      </c>
      <c r="L230" s="6">
        <v>4</v>
      </c>
      <c r="M230" s="106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 t="s">
        <v>443</v>
      </c>
      <c r="B231" s="12" t="s">
        <v>13</v>
      </c>
      <c r="C231" s="1" t="s">
        <v>20</v>
      </c>
      <c r="D231" s="85">
        <v>428024993</v>
      </c>
      <c r="E231" s="88">
        <v>9196410575</v>
      </c>
      <c r="F231" s="1" t="s">
        <v>12</v>
      </c>
      <c r="G231" s="108">
        <v>34775</v>
      </c>
      <c r="H231" s="67" t="str">
        <f t="shared" si="6"/>
        <v>Mar</v>
      </c>
      <c r="I231" s="9">
        <f t="shared" ca="1" si="7"/>
        <v>21</v>
      </c>
      <c r="J231" s="8"/>
      <c r="K231" s="7">
        <v>38630</v>
      </c>
      <c r="L231" s="6">
        <v>3</v>
      </c>
      <c r="M231" s="106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 t="s">
        <v>544</v>
      </c>
      <c r="B232" s="12" t="s">
        <v>13</v>
      </c>
      <c r="C232" s="1" t="s">
        <v>20</v>
      </c>
      <c r="D232" s="85">
        <v>482927373</v>
      </c>
      <c r="E232" s="88">
        <v>9198413271</v>
      </c>
      <c r="F232" s="1" t="s">
        <v>5</v>
      </c>
      <c r="G232" s="108">
        <v>36527</v>
      </c>
      <c r="H232" s="67" t="str">
        <f t="shared" si="6"/>
        <v>Jan</v>
      </c>
      <c r="I232" s="9">
        <f t="shared" ca="1" si="7"/>
        <v>16</v>
      </c>
      <c r="J232" s="8" t="s">
        <v>4</v>
      </c>
      <c r="K232" s="7">
        <v>38870</v>
      </c>
      <c r="L232" s="6">
        <v>2</v>
      </c>
      <c r="M232" s="106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 t="s">
        <v>479</v>
      </c>
      <c r="B233" s="12" t="s">
        <v>56</v>
      </c>
      <c r="C233" s="1" t="s">
        <v>20</v>
      </c>
      <c r="D233" s="85">
        <v>317844971</v>
      </c>
      <c r="E233" s="88">
        <v>9193557946</v>
      </c>
      <c r="F233" s="1" t="s">
        <v>12</v>
      </c>
      <c r="G233" s="108">
        <v>36928</v>
      </c>
      <c r="H233" s="67" t="str">
        <f t="shared" si="6"/>
        <v>Feb</v>
      </c>
      <c r="I233" s="9">
        <f t="shared" ca="1" si="7"/>
        <v>15</v>
      </c>
      <c r="J233" s="8"/>
      <c r="K233" s="7">
        <v>92290</v>
      </c>
      <c r="L233" s="6">
        <v>1</v>
      </c>
      <c r="M233" s="106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 t="s">
        <v>232</v>
      </c>
      <c r="B234" s="12" t="s">
        <v>10</v>
      </c>
      <c r="C234" s="1" t="s">
        <v>20</v>
      </c>
      <c r="D234" s="85">
        <v>177332873</v>
      </c>
      <c r="E234" s="88">
        <v>9195915044</v>
      </c>
      <c r="F234" s="1" t="s">
        <v>5</v>
      </c>
      <c r="G234" s="108">
        <v>37414</v>
      </c>
      <c r="H234" s="67" t="str">
        <f t="shared" si="6"/>
        <v>Jun</v>
      </c>
      <c r="I234" s="9">
        <f t="shared" ca="1" si="7"/>
        <v>14</v>
      </c>
      <c r="J234" s="8" t="s">
        <v>32</v>
      </c>
      <c r="K234" s="7">
        <v>48070</v>
      </c>
      <c r="L234" s="6">
        <v>3</v>
      </c>
      <c r="M234" s="106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 t="s">
        <v>98</v>
      </c>
      <c r="B235" s="12" t="s">
        <v>2</v>
      </c>
      <c r="C235" s="1" t="s">
        <v>20</v>
      </c>
      <c r="D235" s="85">
        <v>590896401</v>
      </c>
      <c r="E235" s="88">
        <v>2523122603</v>
      </c>
      <c r="F235" s="1" t="s">
        <v>5</v>
      </c>
      <c r="G235" s="108">
        <v>39322</v>
      </c>
      <c r="H235" s="67" t="str">
        <f t="shared" si="6"/>
        <v>Aug</v>
      </c>
      <c r="I235" s="9">
        <f t="shared" ca="1" si="7"/>
        <v>9</v>
      </c>
      <c r="J235" s="8" t="s">
        <v>34</v>
      </c>
      <c r="K235" s="7">
        <v>84910</v>
      </c>
      <c r="L235" s="6">
        <v>1</v>
      </c>
      <c r="M235" s="106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 t="s">
        <v>533</v>
      </c>
      <c r="B236" s="12" t="s">
        <v>17</v>
      </c>
      <c r="C236" s="1" t="s">
        <v>20</v>
      </c>
      <c r="D236" s="85">
        <v>984570981</v>
      </c>
      <c r="E236" s="88">
        <v>2528155179</v>
      </c>
      <c r="F236" s="1" t="s">
        <v>15</v>
      </c>
      <c r="G236" s="108">
        <v>37270</v>
      </c>
      <c r="H236" s="67" t="str">
        <f t="shared" si="6"/>
        <v>Jan</v>
      </c>
      <c r="I236" s="9">
        <f t="shared" ca="1" si="7"/>
        <v>14</v>
      </c>
      <c r="J236" s="8" t="s">
        <v>4</v>
      </c>
      <c r="K236" s="7">
        <v>57830</v>
      </c>
      <c r="L236" s="6">
        <v>1</v>
      </c>
      <c r="M236" s="106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 t="s">
        <v>630</v>
      </c>
      <c r="B237" s="12" t="s">
        <v>17</v>
      </c>
      <c r="C237" s="1" t="s">
        <v>20</v>
      </c>
      <c r="D237" s="85">
        <v>775217609</v>
      </c>
      <c r="E237" s="88">
        <v>9191591006</v>
      </c>
      <c r="F237" s="1" t="s">
        <v>5</v>
      </c>
      <c r="G237" s="108">
        <v>35405</v>
      </c>
      <c r="H237" s="67" t="str">
        <f t="shared" si="6"/>
        <v>Dec</v>
      </c>
      <c r="I237" s="9">
        <f t="shared" ca="1" si="7"/>
        <v>19</v>
      </c>
      <c r="J237" s="8" t="s">
        <v>4</v>
      </c>
      <c r="K237" s="7">
        <v>29650</v>
      </c>
      <c r="L237" s="6">
        <v>2</v>
      </c>
      <c r="M237" s="106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 t="s">
        <v>559</v>
      </c>
      <c r="B238" s="12" t="s">
        <v>17</v>
      </c>
      <c r="C238" s="1" t="s">
        <v>20</v>
      </c>
      <c r="D238" s="85">
        <v>854806695</v>
      </c>
      <c r="E238" s="88">
        <v>9192672603</v>
      </c>
      <c r="F238" s="1" t="s">
        <v>5</v>
      </c>
      <c r="G238" s="108">
        <v>34722</v>
      </c>
      <c r="H238" s="67" t="str">
        <f t="shared" si="6"/>
        <v>Jan</v>
      </c>
      <c r="I238" s="9">
        <f t="shared" ca="1" si="7"/>
        <v>21</v>
      </c>
      <c r="J238" s="8" t="s">
        <v>4</v>
      </c>
      <c r="K238" s="7">
        <v>31430</v>
      </c>
      <c r="L238" s="6">
        <v>5</v>
      </c>
      <c r="M238" s="106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 t="s">
        <v>570</v>
      </c>
      <c r="B239" s="12" t="s">
        <v>13</v>
      </c>
      <c r="C239" s="1" t="s">
        <v>20</v>
      </c>
      <c r="D239" s="85">
        <v>377194926</v>
      </c>
      <c r="E239" s="88">
        <v>9197362525</v>
      </c>
      <c r="F239" s="1" t="s">
        <v>5</v>
      </c>
      <c r="G239" s="108">
        <v>41604</v>
      </c>
      <c r="H239" s="67" t="str">
        <f t="shared" si="6"/>
        <v>Nov</v>
      </c>
      <c r="I239" s="9">
        <f t="shared" ca="1" si="7"/>
        <v>2</v>
      </c>
      <c r="J239" s="8" t="s">
        <v>19</v>
      </c>
      <c r="K239" s="7">
        <v>53110</v>
      </c>
      <c r="L239" s="6">
        <v>1</v>
      </c>
      <c r="M239" s="106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 t="s">
        <v>55</v>
      </c>
      <c r="B240" s="12" t="s">
        <v>17</v>
      </c>
      <c r="C240" s="1" t="s">
        <v>20</v>
      </c>
      <c r="D240" s="85">
        <v>698869555</v>
      </c>
      <c r="E240" s="88">
        <v>2526052545</v>
      </c>
      <c r="F240" s="1" t="s">
        <v>15</v>
      </c>
      <c r="G240" s="108">
        <v>37504</v>
      </c>
      <c r="H240" s="67" t="str">
        <f t="shared" si="6"/>
        <v>Sep</v>
      </c>
      <c r="I240" s="9">
        <f t="shared" ca="1" si="7"/>
        <v>14</v>
      </c>
      <c r="J240" s="8" t="s">
        <v>19</v>
      </c>
      <c r="K240" s="7">
        <v>49940</v>
      </c>
      <c r="L240" s="6">
        <v>1</v>
      </c>
      <c r="M240" s="106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 t="s">
        <v>496</v>
      </c>
      <c r="B241" s="12" t="s">
        <v>56</v>
      </c>
      <c r="C241" s="1" t="s">
        <v>20</v>
      </c>
      <c r="D241" s="85">
        <v>720538680</v>
      </c>
      <c r="E241" s="88">
        <v>2522126686</v>
      </c>
      <c r="F241" s="1" t="s">
        <v>5</v>
      </c>
      <c r="G241" s="108">
        <v>35484</v>
      </c>
      <c r="H241" s="67" t="str">
        <f t="shared" si="6"/>
        <v>Feb</v>
      </c>
      <c r="I241" s="9">
        <f t="shared" ca="1" si="7"/>
        <v>19</v>
      </c>
      <c r="J241" s="8" t="s">
        <v>32</v>
      </c>
      <c r="K241" s="7">
        <v>97210</v>
      </c>
      <c r="L241" s="6">
        <v>4</v>
      </c>
      <c r="M241" s="106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 t="s">
        <v>560</v>
      </c>
      <c r="B242" s="12" t="s">
        <v>39</v>
      </c>
      <c r="C242" s="1" t="s">
        <v>20</v>
      </c>
      <c r="D242" s="85">
        <v>467030396</v>
      </c>
      <c r="E242" s="88">
        <v>2526213620</v>
      </c>
      <c r="F242" s="1" t="s">
        <v>5</v>
      </c>
      <c r="G242" s="108">
        <v>34721</v>
      </c>
      <c r="H242" s="67" t="str">
        <f t="shared" si="6"/>
        <v>Jan</v>
      </c>
      <c r="I242" s="9">
        <f t="shared" ca="1" si="7"/>
        <v>21</v>
      </c>
      <c r="J242" s="8" t="s">
        <v>4</v>
      </c>
      <c r="K242" s="7">
        <v>70690</v>
      </c>
      <c r="L242" s="6">
        <v>1</v>
      </c>
      <c r="M242" s="106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 t="s">
        <v>382</v>
      </c>
      <c r="B243" s="12" t="s">
        <v>17</v>
      </c>
      <c r="C243" s="1" t="s">
        <v>20</v>
      </c>
      <c r="D243" s="85">
        <v>380653169</v>
      </c>
      <c r="E243" s="88">
        <v>9194743535</v>
      </c>
      <c r="F243" s="1" t="s">
        <v>5</v>
      </c>
      <c r="G243" s="108">
        <v>35152</v>
      </c>
      <c r="H243" s="67" t="str">
        <f t="shared" si="6"/>
        <v>Mar</v>
      </c>
      <c r="I243" s="9">
        <f t="shared" ca="1" si="7"/>
        <v>20</v>
      </c>
      <c r="J243" s="8" t="s">
        <v>4</v>
      </c>
      <c r="K243" s="7">
        <v>98380</v>
      </c>
      <c r="L243" s="6">
        <v>2</v>
      </c>
      <c r="M243" s="106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 t="s">
        <v>520</v>
      </c>
      <c r="B244" s="12" t="s">
        <v>39</v>
      </c>
      <c r="C244" s="1" t="s">
        <v>20</v>
      </c>
      <c r="D244" s="85">
        <v>561968668</v>
      </c>
      <c r="E244" s="88">
        <v>2522433774</v>
      </c>
      <c r="F244" s="1" t="s">
        <v>5</v>
      </c>
      <c r="G244" s="108">
        <v>39810</v>
      </c>
      <c r="H244" s="67" t="str">
        <f t="shared" si="6"/>
        <v>Dec</v>
      </c>
      <c r="I244" s="9">
        <f t="shared" ca="1" si="7"/>
        <v>7</v>
      </c>
      <c r="J244" s="8" t="s">
        <v>34</v>
      </c>
      <c r="K244" s="7">
        <v>91900</v>
      </c>
      <c r="L244" s="6">
        <v>1</v>
      </c>
      <c r="M244" s="106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 t="s">
        <v>146</v>
      </c>
      <c r="B245" s="12" t="s">
        <v>2</v>
      </c>
      <c r="C245" s="1" t="s">
        <v>20</v>
      </c>
      <c r="D245" s="85">
        <v>484217278</v>
      </c>
      <c r="E245" s="88">
        <v>9195627374</v>
      </c>
      <c r="F245" s="1" t="s">
        <v>0</v>
      </c>
      <c r="G245" s="108">
        <v>40748</v>
      </c>
      <c r="H245" s="67" t="str">
        <f t="shared" si="6"/>
        <v>Jul</v>
      </c>
      <c r="I245" s="9">
        <f t="shared" ca="1" si="7"/>
        <v>5</v>
      </c>
      <c r="J245" s="8"/>
      <c r="K245" s="7">
        <v>12690</v>
      </c>
      <c r="L245" s="6">
        <v>4</v>
      </c>
      <c r="M245" s="106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 t="s">
        <v>43</v>
      </c>
      <c r="B246" s="12" t="s">
        <v>39</v>
      </c>
      <c r="C246" s="1" t="s">
        <v>20</v>
      </c>
      <c r="D246" s="85">
        <v>488831244</v>
      </c>
      <c r="E246" s="88">
        <v>9198979762</v>
      </c>
      <c r="F246" s="1" t="s">
        <v>15</v>
      </c>
      <c r="G246" s="108">
        <v>38621</v>
      </c>
      <c r="H246" s="67" t="str">
        <f t="shared" si="6"/>
        <v>Sep</v>
      </c>
      <c r="I246" s="9">
        <f t="shared" ca="1" si="7"/>
        <v>11</v>
      </c>
      <c r="J246" s="8" t="s">
        <v>32</v>
      </c>
      <c r="K246" s="7">
        <v>29350</v>
      </c>
      <c r="L246" s="6">
        <v>1</v>
      </c>
      <c r="M246" s="106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 t="s">
        <v>103</v>
      </c>
      <c r="B247" s="12" t="s">
        <v>2</v>
      </c>
      <c r="C247" s="1" t="s">
        <v>20</v>
      </c>
      <c r="D247" s="85">
        <v>135965371</v>
      </c>
      <c r="E247" s="88">
        <v>9195592950</v>
      </c>
      <c r="F247" s="1" t="s">
        <v>5</v>
      </c>
      <c r="G247" s="108">
        <v>38937</v>
      </c>
      <c r="H247" s="67" t="str">
        <f t="shared" si="6"/>
        <v>Aug</v>
      </c>
      <c r="I247" s="9">
        <f t="shared" ca="1" si="7"/>
        <v>10</v>
      </c>
      <c r="J247" s="8" t="s">
        <v>4</v>
      </c>
      <c r="K247" s="7">
        <v>37100</v>
      </c>
      <c r="L247" s="6">
        <v>5</v>
      </c>
      <c r="M247" s="106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 t="s">
        <v>695</v>
      </c>
      <c r="B248" s="12" t="s">
        <v>17</v>
      </c>
      <c r="C248" s="1" t="s">
        <v>20</v>
      </c>
      <c r="D248" s="85">
        <v>259573806</v>
      </c>
      <c r="E248" s="88">
        <v>9193302808</v>
      </c>
      <c r="F248" s="1" t="s">
        <v>5</v>
      </c>
      <c r="G248" s="108">
        <v>34649</v>
      </c>
      <c r="H248" s="67" t="str">
        <f t="shared" si="6"/>
        <v>Nov</v>
      </c>
      <c r="I248" s="9">
        <f t="shared" ca="1" si="7"/>
        <v>21</v>
      </c>
      <c r="J248" s="8" t="s">
        <v>8</v>
      </c>
      <c r="K248" s="7">
        <v>72460</v>
      </c>
      <c r="L248" s="6">
        <v>4</v>
      </c>
      <c r="M248" s="106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 t="s">
        <v>545</v>
      </c>
      <c r="B249" s="12" t="s">
        <v>13</v>
      </c>
      <c r="C249" s="1" t="s">
        <v>20</v>
      </c>
      <c r="D249" s="85">
        <v>920477476</v>
      </c>
      <c r="E249" s="88">
        <v>2523162442</v>
      </c>
      <c r="F249" s="1" t="s">
        <v>12</v>
      </c>
      <c r="G249" s="108">
        <v>36186</v>
      </c>
      <c r="H249" s="67" t="str">
        <f t="shared" si="6"/>
        <v>Jan</v>
      </c>
      <c r="I249" s="9">
        <f t="shared" ca="1" si="7"/>
        <v>17</v>
      </c>
      <c r="J249" s="8"/>
      <c r="K249" s="7">
        <v>29290</v>
      </c>
      <c r="L249" s="6">
        <v>3</v>
      </c>
      <c r="M249" s="106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 t="s">
        <v>518</v>
      </c>
      <c r="B250" s="12" t="s">
        <v>13</v>
      </c>
      <c r="C250" s="1" t="s">
        <v>20</v>
      </c>
      <c r="D250" s="85">
        <v>276980518</v>
      </c>
      <c r="E250" s="88">
        <v>9195267252</v>
      </c>
      <c r="F250" s="1" t="s">
        <v>5</v>
      </c>
      <c r="G250" s="108">
        <v>39833</v>
      </c>
      <c r="H250" s="67" t="str">
        <f t="shared" si="6"/>
        <v>Jan</v>
      </c>
      <c r="I250" s="9">
        <f t="shared" ca="1" si="7"/>
        <v>7</v>
      </c>
      <c r="J250" s="8" t="s">
        <v>8</v>
      </c>
      <c r="K250" s="7">
        <v>35300</v>
      </c>
      <c r="L250" s="6">
        <v>5</v>
      </c>
      <c r="M250" s="106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 t="s">
        <v>400</v>
      </c>
      <c r="B251" s="12" t="s">
        <v>10</v>
      </c>
      <c r="C251" s="1" t="s">
        <v>20</v>
      </c>
      <c r="D251" s="85">
        <v>725737456</v>
      </c>
      <c r="E251" s="88">
        <v>9191847141</v>
      </c>
      <c r="F251" s="1" t="s">
        <v>12</v>
      </c>
      <c r="G251" s="108">
        <v>39875</v>
      </c>
      <c r="H251" s="67" t="str">
        <f t="shared" si="6"/>
        <v>Mar</v>
      </c>
      <c r="I251" s="9">
        <f t="shared" ca="1" si="7"/>
        <v>7</v>
      </c>
      <c r="J251" s="8"/>
      <c r="K251" s="7">
        <v>71200</v>
      </c>
      <c r="L251" s="6">
        <v>4</v>
      </c>
      <c r="M251" s="106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 t="s">
        <v>542</v>
      </c>
      <c r="B252" s="12" t="s">
        <v>10</v>
      </c>
      <c r="C252" s="1" t="s">
        <v>20</v>
      </c>
      <c r="D252" s="85">
        <v>350104448</v>
      </c>
      <c r="E252" s="88">
        <v>9193883356</v>
      </c>
      <c r="F252" s="1" t="s">
        <v>5</v>
      </c>
      <c r="G252" s="108">
        <v>36530</v>
      </c>
      <c r="H252" s="67" t="str">
        <f t="shared" si="6"/>
        <v>Jan</v>
      </c>
      <c r="I252" s="9">
        <f t="shared" ca="1" si="7"/>
        <v>16</v>
      </c>
      <c r="J252" s="8" t="s">
        <v>19</v>
      </c>
      <c r="K252" s="7">
        <v>53900</v>
      </c>
      <c r="L252" s="6">
        <v>1</v>
      </c>
      <c r="M252" s="106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 t="s">
        <v>346</v>
      </c>
      <c r="B253" s="12" t="s">
        <v>13</v>
      </c>
      <c r="C253" s="1" t="s">
        <v>20</v>
      </c>
      <c r="D253" s="85">
        <v>130619578</v>
      </c>
      <c r="E253" s="88">
        <v>9195057530</v>
      </c>
      <c r="F253" s="1" t="s">
        <v>12</v>
      </c>
      <c r="G253" s="108">
        <v>37719</v>
      </c>
      <c r="H253" s="67" t="str">
        <f t="shared" si="6"/>
        <v>Apr</v>
      </c>
      <c r="I253" s="9">
        <f t="shared" ca="1" si="7"/>
        <v>13</v>
      </c>
      <c r="J253" s="8"/>
      <c r="K253" s="7">
        <v>107420</v>
      </c>
      <c r="L253" s="6">
        <v>5</v>
      </c>
      <c r="M253" s="106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 t="s">
        <v>417</v>
      </c>
      <c r="B254" s="12" t="s">
        <v>39</v>
      </c>
      <c r="C254" s="1" t="s">
        <v>20</v>
      </c>
      <c r="D254" s="85">
        <v>353414196</v>
      </c>
      <c r="E254" s="88">
        <v>2528159919</v>
      </c>
      <c r="F254" s="1" t="s">
        <v>5</v>
      </c>
      <c r="G254" s="108">
        <v>37699</v>
      </c>
      <c r="H254" s="67" t="str">
        <f t="shared" si="6"/>
        <v>Mar</v>
      </c>
      <c r="I254" s="9">
        <f t="shared" ca="1" si="7"/>
        <v>13</v>
      </c>
      <c r="J254" s="8" t="s">
        <v>19</v>
      </c>
      <c r="K254" s="7">
        <v>28380</v>
      </c>
      <c r="L254" s="6">
        <v>1</v>
      </c>
      <c r="M254" s="106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 t="s">
        <v>469</v>
      </c>
      <c r="B255" s="12" t="s">
        <v>17</v>
      </c>
      <c r="C255" s="1" t="s">
        <v>20</v>
      </c>
      <c r="D255" s="85">
        <v>506577536</v>
      </c>
      <c r="E255" s="88">
        <v>2524999647</v>
      </c>
      <c r="F255" s="1" t="s">
        <v>0</v>
      </c>
      <c r="G255" s="108">
        <v>37306</v>
      </c>
      <c r="H255" s="67" t="str">
        <f t="shared" si="6"/>
        <v>Feb</v>
      </c>
      <c r="I255" s="9">
        <f t="shared" ca="1" si="7"/>
        <v>14</v>
      </c>
      <c r="J255" s="8"/>
      <c r="K255" s="7">
        <v>11310</v>
      </c>
      <c r="L255" s="6">
        <v>4</v>
      </c>
      <c r="M255" s="106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 t="s">
        <v>355</v>
      </c>
      <c r="B256" s="12" t="s">
        <v>17</v>
      </c>
      <c r="C256" s="1" t="s">
        <v>20</v>
      </c>
      <c r="D256" s="85">
        <v>280304785</v>
      </c>
      <c r="E256" s="88">
        <v>2525918708</v>
      </c>
      <c r="F256" s="1" t="s">
        <v>5</v>
      </c>
      <c r="G256" s="108">
        <v>36997</v>
      </c>
      <c r="H256" s="67" t="str">
        <f t="shared" si="6"/>
        <v>Apr</v>
      </c>
      <c r="I256" s="9">
        <f t="shared" ca="1" si="7"/>
        <v>15</v>
      </c>
      <c r="J256" s="8" t="s">
        <v>32</v>
      </c>
      <c r="K256" s="7">
        <v>48410</v>
      </c>
      <c r="L256" s="6">
        <v>2</v>
      </c>
      <c r="M256" s="106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 t="s">
        <v>500</v>
      </c>
      <c r="B257" s="12" t="s">
        <v>10</v>
      </c>
      <c r="C257" s="1" t="s">
        <v>20</v>
      </c>
      <c r="D257" s="85">
        <v>466293520</v>
      </c>
      <c r="E257" s="88">
        <v>2524442142</v>
      </c>
      <c r="F257" s="1" t="s">
        <v>0</v>
      </c>
      <c r="G257" s="108">
        <v>34752</v>
      </c>
      <c r="H257" s="67" t="str">
        <f t="shared" si="6"/>
        <v>Feb</v>
      </c>
      <c r="I257" s="9">
        <f t="shared" ca="1" si="7"/>
        <v>21</v>
      </c>
      <c r="J257" s="8"/>
      <c r="K257" s="7">
        <v>26810</v>
      </c>
      <c r="L257" s="6">
        <v>4</v>
      </c>
      <c r="M257" s="106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 t="s">
        <v>276</v>
      </c>
      <c r="B258" s="12" t="s">
        <v>2</v>
      </c>
      <c r="C258" s="1" t="s">
        <v>20</v>
      </c>
      <c r="D258" s="85">
        <v>858800513</v>
      </c>
      <c r="E258" s="88">
        <v>9193547588</v>
      </c>
      <c r="F258" s="1" t="s">
        <v>5</v>
      </c>
      <c r="G258" s="108">
        <v>40313</v>
      </c>
      <c r="H258" s="67" t="str">
        <f t="shared" ref="H258:H321" si="8">CHOOSE(MONTH(G258),"Jan","Feb","Mar","Apr","May","Jun","Jul","Aug","Sep","Oct","Nov","Dec")</f>
        <v>May</v>
      </c>
      <c r="I258" s="9">
        <f t="shared" ref="I258:I321" ca="1" si="9">DATEDIF(G258,TODAY(),"Y")</f>
        <v>6</v>
      </c>
      <c r="J258" s="8" t="s">
        <v>34</v>
      </c>
      <c r="K258" s="7">
        <v>85240</v>
      </c>
      <c r="L258" s="6">
        <v>3</v>
      </c>
      <c r="M258" s="106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 t="s">
        <v>597</v>
      </c>
      <c r="B259" s="12" t="s">
        <v>13</v>
      </c>
      <c r="C259" s="1" t="s">
        <v>20</v>
      </c>
      <c r="D259" s="85">
        <v>635767088</v>
      </c>
      <c r="E259" s="88">
        <v>2522153322</v>
      </c>
      <c r="F259" s="1" t="s">
        <v>12</v>
      </c>
      <c r="G259" s="108">
        <v>37978</v>
      </c>
      <c r="H259" s="67" t="str">
        <f t="shared" si="8"/>
        <v>Dec</v>
      </c>
      <c r="I259" s="9">
        <f t="shared" ca="1" si="9"/>
        <v>12</v>
      </c>
      <c r="J259" s="8"/>
      <c r="K259" s="7">
        <v>82210</v>
      </c>
      <c r="L259" s="6">
        <v>5</v>
      </c>
      <c r="M259" s="106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 t="s">
        <v>410</v>
      </c>
      <c r="B260" s="12" t="s">
        <v>17</v>
      </c>
      <c r="C260" s="1" t="s">
        <v>20</v>
      </c>
      <c r="D260" s="85">
        <v>512405919</v>
      </c>
      <c r="E260" s="88">
        <v>9195858234</v>
      </c>
      <c r="F260" s="1" t="s">
        <v>5</v>
      </c>
      <c r="G260" s="108">
        <v>38437</v>
      </c>
      <c r="H260" s="67" t="str">
        <f t="shared" si="8"/>
        <v>Mar</v>
      </c>
      <c r="I260" s="9">
        <f t="shared" ca="1" si="9"/>
        <v>11</v>
      </c>
      <c r="J260" s="8" t="s">
        <v>19</v>
      </c>
      <c r="K260" s="7">
        <v>76960</v>
      </c>
      <c r="L260" s="6">
        <v>1</v>
      </c>
      <c r="M260" s="106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 t="s">
        <v>748</v>
      </c>
      <c r="B261" s="12" t="s">
        <v>17</v>
      </c>
      <c r="C261" s="1" t="s">
        <v>20</v>
      </c>
      <c r="D261" s="85">
        <v>616417564</v>
      </c>
      <c r="E261" s="88">
        <v>9191806180</v>
      </c>
      <c r="F261" s="1" t="s">
        <v>12</v>
      </c>
      <c r="G261" s="108">
        <v>36452</v>
      </c>
      <c r="H261" s="67" t="str">
        <f t="shared" si="8"/>
        <v>Oct</v>
      </c>
      <c r="I261" s="9">
        <f t="shared" ca="1" si="9"/>
        <v>17</v>
      </c>
      <c r="J261" s="8"/>
      <c r="K261" s="7">
        <v>50580</v>
      </c>
      <c r="L261" s="6">
        <v>5</v>
      </c>
      <c r="M261" s="106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 t="s">
        <v>186</v>
      </c>
      <c r="B262" s="12" t="s">
        <v>56</v>
      </c>
      <c r="C262" s="1" t="s">
        <v>20</v>
      </c>
      <c r="D262" s="85">
        <v>624234626</v>
      </c>
      <c r="E262" s="88">
        <v>2523077504</v>
      </c>
      <c r="F262" s="1" t="s">
        <v>15</v>
      </c>
      <c r="G262" s="108">
        <v>36344</v>
      </c>
      <c r="H262" s="67" t="str">
        <f t="shared" si="8"/>
        <v>Jul</v>
      </c>
      <c r="I262" s="9">
        <f t="shared" ca="1" si="9"/>
        <v>17</v>
      </c>
      <c r="J262" s="8" t="s">
        <v>32</v>
      </c>
      <c r="K262" s="7">
        <v>55970</v>
      </c>
      <c r="L262" s="6">
        <v>5</v>
      </c>
      <c r="M262" s="106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 t="s">
        <v>154</v>
      </c>
      <c r="B263" s="12" t="s">
        <v>39</v>
      </c>
      <c r="C263" s="1" t="s">
        <v>20</v>
      </c>
      <c r="D263" s="85">
        <v>361925033</v>
      </c>
      <c r="E263" s="88">
        <v>9196633751</v>
      </c>
      <c r="F263" s="1" t="s">
        <v>12</v>
      </c>
      <c r="G263" s="108">
        <v>39290</v>
      </c>
      <c r="H263" s="67" t="str">
        <f t="shared" si="8"/>
        <v>Jul</v>
      </c>
      <c r="I263" s="9">
        <f t="shared" ca="1" si="9"/>
        <v>9</v>
      </c>
      <c r="J263" s="8"/>
      <c r="K263" s="7">
        <v>86200</v>
      </c>
      <c r="L263" s="6">
        <v>3</v>
      </c>
      <c r="M263" s="106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 t="s">
        <v>345</v>
      </c>
      <c r="B264" s="12" t="s">
        <v>13</v>
      </c>
      <c r="C264" s="1" t="s">
        <v>20</v>
      </c>
      <c r="D264" s="85">
        <v>251824309</v>
      </c>
      <c r="E264" s="88">
        <v>9197950668</v>
      </c>
      <c r="F264" s="1" t="s">
        <v>12</v>
      </c>
      <c r="G264" s="108">
        <v>37730</v>
      </c>
      <c r="H264" s="67" t="str">
        <f t="shared" si="8"/>
        <v>Apr</v>
      </c>
      <c r="I264" s="9">
        <f t="shared" ca="1" si="9"/>
        <v>13</v>
      </c>
      <c r="J264" s="8"/>
      <c r="K264" s="7">
        <v>54500</v>
      </c>
      <c r="L264" s="6">
        <v>1</v>
      </c>
      <c r="M264" s="106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 t="s">
        <v>489</v>
      </c>
      <c r="B265" s="12" t="s">
        <v>13</v>
      </c>
      <c r="C265" s="1" t="s">
        <v>20</v>
      </c>
      <c r="D265" s="85">
        <v>243062914</v>
      </c>
      <c r="E265" s="88">
        <v>9194018412</v>
      </c>
      <c r="F265" s="1" t="s">
        <v>5</v>
      </c>
      <c r="G265" s="108">
        <v>36200</v>
      </c>
      <c r="H265" s="67" t="str">
        <f t="shared" si="8"/>
        <v>Feb</v>
      </c>
      <c r="I265" s="9">
        <f t="shared" ca="1" si="9"/>
        <v>17</v>
      </c>
      <c r="J265" s="8" t="s">
        <v>32</v>
      </c>
      <c r="K265" s="7">
        <v>88140</v>
      </c>
      <c r="L265" s="6">
        <v>3</v>
      </c>
      <c r="M265" s="106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 t="s">
        <v>709</v>
      </c>
      <c r="B266" s="12" t="s">
        <v>13</v>
      </c>
      <c r="C266" s="1" t="s">
        <v>20</v>
      </c>
      <c r="D266" s="85">
        <v>798466688</v>
      </c>
      <c r="E266" s="88">
        <v>9192232339</v>
      </c>
      <c r="F266" s="1" t="s">
        <v>5</v>
      </c>
      <c r="G266" s="108">
        <v>41204</v>
      </c>
      <c r="H266" s="67" t="str">
        <f t="shared" si="8"/>
        <v>Oct</v>
      </c>
      <c r="I266" s="9">
        <f t="shared" ca="1" si="9"/>
        <v>4</v>
      </c>
      <c r="J266" s="8" t="s">
        <v>32</v>
      </c>
      <c r="K266" s="7">
        <v>42720</v>
      </c>
      <c r="L266" s="6">
        <v>5</v>
      </c>
      <c r="M266" s="106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 t="s">
        <v>553</v>
      </c>
      <c r="B267" s="12" t="s">
        <v>17</v>
      </c>
      <c r="C267" s="1" t="s">
        <v>20</v>
      </c>
      <c r="D267" s="85">
        <v>219245495</v>
      </c>
      <c r="E267" s="88">
        <v>9198256039</v>
      </c>
      <c r="F267" s="1" t="s">
        <v>12</v>
      </c>
      <c r="G267" s="108">
        <v>35426</v>
      </c>
      <c r="H267" s="67" t="str">
        <f t="shared" si="8"/>
        <v>Dec</v>
      </c>
      <c r="I267" s="9">
        <f t="shared" ca="1" si="9"/>
        <v>19</v>
      </c>
      <c r="J267" s="8"/>
      <c r="K267" s="7">
        <v>75970</v>
      </c>
      <c r="L267" s="6">
        <v>3</v>
      </c>
      <c r="M267" s="106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 t="s">
        <v>519</v>
      </c>
      <c r="B268" s="12" t="s">
        <v>13</v>
      </c>
      <c r="C268" s="1" t="s">
        <v>20</v>
      </c>
      <c r="D268" s="85">
        <v>914330398</v>
      </c>
      <c r="E268" s="88">
        <v>9193498222</v>
      </c>
      <c r="F268" s="1" t="s">
        <v>5</v>
      </c>
      <c r="G268" s="108">
        <v>39822</v>
      </c>
      <c r="H268" s="67" t="str">
        <f t="shared" si="8"/>
        <v>Jan</v>
      </c>
      <c r="I268" s="9">
        <f t="shared" ca="1" si="9"/>
        <v>7</v>
      </c>
      <c r="J268" s="8" t="s">
        <v>4</v>
      </c>
      <c r="K268" s="7">
        <v>78860</v>
      </c>
      <c r="L268" s="6">
        <v>1</v>
      </c>
      <c r="M268" s="106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 t="s">
        <v>181</v>
      </c>
      <c r="B269" s="12" t="s">
        <v>2</v>
      </c>
      <c r="C269" s="1" t="s">
        <v>20</v>
      </c>
      <c r="D269" s="85">
        <v>523758324</v>
      </c>
      <c r="E269" s="88">
        <v>9191308831</v>
      </c>
      <c r="F269" s="1" t="s">
        <v>5</v>
      </c>
      <c r="G269" s="108">
        <v>36362</v>
      </c>
      <c r="H269" s="67" t="str">
        <f t="shared" si="8"/>
        <v>Jul</v>
      </c>
      <c r="I269" s="9">
        <f t="shared" ca="1" si="9"/>
        <v>17</v>
      </c>
      <c r="J269" s="8" t="s">
        <v>32</v>
      </c>
      <c r="K269" s="7">
        <v>71180</v>
      </c>
      <c r="L269" s="6">
        <v>4</v>
      </c>
      <c r="M269" s="106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 t="s">
        <v>376</v>
      </c>
      <c r="B270" s="12" t="s">
        <v>10</v>
      </c>
      <c r="C270" s="1" t="s">
        <v>20</v>
      </c>
      <c r="D270" s="85">
        <v>366740174</v>
      </c>
      <c r="E270" s="88">
        <v>2521549933</v>
      </c>
      <c r="F270" s="1" t="s">
        <v>0</v>
      </c>
      <c r="G270" s="108">
        <v>35166</v>
      </c>
      <c r="H270" s="67" t="str">
        <f t="shared" si="8"/>
        <v>Apr</v>
      </c>
      <c r="I270" s="9">
        <f t="shared" ca="1" si="9"/>
        <v>20</v>
      </c>
      <c r="J270" s="8"/>
      <c r="K270" s="7">
        <v>36500</v>
      </c>
      <c r="L270" s="6">
        <v>1</v>
      </c>
      <c r="M270" s="106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5">
      <c r="A271" s="1" t="s">
        <v>228</v>
      </c>
      <c r="B271" s="12" t="s">
        <v>13</v>
      </c>
      <c r="C271" s="1" t="s">
        <v>20</v>
      </c>
      <c r="D271" s="85">
        <v>559376297</v>
      </c>
      <c r="E271" s="88">
        <v>9194888110</v>
      </c>
      <c r="F271" s="1" t="s">
        <v>5</v>
      </c>
      <c r="G271" s="108">
        <v>37432</v>
      </c>
      <c r="H271" s="67" t="str">
        <f t="shared" si="8"/>
        <v>Jun</v>
      </c>
      <c r="I271" s="9">
        <f t="shared" ca="1" si="9"/>
        <v>14</v>
      </c>
      <c r="J271" s="8" t="s">
        <v>32</v>
      </c>
      <c r="K271" s="7">
        <v>42980</v>
      </c>
      <c r="L271" s="6">
        <v>2</v>
      </c>
      <c r="M271" s="106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5">
      <c r="A272" s="1" t="s">
        <v>163</v>
      </c>
      <c r="B272" s="12" t="s">
        <v>39</v>
      </c>
      <c r="C272" s="1" t="s">
        <v>20</v>
      </c>
      <c r="D272" s="85">
        <v>772163640</v>
      </c>
      <c r="E272" s="88">
        <v>9192474315</v>
      </c>
      <c r="F272" s="1" t="s">
        <v>5</v>
      </c>
      <c r="G272" s="108">
        <v>37445</v>
      </c>
      <c r="H272" s="67" t="str">
        <f t="shared" si="8"/>
        <v>Jul</v>
      </c>
      <c r="I272" s="9">
        <f t="shared" ca="1" si="9"/>
        <v>14</v>
      </c>
      <c r="J272" s="8" t="s">
        <v>32</v>
      </c>
      <c r="K272" s="7">
        <v>80740</v>
      </c>
      <c r="L272" s="6">
        <v>3</v>
      </c>
      <c r="M272" s="106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5">
      <c r="A273" s="1" t="s">
        <v>477</v>
      </c>
      <c r="B273" s="12" t="s">
        <v>39</v>
      </c>
      <c r="C273" s="1" t="s">
        <v>20</v>
      </c>
      <c r="D273" s="85">
        <v>416394493</v>
      </c>
      <c r="E273" s="88">
        <v>2525228252</v>
      </c>
      <c r="F273" s="1" t="s">
        <v>5</v>
      </c>
      <c r="G273" s="108">
        <v>36939</v>
      </c>
      <c r="H273" s="67" t="str">
        <f t="shared" si="8"/>
        <v>Feb</v>
      </c>
      <c r="I273" s="9">
        <f t="shared" ca="1" si="9"/>
        <v>15</v>
      </c>
      <c r="J273" s="8" t="s">
        <v>19</v>
      </c>
      <c r="K273" s="7">
        <v>66540</v>
      </c>
      <c r="L273" s="6">
        <v>5</v>
      </c>
      <c r="M273" s="106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5">
      <c r="A274" s="1" t="s">
        <v>250</v>
      </c>
      <c r="B274" s="12" t="s">
        <v>13</v>
      </c>
      <c r="C274" s="1" t="s">
        <v>20</v>
      </c>
      <c r="D274" s="85">
        <v>565952209</v>
      </c>
      <c r="E274" s="88">
        <v>2522889972</v>
      </c>
      <c r="F274" s="1" t="s">
        <v>5</v>
      </c>
      <c r="G274" s="108">
        <v>35972</v>
      </c>
      <c r="H274" s="67" t="str">
        <f t="shared" si="8"/>
        <v>Jun</v>
      </c>
      <c r="I274" s="9">
        <f t="shared" ca="1" si="9"/>
        <v>18</v>
      </c>
      <c r="J274" s="8" t="s">
        <v>4</v>
      </c>
      <c r="K274" s="7">
        <v>80460</v>
      </c>
      <c r="L274" s="6">
        <v>4</v>
      </c>
      <c r="M274" s="106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5">
      <c r="A275" s="1" t="s">
        <v>735</v>
      </c>
      <c r="B275" s="12" t="s">
        <v>17</v>
      </c>
      <c r="C275" s="1" t="s">
        <v>20</v>
      </c>
      <c r="D275" s="85">
        <v>569701716</v>
      </c>
      <c r="E275" s="88">
        <v>2527461285</v>
      </c>
      <c r="F275" s="1" t="s">
        <v>15</v>
      </c>
      <c r="G275" s="108">
        <v>37178</v>
      </c>
      <c r="H275" s="67" t="str">
        <f t="shared" si="8"/>
        <v>Oct</v>
      </c>
      <c r="I275" s="9">
        <f t="shared" ca="1" si="9"/>
        <v>15</v>
      </c>
      <c r="J275" s="8" t="s">
        <v>19</v>
      </c>
      <c r="K275" s="7">
        <v>26000</v>
      </c>
      <c r="L275" s="6">
        <v>2</v>
      </c>
      <c r="M275" s="106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5">
      <c r="A276" s="1" t="s">
        <v>517</v>
      </c>
      <c r="B276" s="12" t="s">
        <v>13</v>
      </c>
      <c r="C276" s="1" t="s">
        <v>20</v>
      </c>
      <c r="D276" s="85">
        <v>114005397</v>
      </c>
      <c r="E276" s="88">
        <v>2524694617</v>
      </c>
      <c r="F276" s="1" t="s">
        <v>12</v>
      </c>
      <c r="G276" s="108">
        <v>40190</v>
      </c>
      <c r="H276" s="67" t="str">
        <f t="shared" si="8"/>
        <v>Jan</v>
      </c>
      <c r="I276" s="9">
        <f t="shared" ca="1" si="9"/>
        <v>6</v>
      </c>
      <c r="J276" s="8"/>
      <c r="K276" s="7">
        <v>76620</v>
      </c>
      <c r="L276" s="6">
        <v>2</v>
      </c>
      <c r="M276" s="106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5">
      <c r="A277" s="1" t="s">
        <v>49</v>
      </c>
      <c r="B277" s="12" t="s">
        <v>10</v>
      </c>
      <c r="C277" s="1" t="s">
        <v>20</v>
      </c>
      <c r="D277" s="85">
        <v>312019803</v>
      </c>
      <c r="E277" s="88">
        <v>9197961953</v>
      </c>
      <c r="F277" s="1" t="s">
        <v>5</v>
      </c>
      <c r="G277" s="108">
        <v>38230</v>
      </c>
      <c r="H277" s="67" t="str">
        <f t="shared" si="8"/>
        <v>Aug</v>
      </c>
      <c r="I277" s="9">
        <f t="shared" ca="1" si="9"/>
        <v>12</v>
      </c>
      <c r="J277" s="8" t="s">
        <v>4</v>
      </c>
      <c r="K277" s="7">
        <v>30370</v>
      </c>
      <c r="L277" s="6">
        <v>4</v>
      </c>
      <c r="M277" s="106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5">
      <c r="A278" s="1" t="s">
        <v>678</v>
      </c>
      <c r="B278" s="12" t="s">
        <v>39</v>
      </c>
      <c r="C278" s="1" t="s">
        <v>20</v>
      </c>
      <c r="D278" s="85">
        <v>661850671</v>
      </c>
      <c r="E278" s="88">
        <v>2528405900</v>
      </c>
      <c r="F278" s="1" t="s">
        <v>0</v>
      </c>
      <c r="G278" s="108">
        <v>36830</v>
      </c>
      <c r="H278" s="67" t="str">
        <f t="shared" si="8"/>
        <v>Oct</v>
      </c>
      <c r="I278" s="9">
        <f t="shared" ca="1" si="9"/>
        <v>16</v>
      </c>
      <c r="J278" s="8"/>
      <c r="K278" s="7">
        <v>35010</v>
      </c>
      <c r="L278" s="6">
        <v>3</v>
      </c>
      <c r="M278" s="106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5">
      <c r="A279" s="1" t="s">
        <v>377</v>
      </c>
      <c r="B279" s="12" t="s">
        <v>39</v>
      </c>
      <c r="C279" s="1" t="s">
        <v>20</v>
      </c>
      <c r="D279" s="85">
        <v>427260216</v>
      </c>
      <c r="E279" s="88">
        <v>9198999194</v>
      </c>
      <c r="F279" s="1" t="s">
        <v>15</v>
      </c>
      <c r="G279" s="108">
        <v>35164</v>
      </c>
      <c r="H279" s="67" t="str">
        <f t="shared" si="8"/>
        <v>Apr</v>
      </c>
      <c r="I279" s="9">
        <f t="shared" ca="1" si="9"/>
        <v>20</v>
      </c>
      <c r="J279" s="8" t="s">
        <v>34</v>
      </c>
      <c r="K279" s="7">
        <v>22670</v>
      </c>
      <c r="L279" s="6">
        <v>4</v>
      </c>
      <c r="M279" s="106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5">
      <c r="A280" s="1" t="s">
        <v>312</v>
      </c>
      <c r="B280" s="12" t="s">
        <v>17</v>
      </c>
      <c r="C280" s="1" t="s">
        <v>20</v>
      </c>
      <c r="D280" s="85">
        <v>910964196</v>
      </c>
      <c r="E280" s="88">
        <v>9194361873</v>
      </c>
      <c r="F280" s="1" t="s">
        <v>12</v>
      </c>
      <c r="G280" s="108">
        <v>34820</v>
      </c>
      <c r="H280" s="67" t="str">
        <f t="shared" si="8"/>
        <v>May</v>
      </c>
      <c r="I280" s="9">
        <f t="shared" ca="1" si="9"/>
        <v>21</v>
      </c>
      <c r="J280" s="8"/>
      <c r="K280" s="7">
        <v>59440</v>
      </c>
      <c r="L280" s="6">
        <v>2</v>
      </c>
      <c r="M280" s="106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5">
      <c r="A281" s="1" t="s">
        <v>350</v>
      </c>
      <c r="B281" s="12" t="s">
        <v>13</v>
      </c>
      <c r="C281" s="1" t="s">
        <v>20</v>
      </c>
      <c r="D281" s="85">
        <v>110547055</v>
      </c>
      <c r="E281" s="88">
        <v>2526966637</v>
      </c>
      <c r="F281" s="1" t="s">
        <v>15</v>
      </c>
      <c r="G281" s="108">
        <v>37361</v>
      </c>
      <c r="H281" s="67" t="str">
        <f t="shared" si="8"/>
        <v>Apr</v>
      </c>
      <c r="I281" s="9">
        <f t="shared" ca="1" si="9"/>
        <v>14</v>
      </c>
      <c r="J281" s="8" t="s">
        <v>4</v>
      </c>
      <c r="K281" s="7">
        <v>13280</v>
      </c>
      <c r="L281" s="6">
        <v>1</v>
      </c>
      <c r="M281" s="106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5">
      <c r="A282" s="1" t="s">
        <v>141</v>
      </c>
      <c r="B282" s="12" t="s">
        <v>17</v>
      </c>
      <c r="C282" s="1" t="s">
        <v>20</v>
      </c>
      <c r="D282" s="85">
        <v>995858336</v>
      </c>
      <c r="E282" s="88">
        <v>2525035104</v>
      </c>
      <c r="F282" s="1" t="s">
        <v>12</v>
      </c>
      <c r="G282" s="108">
        <v>41471</v>
      </c>
      <c r="H282" s="67" t="str">
        <f t="shared" si="8"/>
        <v>Jul</v>
      </c>
      <c r="I282" s="9">
        <f t="shared" ca="1" si="9"/>
        <v>3</v>
      </c>
      <c r="J282" s="8"/>
      <c r="K282" s="7">
        <v>45410</v>
      </c>
      <c r="L282" s="6">
        <v>1</v>
      </c>
      <c r="M282" s="106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5">
      <c r="A283" s="1" t="s">
        <v>91</v>
      </c>
      <c r="B283" s="12" t="s">
        <v>17</v>
      </c>
      <c r="C283" s="1" t="s">
        <v>20</v>
      </c>
      <c r="D283" s="85">
        <v>930314379</v>
      </c>
      <c r="E283" s="88">
        <v>2524854867</v>
      </c>
      <c r="F283" s="1" t="s">
        <v>5</v>
      </c>
      <c r="G283" s="108">
        <v>40391</v>
      </c>
      <c r="H283" s="67" t="str">
        <f t="shared" si="8"/>
        <v>Aug</v>
      </c>
      <c r="I283" s="9">
        <f t="shared" ca="1" si="9"/>
        <v>6</v>
      </c>
      <c r="J283" s="8" t="s">
        <v>19</v>
      </c>
      <c r="K283" s="7">
        <v>85790</v>
      </c>
      <c r="L283" s="6">
        <v>5</v>
      </c>
      <c r="M283" s="106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25">
      <c r="A284" s="1" t="s">
        <v>633</v>
      </c>
      <c r="B284" s="12" t="s">
        <v>39</v>
      </c>
      <c r="C284" s="1" t="s">
        <v>20</v>
      </c>
      <c r="D284" s="85">
        <v>138607245</v>
      </c>
      <c r="E284" s="88">
        <v>2522140101</v>
      </c>
      <c r="F284" s="1" t="s">
        <v>12</v>
      </c>
      <c r="G284" s="108">
        <v>35054</v>
      </c>
      <c r="H284" s="67" t="str">
        <f t="shared" si="8"/>
        <v>Dec</v>
      </c>
      <c r="I284" s="9">
        <f t="shared" ca="1" si="9"/>
        <v>20</v>
      </c>
      <c r="J284" s="8"/>
      <c r="K284" s="7">
        <v>95060</v>
      </c>
      <c r="L284" s="6">
        <v>4</v>
      </c>
      <c r="M284" s="106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5">
      <c r="A285" s="1" t="s">
        <v>433</v>
      </c>
      <c r="B285" s="12" t="s">
        <v>17</v>
      </c>
      <c r="C285" s="1" t="s">
        <v>20</v>
      </c>
      <c r="D285" s="85">
        <v>853268713</v>
      </c>
      <c r="E285" s="88">
        <v>9192712826</v>
      </c>
      <c r="F285" s="1" t="s">
        <v>5</v>
      </c>
      <c r="G285" s="108">
        <v>36590</v>
      </c>
      <c r="H285" s="67" t="str">
        <f t="shared" si="8"/>
        <v>Mar</v>
      </c>
      <c r="I285" s="9">
        <f t="shared" ca="1" si="9"/>
        <v>16</v>
      </c>
      <c r="J285" s="8" t="s">
        <v>32</v>
      </c>
      <c r="K285" s="7">
        <v>72340</v>
      </c>
      <c r="L285" s="6">
        <v>1</v>
      </c>
      <c r="M285" s="106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25">
      <c r="A286" s="1" t="s">
        <v>294</v>
      </c>
      <c r="B286" s="12" t="s">
        <v>10</v>
      </c>
      <c r="C286" s="1" t="s">
        <v>20</v>
      </c>
      <c r="D286" s="85">
        <v>596008829</v>
      </c>
      <c r="E286" s="88">
        <v>9198721709</v>
      </c>
      <c r="F286" s="1" t="s">
        <v>12</v>
      </c>
      <c r="G286" s="108">
        <v>37012</v>
      </c>
      <c r="H286" s="67" t="str">
        <f t="shared" si="8"/>
        <v>May</v>
      </c>
      <c r="I286" s="9">
        <f t="shared" ca="1" si="9"/>
        <v>15</v>
      </c>
      <c r="J286" s="8"/>
      <c r="K286" s="7">
        <v>54060</v>
      </c>
      <c r="L286" s="6">
        <v>1</v>
      </c>
      <c r="M286" s="106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5">
      <c r="A287" s="1" t="s">
        <v>113</v>
      </c>
      <c r="B287" s="12" t="s">
        <v>17</v>
      </c>
      <c r="C287" s="1" t="s">
        <v>20</v>
      </c>
      <c r="D287" s="85">
        <v>462995574</v>
      </c>
      <c r="E287" s="88">
        <v>2523431009</v>
      </c>
      <c r="F287" s="1" t="s">
        <v>5</v>
      </c>
      <c r="G287" s="108">
        <v>37102</v>
      </c>
      <c r="H287" s="67" t="str">
        <f t="shared" si="8"/>
        <v>Jul</v>
      </c>
      <c r="I287" s="9">
        <f t="shared" ca="1" si="9"/>
        <v>15</v>
      </c>
      <c r="J287" s="8" t="s">
        <v>32</v>
      </c>
      <c r="K287" s="7">
        <v>105890</v>
      </c>
      <c r="L287" s="6">
        <v>5</v>
      </c>
      <c r="M287" s="106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5">
      <c r="A288" s="1" t="s">
        <v>731</v>
      </c>
      <c r="B288" s="12" t="s">
        <v>17</v>
      </c>
      <c r="C288" s="1" t="s">
        <v>20</v>
      </c>
      <c r="D288" s="85">
        <v>914326052</v>
      </c>
      <c r="E288" s="88">
        <v>2524249228</v>
      </c>
      <c r="F288" s="1" t="s">
        <v>5</v>
      </c>
      <c r="G288" s="108">
        <v>37536</v>
      </c>
      <c r="H288" s="67" t="str">
        <f t="shared" si="8"/>
        <v>Oct</v>
      </c>
      <c r="I288" s="9">
        <f t="shared" ca="1" si="9"/>
        <v>14</v>
      </c>
      <c r="J288" s="8" t="s">
        <v>32</v>
      </c>
      <c r="K288" s="7">
        <v>91430</v>
      </c>
      <c r="L288" s="6">
        <v>4</v>
      </c>
      <c r="M288" s="106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5">
      <c r="A289" s="1" t="s">
        <v>119</v>
      </c>
      <c r="B289" s="12" t="s">
        <v>17</v>
      </c>
      <c r="C289" s="1" t="s">
        <v>20</v>
      </c>
      <c r="D289" s="85">
        <v>687006783</v>
      </c>
      <c r="E289" s="88">
        <v>2524919418</v>
      </c>
      <c r="F289" s="1" t="s">
        <v>12</v>
      </c>
      <c r="G289" s="108">
        <v>36380</v>
      </c>
      <c r="H289" s="67" t="str">
        <f t="shared" si="8"/>
        <v>Aug</v>
      </c>
      <c r="I289" s="9">
        <f t="shared" ca="1" si="9"/>
        <v>17</v>
      </c>
      <c r="J289" s="8"/>
      <c r="K289" s="7">
        <v>79210</v>
      </c>
      <c r="L289" s="6">
        <v>2</v>
      </c>
      <c r="M289" s="106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5">
      <c r="A290" s="1" t="s">
        <v>230</v>
      </c>
      <c r="B290" s="12" t="s">
        <v>13</v>
      </c>
      <c r="C290" s="1" t="s">
        <v>20</v>
      </c>
      <c r="D290" s="85">
        <v>594680949</v>
      </c>
      <c r="E290" s="88">
        <v>9192375580</v>
      </c>
      <c r="F290" s="1" t="s">
        <v>15</v>
      </c>
      <c r="G290" s="108">
        <v>37423</v>
      </c>
      <c r="H290" s="67" t="str">
        <f t="shared" si="8"/>
        <v>Jun</v>
      </c>
      <c r="I290" s="9">
        <f t="shared" ca="1" si="9"/>
        <v>14</v>
      </c>
      <c r="J290" s="8" t="s">
        <v>4</v>
      </c>
      <c r="K290" s="7">
        <v>20720</v>
      </c>
      <c r="L290" s="6">
        <v>5</v>
      </c>
      <c r="M290" s="106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5">
      <c r="A291" s="1" t="s">
        <v>352</v>
      </c>
      <c r="B291" s="12" t="s">
        <v>2</v>
      </c>
      <c r="C291" s="1" t="s">
        <v>20</v>
      </c>
      <c r="D291" s="85">
        <v>596641549</v>
      </c>
      <c r="E291" s="88">
        <v>9196194175</v>
      </c>
      <c r="F291" s="1" t="s">
        <v>12</v>
      </c>
      <c r="G291" s="108">
        <v>37351</v>
      </c>
      <c r="H291" s="67" t="str">
        <f t="shared" si="8"/>
        <v>Apr</v>
      </c>
      <c r="I291" s="9">
        <f t="shared" ca="1" si="9"/>
        <v>14</v>
      </c>
      <c r="J291" s="8"/>
      <c r="K291" s="7">
        <v>32860</v>
      </c>
      <c r="L291" s="6">
        <v>3</v>
      </c>
      <c r="M291" s="106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5">
      <c r="A292" s="1" t="s">
        <v>235</v>
      </c>
      <c r="B292" s="12" t="s">
        <v>10</v>
      </c>
      <c r="C292" s="1" t="s">
        <v>20</v>
      </c>
      <c r="D292" s="85">
        <v>993383806</v>
      </c>
      <c r="E292" s="88">
        <v>2521810581</v>
      </c>
      <c r="F292" s="1" t="s">
        <v>0</v>
      </c>
      <c r="G292" s="108">
        <v>37068</v>
      </c>
      <c r="H292" s="67" t="str">
        <f t="shared" si="8"/>
        <v>Jun</v>
      </c>
      <c r="I292" s="9">
        <f t="shared" ca="1" si="9"/>
        <v>15</v>
      </c>
      <c r="J292" s="8"/>
      <c r="K292" s="7">
        <v>45130</v>
      </c>
      <c r="L292" s="6">
        <v>4</v>
      </c>
      <c r="M292" s="106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5">
      <c r="A293" s="1" t="s">
        <v>516</v>
      </c>
      <c r="B293" s="12" t="s">
        <v>17</v>
      </c>
      <c r="C293" s="1" t="s">
        <v>20</v>
      </c>
      <c r="D293" s="85">
        <v>829216164</v>
      </c>
      <c r="E293" s="88">
        <v>2524982487</v>
      </c>
      <c r="F293" s="1" t="s">
        <v>12</v>
      </c>
      <c r="G293" s="108">
        <v>40546</v>
      </c>
      <c r="H293" s="67" t="str">
        <f t="shared" si="8"/>
        <v>Jan</v>
      </c>
      <c r="I293" s="9">
        <f t="shared" ca="1" si="9"/>
        <v>5</v>
      </c>
      <c r="J293" s="8"/>
      <c r="K293" s="7">
        <v>101000</v>
      </c>
      <c r="L293" s="6">
        <v>2</v>
      </c>
      <c r="M293" s="106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5">
      <c r="A294" s="1" t="s">
        <v>184</v>
      </c>
      <c r="B294" s="12" t="s">
        <v>17</v>
      </c>
      <c r="C294" s="1" t="s">
        <v>20</v>
      </c>
      <c r="D294" s="85">
        <v>371001908</v>
      </c>
      <c r="E294" s="88">
        <v>2527061632</v>
      </c>
      <c r="F294" s="1" t="s">
        <v>5</v>
      </c>
      <c r="G294" s="108">
        <v>36357</v>
      </c>
      <c r="H294" s="67" t="str">
        <f t="shared" si="8"/>
        <v>Jul</v>
      </c>
      <c r="I294" s="9">
        <f t="shared" ca="1" si="9"/>
        <v>17</v>
      </c>
      <c r="J294" s="8" t="s">
        <v>34</v>
      </c>
      <c r="K294" s="7">
        <v>54580</v>
      </c>
      <c r="L294" s="6">
        <v>4</v>
      </c>
      <c r="M294" s="106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5">
      <c r="A295" s="1" t="s">
        <v>398</v>
      </c>
      <c r="B295" s="12" t="s">
        <v>10</v>
      </c>
      <c r="C295" s="1" t="s">
        <v>20</v>
      </c>
      <c r="D295" s="85">
        <v>180095803</v>
      </c>
      <c r="E295" s="88">
        <v>2526503334</v>
      </c>
      <c r="F295" s="1" t="s">
        <v>5</v>
      </c>
      <c r="G295" s="108">
        <v>40973</v>
      </c>
      <c r="H295" s="67" t="str">
        <f t="shared" si="8"/>
        <v>Mar</v>
      </c>
      <c r="I295" s="9">
        <f t="shared" ca="1" si="9"/>
        <v>4</v>
      </c>
      <c r="J295" s="8" t="s">
        <v>32</v>
      </c>
      <c r="K295" s="7">
        <v>93800</v>
      </c>
      <c r="L295" s="6">
        <v>5</v>
      </c>
      <c r="M295" s="106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5">
      <c r="A296" s="1" t="s">
        <v>762</v>
      </c>
      <c r="B296" s="12" t="s">
        <v>17</v>
      </c>
      <c r="C296" s="1" t="s">
        <v>20</v>
      </c>
      <c r="D296" s="85">
        <v>820244290</v>
      </c>
      <c r="E296" s="88">
        <v>9194944596</v>
      </c>
      <c r="F296" s="1" t="s">
        <v>12</v>
      </c>
      <c r="G296" s="108">
        <v>34980</v>
      </c>
      <c r="H296" s="67" t="str">
        <f t="shared" si="8"/>
        <v>Oct</v>
      </c>
      <c r="I296" s="9">
        <f t="shared" ca="1" si="9"/>
        <v>21</v>
      </c>
      <c r="J296" s="8"/>
      <c r="K296" s="7">
        <v>88790</v>
      </c>
      <c r="L296" s="6">
        <v>3</v>
      </c>
      <c r="M296" s="106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5">
      <c r="A297" s="1" t="s">
        <v>473</v>
      </c>
      <c r="B297" s="12" t="s">
        <v>10</v>
      </c>
      <c r="C297" s="1" t="s">
        <v>20</v>
      </c>
      <c r="D297" s="85">
        <v>969216994</v>
      </c>
      <c r="E297" s="88">
        <v>2528973095</v>
      </c>
      <c r="F297" s="1" t="s">
        <v>12</v>
      </c>
      <c r="G297" s="108">
        <v>37284</v>
      </c>
      <c r="H297" s="67" t="str">
        <f t="shared" si="8"/>
        <v>Jan</v>
      </c>
      <c r="I297" s="9">
        <f t="shared" ca="1" si="9"/>
        <v>14</v>
      </c>
      <c r="J297" s="8"/>
      <c r="K297" s="7">
        <v>30160</v>
      </c>
      <c r="L297" s="6">
        <v>5</v>
      </c>
      <c r="M297" s="106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5">
      <c r="A298" s="1" t="s">
        <v>491</v>
      </c>
      <c r="B298" s="12" t="s">
        <v>13</v>
      </c>
      <c r="C298" s="1" t="s">
        <v>20</v>
      </c>
      <c r="D298" s="85">
        <v>930282755</v>
      </c>
      <c r="E298" s="88">
        <v>9192380636</v>
      </c>
      <c r="F298" s="1" t="s">
        <v>15</v>
      </c>
      <c r="G298" s="108">
        <v>36190</v>
      </c>
      <c r="H298" s="67" t="str">
        <f t="shared" si="8"/>
        <v>Jan</v>
      </c>
      <c r="I298" s="9">
        <f t="shared" ca="1" si="9"/>
        <v>17</v>
      </c>
      <c r="J298" s="8" t="s">
        <v>32</v>
      </c>
      <c r="K298" s="7">
        <v>55540</v>
      </c>
      <c r="L298" s="6">
        <v>5</v>
      </c>
      <c r="M298" s="106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5">
      <c r="A299" s="1" t="s">
        <v>179</v>
      </c>
      <c r="B299" s="12" t="s">
        <v>39</v>
      </c>
      <c r="C299" s="1" t="s">
        <v>20</v>
      </c>
      <c r="D299" s="85">
        <v>136620388</v>
      </c>
      <c r="E299" s="88">
        <v>9195119214</v>
      </c>
      <c r="F299" s="1" t="s">
        <v>5</v>
      </c>
      <c r="G299" s="108">
        <v>36715</v>
      </c>
      <c r="H299" s="67" t="str">
        <f t="shared" si="8"/>
        <v>Jul</v>
      </c>
      <c r="I299" s="9">
        <f t="shared" ca="1" si="9"/>
        <v>16</v>
      </c>
      <c r="J299" s="8" t="s">
        <v>34</v>
      </c>
      <c r="K299" s="7">
        <v>84020</v>
      </c>
      <c r="L299" s="6">
        <v>3</v>
      </c>
      <c r="M299" s="106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5">
      <c r="A300" s="1" t="s">
        <v>21</v>
      </c>
      <c r="B300" s="12" t="s">
        <v>2</v>
      </c>
      <c r="C300" s="1" t="s">
        <v>20</v>
      </c>
      <c r="D300" s="85">
        <v>425634540</v>
      </c>
      <c r="E300" s="88">
        <v>9196969994</v>
      </c>
      <c r="F300" s="1" t="s">
        <v>5</v>
      </c>
      <c r="G300" s="108">
        <v>41176</v>
      </c>
      <c r="H300" s="67" t="str">
        <f t="shared" si="8"/>
        <v>Sep</v>
      </c>
      <c r="I300" s="9">
        <f t="shared" ca="1" si="9"/>
        <v>4</v>
      </c>
      <c r="J300" s="8" t="s">
        <v>19</v>
      </c>
      <c r="K300" s="7">
        <v>41630</v>
      </c>
      <c r="L300" s="6">
        <v>2</v>
      </c>
      <c r="M300" s="106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5">
      <c r="A301" s="1" t="s">
        <v>626</v>
      </c>
      <c r="B301" s="12" t="s">
        <v>56</v>
      </c>
      <c r="C301" s="1" t="s">
        <v>20</v>
      </c>
      <c r="D301" s="85">
        <v>944793994</v>
      </c>
      <c r="E301" s="88">
        <v>2525725646</v>
      </c>
      <c r="F301" s="1" t="s">
        <v>5</v>
      </c>
      <c r="G301" s="108">
        <v>35786</v>
      </c>
      <c r="H301" s="67" t="str">
        <f t="shared" si="8"/>
        <v>Dec</v>
      </c>
      <c r="I301" s="9">
        <f t="shared" ca="1" si="9"/>
        <v>18</v>
      </c>
      <c r="J301" s="8" t="s">
        <v>32</v>
      </c>
      <c r="K301" s="7">
        <v>29160</v>
      </c>
      <c r="L301" s="6">
        <v>3</v>
      </c>
      <c r="M301" s="106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5">
      <c r="A302" s="1" t="s">
        <v>97</v>
      </c>
      <c r="B302" s="12" t="s">
        <v>13</v>
      </c>
      <c r="C302" s="1" t="s">
        <v>20</v>
      </c>
      <c r="D302" s="85">
        <v>249929042</v>
      </c>
      <c r="E302" s="88">
        <v>2525790872</v>
      </c>
      <c r="F302" s="1" t="s">
        <v>5</v>
      </c>
      <c r="G302" s="108">
        <v>39665</v>
      </c>
      <c r="H302" s="67" t="str">
        <f t="shared" si="8"/>
        <v>Aug</v>
      </c>
      <c r="I302" s="9">
        <f t="shared" ca="1" si="9"/>
        <v>8</v>
      </c>
      <c r="J302" s="8" t="s">
        <v>32</v>
      </c>
      <c r="K302" s="7">
        <v>73270</v>
      </c>
      <c r="L302" s="6">
        <v>5</v>
      </c>
      <c r="M302" s="106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5">
      <c r="A303" s="1" t="s">
        <v>253</v>
      </c>
      <c r="B303" s="12" t="s">
        <v>56</v>
      </c>
      <c r="C303" s="1" t="s">
        <v>20</v>
      </c>
      <c r="D303" s="85">
        <v>783624212</v>
      </c>
      <c r="E303" s="88">
        <v>9193164024</v>
      </c>
      <c r="F303" s="1" t="s">
        <v>15</v>
      </c>
      <c r="G303" s="108">
        <v>35584</v>
      </c>
      <c r="H303" s="67" t="str">
        <f t="shared" si="8"/>
        <v>Jun</v>
      </c>
      <c r="I303" s="9">
        <f t="shared" ca="1" si="9"/>
        <v>19</v>
      </c>
      <c r="J303" s="8" t="s">
        <v>34</v>
      </c>
      <c r="K303" s="7">
        <v>18310</v>
      </c>
      <c r="L303" s="6">
        <v>2</v>
      </c>
      <c r="M303" s="106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5">
      <c r="A304" s="1" t="s">
        <v>771</v>
      </c>
      <c r="B304" s="12" t="s">
        <v>13</v>
      </c>
      <c r="C304" s="1" t="s">
        <v>20</v>
      </c>
      <c r="D304" s="85">
        <v>291715078</v>
      </c>
      <c r="E304" s="88">
        <v>9197662359</v>
      </c>
      <c r="F304" s="1" t="s">
        <v>5</v>
      </c>
      <c r="G304" s="108">
        <v>34614</v>
      </c>
      <c r="H304" s="67" t="str">
        <f t="shared" si="8"/>
        <v>Oct</v>
      </c>
      <c r="I304" s="9">
        <f t="shared" ca="1" si="9"/>
        <v>22</v>
      </c>
      <c r="J304" s="8" t="s">
        <v>770</v>
      </c>
      <c r="K304" s="7">
        <v>68280</v>
      </c>
      <c r="L304" s="6">
        <v>5</v>
      </c>
      <c r="M304" s="106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5">
      <c r="A305" s="1" t="s">
        <v>590</v>
      </c>
      <c r="B305" s="12" t="s">
        <v>13</v>
      </c>
      <c r="C305" s="1" t="s">
        <v>20</v>
      </c>
      <c r="D305" s="85">
        <v>378281658</v>
      </c>
      <c r="E305" s="88">
        <v>9196705508</v>
      </c>
      <c r="F305" s="1" t="s">
        <v>12</v>
      </c>
      <c r="G305" s="108">
        <v>39074</v>
      </c>
      <c r="H305" s="67" t="str">
        <f t="shared" si="8"/>
        <v>Dec</v>
      </c>
      <c r="I305" s="9">
        <f t="shared" ca="1" si="9"/>
        <v>9</v>
      </c>
      <c r="J305" s="8"/>
      <c r="K305" s="7">
        <v>47160</v>
      </c>
      <c r="L305" s="6">
        <v>2</v>
      </c>
      <c r="M305" s="106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5">
      <c r="A306" s="1" t="s">
        <v>723</v>
      </c>
      <c r="B306" s="12" t="s">
        <v>13</v>
      </c>
      <c r="C306" s="1" t="s">
        <v>20</v>
      </c>
      <c r="D306" s="85">
        <v>948480407</v>
      </c>
      <c r="E306" s="88">
        <v>9191449596</v>
      </c>
      <c r="F306" s="1" t="s">
        <v>12</v>
      </c>
      <c r="G306" s="108">
        <v>38635</v>
      </c>
      <c r="H306" s="67" t="str">
        <f t="shared" si="8"/>
        <v>Oct</v>
      </c>
      <c r="I306" s="9">
        <f t="shared" ca="1" si="9"/>
        <v>11</v>
      </c>
      <c r="J306" s="8"/>
      <c r="K306" s="7">
        <v>73640</v>
      </c>
      <c r="L306" s="6">
        <v>3</v>
      </c>
      <c r="M306" s="106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5">
      <c r="A307" s="1" t="s">
        <v>710</v>
      </c>
      <c r="B307" s="12" t="s">
        <v>39</v>
      </c>
      <c r="C307" s="1" t="s">
        <v>20</v>
      </c>
      <c r="D307" s="85">
        <v>159117255</v>
      </c>
      <c r="E307" s="88">
        <v>9198426889</v>
      </c>
      <c r="F307" s="1" t="s">
        <v>12</v>
      </c>
      <c r="G307" s="108">
        <v>40831</v>
      </c>
      <c r="H307" s="67" t="str">
        <f t="shared" si="8"/>
        <v>Oct</v>
      </c>
      <c r="I307" s="9">
        <f t="shared" ca="1" si="9"/>
        <v>5</v>
      </c>
      <c r="J307" s="8"/>
      <c r="K307" s="7">
        <v>94220</v>
      </c>
      <c r="L307" s="6">
        <v>4</v>
      </c>
      <c r="M307" s="106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5">
      <c r="A308" s="1" t="s">
        <v>596</v>
      </c>
      <c r="B308" s="12" t="s">
        <v>56</v>
      </c>
      <c r="C308" s="1" t="s">
        <v>20</v>
      </c>
      <c r="D308" s="85">
        <v>311883362</v>
      </c>
      <c r="E308" s="88">
        <v>2526505454</v>
      </c>
      <c r="F308" s="1" t="s">
        <v>12</v>
      </c>
      <c r="G308" s="108">
        <v>38327</v>
      </c>
      <c r="H308" s="67" t="str">
        <f t="shared" si="8"/>
        <v>Dec</v>
      </c>
      <c r="I308" s="9">
        <f t="shared" ca="1" si="9"/>
        <v>11</v>
      </c>
      <c r="J308" s="8"/>
      <c r="K308" s="7">
        <v>63320</v>
      </c>
      <c r="L308" s="6">
        <v>2</v>
      </c>
      <c r="M308" s="106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5">
      <c r="A309" s="1" t="s">
        <v>402</v>
      </c>
      <c r="B309" s="12" t="s">
        <v>13</v>
      </c>
      <c r="C309" s="1" t="s">
        <v>20</v>
      </c>
      <c r="D309" s="85">
        <v>412611335</v>
      </c>
      <c r="E309" s="88">
        <v>2525998691</v>
      </c>
      <c r="F309" s="1" t="s">
        <v>12</v>
      </c>
      <c r="G309" s="108">
        <v>39508</v>
      </c>
      <c r="H309" s="67" t="str">
        <f t="shared" si="8"/>
        <v>Mar</v>
      </c>
      <c r="I309" s="9">
        <f t="shared" ca="1" si="9"/>
        <v>8</v>
      </c>
      <c r="J309" s="8"/>
      <c r="K309" s="7">
        <v>49130</v>
      </c>
      <c r="L309" s="6">
        <v>2</v>
      </c>
      <c r="M309" s="106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5">
      <c r="A310" s="1" t="s">
        <v>432</v>
      </c>
      <c r="B310" s="12" t="s">
        <v>56</v>
      </c>
      <c r="C310" s="1" t="s">
        <v>20</v>
      </c>
      <c r="D310" s="85">
        <v>696435191</v>
      </c>
      <c r="E310" s="88">
        <v>2527710498</v>
      </c>
      <c r="F310" s="1" t="s">
        <v>5</v>
      </c>
      <c r="G310" s="108">
        <v>36592</v>
      </c>
      <c r="H310" s="67" t="str">
        <f t="shared" si="8"/>
        <v>Mar</v>
      </c>
      <c r="I310" s="9">
        <f t="shared" ca="1" si="9"/>
        <v>16</v>
      </c>
      <c r="J310" s="8" t="s">
        <v>4</v>
      </c>
      <c r="K310" s="7">
        <v>73380</v>
      </c>
      <c r="L310" s="6">
        <v>2</v>
      </c>
      <c r="M310" s="106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5">
      <c r="A311" s="1" t="s">
        <v>715</v>
      </c>
      <c r="B311" s="12" t="s">
        <v>39</v>
      </c>
      <c r="C311" s="1" t="s">
        <v>20</v>
      </c>
      <c r="D311" s="85">
        <v>328787467</v>
      </c>
      <c r="E311" s="88">
        <v>9194897618</v>
      </c>
      <c r="F311" s="1" t="s">
        <v>0</v>
      </c>
      <c r="G311" s="108">
        <v>40088</v>
      </c>
      <c r="H311" s="67" t="str">
        <f t="shared" si="8"/>
        <v>Oct</v>
      </c>
      <c r="I311" s="9">
        <f t="shared" ca="1" si="9"/>
        <v>7</v>
      </c>
      <c r="J311" s="8"/>
      <c r="K311" s="7">
        <v>17300</v>
      </c>
      <c r="L311" s="6">
        <v>4</v>
      </c>
      <c r="M311" s="106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5">
      <c r="A312" s="1" t="s">
        <v>528</v>
      </c>
      <c r="B312" s="12" t="s">
        <v>17</v>
      </c>
      <c r="C312" s="1" t="s">
        <v>20</v>
      </c>
      <c r="D312" s="85">
        <v>257249459</v>
      </c>
      <c r="E312" s="88">
        <v>9197775023</v>
      </c>
      <c r="F312" s="1" t="s">
        <v>12</v>
      </c>
      <c r="G312" s="108">
        <v>37638</v>
      </c>
      <c r="H312" s="67" t="str">
        <f t="shared" si="8"/>
        <v>Jan</v>
      </c>
      <c r="I312" s="9">
        <f t="shared" ca="1" si="9"/>
        <v>13</v>
      </c>
      <c r="J312" s="8"/>
      <c r="K312" s="7">
        <v>69120</v>
      </c>
      <c r="L312" s="6">
        <v>3</v>
      </c>
      <c r="M312" s="106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5">
      <c r="A313" s="1" t="s">
        <v>619</v>
      </c>
      <c r="B313" s="12" t="s">
        <v>39</v>
      </c>
      <c r="C313" s="1" t="s">
        <v>20</v>
      </c>
      <c r="D313" s="85">
        <v>313128501</v>
      </c>
      <c r="E313" s="88">
        <v>9193184277</v>
      </c>
      <c r="F313" s="1" t="s">
        <v>0</v>
      </c>
      <c r="G313" s="108">
        <v>36491</v>
      </c>
      <c r="H313" s="67" t="str">
        <f t="shared" si="8"/>
        <v>Nov</v>
      </c>
      <c r="I313" s="9">
        <f t="shared" ca="1" si="9"/>
        <v>16</v>
      </c>
      <c r="J313" s="8"/>
      <c r="K313" s="7">
        <v>26970</v>
      </c>
      <c r="L313" s="6">
        <v>1</v>
      </c>
      <c r="M313" s="106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5">
      <c r="A314" s="1" t="s">
        <v>492</v>
      </c>
      <c r="B314" s="12" t="s">
        <v>17</v>
      </c>
      <c r="C314" s="1" t="s">
        <v>20</v>
      </c>
      <c r="D314" s="85">
        <v>147724014</v>
      </c>
      <c r="E314" s="88">
        <v>9192212512</v>
      </c>
      <c r="F314" s="1" t="s">
        <v>5</v>
      </c>
      <c r="G314" s="108">
        <v>36189</v>
      </c>
      <c r="H314" s="67" t="str">
        <f t="shared" si="8"/>
        <v>Jan</v>
      </c>
      <c r="I314" s="9">
        <f t="shared" ca="1" si="9"/>
        <v>17</v>
      </c>
      <c r="J314" s="8" t="s">
        <v>4</v>
      </c>
      <c r="K314" s="7">
        <v>53120</v>
      </c>
      <c r="L314" s="6">
        <v>2</v>
      </c>
      <c r="M314" s="106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5">
      <c r="A315" s="1" t="s">
        <v>241</v>
      </c>
      <c r="B315" s="12" t="s">
        <v>17</v>
      </c>
      <c r="C315" s="1" t="s">
        <v>20</v>
      </c>
      <c r="D315" s="85">
        <v>676030562</v>
      </c>
      <c r="E315" s="88">
        <v>9198253211</v>
      </c>
      <c r="F315" s="1" t="s">
        <v>5</v>
      </c>
      <c r="G315" s="108">
        <v>36696</v>
      </c>
      <c r="H315" s="67" t="str">
        <f t="shared" si="8"/>
        <v>Jun</v>
      </c>
      <c r="I315" s="9">
        <f t="shared" ca="1" si="9"/>
        <v>16</v>
      </c>
      <c r="J315" s="8" t="s">
        <v>32</v>
      </c>
      <c r="K315" s="7">
        <v>72120</v>
      </c>
      <c r="L315" s="6">
        <v>1</v>
      </c>
      <c r="M315" s="106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5">
      <c r="A316" s="1" t="s">
        <v>760</v>
      </c>
      <c r="B316" s="12" t="s">
        <v>17</v>
      </c>
      <c r="C316" s="1" t="s">
        <v>20</v>
      </c>
      <c r="D316" s="85">
        <v>505966230</v>
      </c>
      <c r="E316" s="88">
        <v>9198038161</v>
      </c>
      <c r="F316" s="1" t="s">
        <v>5</v>
      </c>
      <c r="G316" s="108">
        <v>34994</v>
      </c>
      <c r="H316" s="67" t="str">
        <f t="shared" si="8"/>
        <v>Oct</v>
      </c>
      <c r="I316" s="9">
        <f t="shared" ca="1" si="9"/>
        <v>21</v>
      </c>
      <c r="J316" s="8" t="s">
        <v>4</v>
      </c>
      <c r="K316" s="7">
        <v>54600</v>
      </c>
      <c r="L316" s="6">
        <v>3</v>
      </c>
      <c r="M316" s="106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5">
      <c r="A317" s="1" t="s">
        <v>548</v>
      </c>
      <c r="B317" s="12" t="s">
        <v>17</v>
      </c>
      <c r="C317" s="1" t="s">
        <v>20</v>
      </c>
      <c r="D317" s="85">
        <v>962553692</v>
      </c>
      <c r="E317" s="88">
        <v>9196689962</v>
      </c>
      <c r="F317" s="1" t="s">
        <v>5</v>
      </c>
      <c r="G317" s="108">
        <v>36157</v>
      </c>
      <c r="H317" s="67" t="str">
        <f t="shared" si="8"/>
        <v>Dec</v>
      </c>
      <c r="I317" s="9">
        <f t="shared" ca="1" si="9"/>
        <v>17</v>
      </c>
      <c r="J317" s="8" t="s">
        <v>4</v>
      </c>
      <c r="K317" s="7">
        <v>103510</v>
      </c>
      <c r="L317" s="6">
        <v>3</v>
      </c>
      <c r="M317" s="106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5">
      <c r="A318" s="1" t="s">
        <v>220</v>
      </c>
      <c r="B318" s="12" t="s">
        <v>17</v>
      </c>
      <c r="C318" s="1" t="s">
        <v>20</v>
      </c>
      <c r="D318" s="85">
        <v>468053610</v>
      </c>
      <c r="E318" s="88">
        <v>2525344270</v>
      </c>
      <c r="F318" s="1" t="s">
        <v>5</v>
      </c>
      <c r="G318" s="108">
        <v>38510</v>
      </c>
      <c r="H318" s="67" t="str">
        <f t="shared" si="8"/>
        <v>Jun</v>
      </c>
      <c r="I318" s="9">
        <f t="shared" ca="1" si="9"/>
        <v>11</v>
      </c>
      <c r="J318" s="8" t="s">
        <v>4</v>
      </c>
      <c r="K318" s="7">
        <v>82900</v>
      </c>
      <c r="L318" s="6">
        <v>3</v>
      </c>
      <c r="M318" s="106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5">
      <c r="A319" s="1" t="s">
        <v>295</v>
      </c>
      <c r="B319" s="12" t="s">
        <v>17</v>
      </c>
      <c r="C319" s="1" t="s">
        <v>20</v>
      </c>
      <c r="D319" s="85">
        <v>470719383</v>
      </c>
      <c r="E319" s="88">
        <v>9197848542</v>
      </c>
      <c r="F319" s="1" t="s">
        <v>5</v>
      </c>
      <c r="G319" s="108">
        <v>37010</v>
      </c>
      <c r="H319" s="67" t="str">
        <f t="shared" si="8"/>
        <v>Apr</v>
      </c>
      <c r="I319" s="9">
        <f t="shared" ca="1" si="9"/>
        <v>15</v>
      </c>
      <c r="J319" s="8" t="s">
        <v>32</v>
      </c>
      <c r="K319" s="7">
        <v>90140</v>
      </c>
      <c r="L319" s="6">
        <v>5</v>
      </c>
      <c r="M319" s="106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5">
      <c r="A320" s="1" t="s">
        <v>595</v>
      </c>
      <c r="B320" s="12" t="s">
        <v>17</v>
      </c>
      <c r="C320" s="1" t="s">
        <v>20</v>
      </c>
      <c r="D320" s="85">
        <v>213584397</v>
      </c>
      <c r="E320" s="88">
        <v>2524138160</v>
      </c>
      <c r="F320" s="1" t="s">
        <v>5</v>
      </c>
      <c r="G320" s="108">
        <v>38332</v>
      </c>
      <c r="H320" s="67" t="str">
        <f t="shared" si="8"/>
        <v>Dec</v>
      </c>
      <c r="I320" s="9">
        <f t="shared" ca="1" si="9"/>
        <v>11</v>
      </c>
      <c r="J320" s="8" t="s">
        <v>4</v>
      </c>
      <c r="K320" s="7">
        <v>75300</v>
      </c>
      <c r="L320" s="6">
        <v>3</v>
      </c>
      <c r="M320" s="106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5">
      <c r="A321" s="1" t="s">
        <v>423</v>
      </c>
      <c r="B321" s="12" t="s">
        <v>13</v>
      </c>
      <c r="C321" s="1" t="s">
        <v>20</v>
      </c>
      <c r="D321" s="85">
        <v>475517002</v>
      </c>
      <c r="E321" s="88">
        <v>2523909820</v>
      </c>
      <c r="F321" s="1" t="s">
        <v>5</v>
      </c>
      <c r="G321" s="108">
        <v>37319</v>
      </c>
      <c r="H321" s="67" t="str">
        <f t="shared" si="8"/>
        <v>Mar</v>
      </c>
      <c r="I321" s="9">
        <f t="shared" ca="1" si="9"/>
        <v>14</v>
      </c>
      <c r="J321" s="8" t="s">
        <v>4</v>
      </c>
      <c r="K321" s="7">
        <v>82500</v>
      </c>
      <c r="L321" s="6">
        <v>1</v>
      </c>
      <c r="M321" s="106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5">
      <c r="A322" s="1" t="s">
        <v>368</v>
      </c>
      <c r="B322" s="12" t="s">
        <v>13</v>
      </c>
      <c r="C322" s="1" t="s">
        <v>20</v>
      </c>
      <c r="D322" s="85">
        <v>682500261</v>
      </c>
      <c r="E322" s="88">
        <v>9191163627</v>
      </c>
      <c r="F322" s="1" t="s">
        <v>5</v>
      </c>
      <c r="G322" s="108">
        <v>35882</v>
      </c>
      <c r="H322" s="67" t="str">
        <f t="shared" ref="H322:H385" si="10">CHOOSE(MONTH(G322),"Jan","Feb","Mar","Apr","May","Jun","Jul","Aug","Sep","Oct","Nov","Dec")</f>
        <v>Mar</v>
      </c>
      <c r="I322" s="9">
        <f t="shared" ref="I322:I385" ca="1" si="11">DATEDIF(G322,TODAY(),"Y")</f>
        <v>18</v>
      </c>
      <c r="J322" s="8" t="s">
        <v>34</v>
      </c>
      <c r="K322" s="7">
        <v>75680</v>
      </c>
      <c r="L322" s="6">
        <v>1</v>
      </c>
      <c r="M322" s="106"/>
      <c r="N322" s="1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5">
      <c r="A323" s="1" t="s">
        <v>744</v>
      </c>
      <c r="B323" s="12" t="s">
        <v>56</v>
      </c>
      <c r="C323" s="1" t="s">
        <v>20</v>
      </c>
      <c r="D323" s="85">
        <v>338977629</v>
      </c>
      <c r="E323" s="88">
        <v>2524252315</v>
      </c>
      <c r="F323" s="1" t="s">
        <v>5</v>
      </c>
      <c r="G323" s="108">
        <v>36802</v>
      </c>
      <c r="H323" s="67" t="str">
        <f t="shared" si="10"/>
        <v>Oct</v>
      </c>
      <c r="I323" s="9">
        <f t="shared" ca="1" si="11"/>
        <v>16</v>
      </c>
      <c r="J323" s="8" t="s">
        <v>32</v>
      </c>
      <c r="K323" s="7">
        <v>94280</v>
      </c>
      <c r="L323" s="6">
        <v>1</v>
      </c>
      <c r="M323" s="106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5">
      <c r="A324" s="1" t="s">
        <v>205</v>
      </c>
      <c r="B324" s="12" t="s">
        <v>13</v>
      </c>
      <c r="C324" s="1" t="s">
        <v>20</v>
      </c>
      <c r="D324" s="85">
        <v>876777922</v>
      </c>
      <c r="E324" s="88">
        <v>2527358099</v>
      </c>
      <c r="F324" s="1" t="s">
        <v>12</v>
      </c>
      <c r="G324" s="108">
        <v>41450</v>
      </c>
      <c r="H324" s="67" t="str">
        <f t="shared" si="10"/>
        <v>Jun</v>
      </c>
      <c r="I324" s="9">
        <f t="shared" ca="1" si="11"/>
        <v>3</v>
      </c>
      <c r="J324" s="8"/>
      <c r="K324" s="7">
        <v>106610</v>
      </c>
      <c r="L324" s="6">
        <v>5</v>
      </c>
      <c r="M324" s="106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5">
      <c r="A325" s="1" t="s">
        <v>403</v>
      </c>
      <c r="B325" s="12" t="s">
        <v>39</v>
      </c>
      <c r="C325" s="1" t="s">
        <v>20</v>
      </c>
      <c r="D325" s="85">
        <v>684054281</v>
      </c>
      <c r="E325" s="88">
        <v>2522888726</v>
      </c>
      <c r="F325" s="1" t="s">
        <v>5</v>
      </c>
      <c r="G325" s="108">
        <v>39147</v>
      </c>
      <c r="H325" s="67" t="str">
        <f t="shared" si="10"/>
        <v>Mar</v>
      </c>
      <c r="I325" s="9">
        <f t="shared" ca="1" si="11"/>
        <v>9</v>
      </c>
      <c r="J325" s="8" t="s">
        <v>32</v>
      </c>
      <c r="K325" s="7">
        <v>56810</v>
      </c>
      <c r="L325" s="6">
        <v>2</v>
      </c>
      <c r="M325" s="106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5">
      <c r="A326" s="1" t="s">
        <v>718</v>
      </c>
      <c r="B326" s="12" t="s">
        <v>13</v>
      </c>
      <c r="C326" s="1" t="s">
        <v>20</v>
      </c>
      <c r="D326" s="85">
        <v>564908088</v>
      </c>
      <c r="E326" s="88">
        <v>9193386758</v>
      </c>
      <c r="F326" s="1" t="s">
        <v>5</v>
      </c>
      <c r="G326" s="108">
        <v>39378</v>
      </c>
      <c r="H326" s="67" t="str">
        <f t="shared" si="10"/>
        <v>Oct</v>
      </c>
      <c r="I326" s="9">
        <f t="shared" ca="1" si="11"/>
        <v>9</v>
      </c>
      <c r="J326" s="8" t="s">
        <v>32</v>
      </c>
      <c r="K326" s="7">
        <v>105310</v>
      </c>
      <c r="L326" s="6">
        <v>1</v>
      </c>
      <c r="M326" s="106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5">
      <c r="A327" s="1" t="s">
        <v>677</v>
      </c>
      <c r="B327" s="12" t="s">
        <v>2</v>
      </c>
      <c r="C327" s="1" t="s">
        <v>20</v>
      </c>
      <c r="D327" s="85">
        <v>881975933</v>
      </c>
      <c r="E327" s="88">
        <v>9192354572</v>
      </c>
      <c r="F327" s="1" t="s">
        <v>5</v>
      </c>
      <c r="G327" s="108">
        <v>36831</v>
      </c>
      <c r="H327" s="67" t="str">
        <f t="shared" si="10"/>
        <v>Nov</v>
      </c>
      <c r="I327" s="9">
        <f t="shared" ca="1" si="11"/>
        <v>16</v>
      </c>
      <c r="J327" s="8" t="s">
        <v>19</v>
      </c>
      <c r="K327" s="7">
        <v>42550</v>
      </c>
      <c r="L327" s="6">
        <v>5</v>
      </c>
      <c r="M327" s="106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5">
      <c r="A328" s="1" t="s">
        <v>239</v>
      </c>
      <c r="B328" s="12" t="s">
        <v>13</v>
      </c>
      <c r="C328" s="1" t="s">
        <v>20</v>
      </c>
      <c r="D328" s="85">
        <v>597131266</v>
      </c>
      <c r="E328" s="88">
        <v>9195043141</v>
      </c>
      <c r="F328" s="1" t="s">
        <v>5</v>
      </c>
      <c r="G328" s="108">
        <v>36704</v>
      </c>
      <c r="H328" s="67" t="str">
        <f t="shared" si="10"/>
        <v>Jun</v>
      </c>
      <c r="I328" s="9">
        <f t="shared" ca="1" si="11"/>
        <v>16</v>
      </c>
      <c r="J328" s="8" t="s">
        <v>34</v>
      </c>
      <c r="K328" s="7">
        <v>79720</v>
      </c>
      <c r="L328" s="6">
        <v>2</v>
      </c>
      <c r="M328" s="106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5">
      <c r="A329" s="1" t="s">
        <v>122</v>
      </c>
      <c r="B329" s="12" t="s">
        <v>39</v>
      </c>
      <c r="C329" s="1" t="s">
        <v>20</v>
      </c>
      <c r="D329" s="85">
        <v>566726453</v>
      </c>
      <c r="E329" s="88">
        <v>9192168237</v>
      </c>
      <c r="F329" s="1" t="s">
        <v>5</v>
      </c>
      <c r="G329" s="108">
        <v>36021</v>
      </c>
      <c r="H329" s="67" t="str">
        <f t="shared" si="10"/>
        <v>Aug</v>
      </c>
      <c r="I329" s="9">
        <f t="shared" ca="1" si="11"/>
        <v>18</v>
      </c>
      <c r="J329" s="8" t="s">
        <v>34</v>
      </c>
      <c r="K329" s="7">
        <v>46730</v>
      </c>
      <c r="L329" s="6">
        <v>2</v>
      </c>
      <c r="M329" s="106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5">
      <c r="A330" s="1" t="s">
        <v>218</v>
      </c>
      <c r="B330" s="12" t="s">
        <v>13</v>
      </c>
      <c r="C330" s="1" t="s">
        <v>20</v>
      </c>
      <c r="D330" s="85">
        <v>903618594</v>
      </c>
      <c r="E330" s="88">
        <v>9194733288</v>
      </c>
      <c r="F330" s="1" t="s">
        <v>5</v>
      </c>
      <c r="G330" s="108">
        <v>38867</v>
      </c>
      <c r="H330" s="67" t="str">
        <f t="shared" si="10"/>
        <v>May</v>
      </c>
      <c r="I330" s="9">
        <f t="shared" ca="1" si="11"/>
        <v>10</v>
      </c>
      <c r="J330" s="8" t="s">
        <v>34</v>
      </c>
      <c r="K330" s="7">
        <v>65080</v>
      </c>
      <c r="L330" s="6">
        <v>5</v>
      </c>
      <c r="M330" s="106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5">
      <c r="A331" s="1" t="s">
        <v>414</v>
      </c>
      <c r="B331" s="12" t="s">
        <v>13</v>
      </c>
      <c r="C331" s="1" t="s">
        <v>20</v>
      </c>
      <c r="D331" s="85">
        <v>589649495</v>
      </c>
      <c r="E331" s="88">
        <v>2524248455</v>
      </c>
      <c r="F331" s="1" t="s">
        <v>5</v>
      </c>
      <c r="G331" s="108">
        <v>37708</v>
      </c>
      <c r="H331" s="67" t="str">
        <f t="shared" si="10"/>
        <v>Mar</v>
      </c>
      <c r="I331" s="9">
        <f t="shared" ca="1" si="11"/>
        <v>13</v>
      </c>
      <c r="J331" s="8" t="s">
        <v>8</v>
      </c>
      <c r="K331" s="7">
        <v>46640</v>
      </c>
      <c r="L331" s="6">
        <v>2</v>
      </c>
      <c r="M331" s="106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5">
      <c r="A332" s="1" t="s">
        <v>354</v>
      </c>
      <c r="B332" s="12" t="s">
        <v>13</v>
      </c>
      <c r="C332" s="1" t="s">
        <v>20</v>
      </c>
      <c r="D332" s="85">
        <v>542653222</v>
      </c>
      <c r="E332" s="88">
        <v>9193708610</v>
      </c>
      <c r="F332" s="1" t="s">
        <v>12</v>
      </c>
      <c r="G332" s="108">
        <v>36998</v>
      </c>
      <c r="H332" s="67" t="str">
        <f t="shared" si="10"/>
        <v>Apr</v>
      </c>
      <c r="I332" s="9">
        <f t="shared" ca="1" si="11"/>
        <v>15</v>
      </c>
      <c r="J332" s="8"/>
      <c r="K332" s="7">
        <v>87020</v>
      </c>
      <c r="L332" s="6">
        <v>3</v>
      </c>
      <c r="M332" s="106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5">
      <c r="A333" s="1" t="s">
        <v>453</v>
      </c>
      <c r="B333" s="12" t="s">
        <v>17</v>
      </c>
      <c r="C333" s="1" t="s">
        <v>20</v>
      </c>
      <c r="D333" s="85">
        <v>843064707</v>
      </c>
      <c r="E333" s="88">
        <v>9192687844</v>
      </c>
      <c r="F333" s="1" t="s">
        <v>12</v>
      </c>
      <c r="G333" s="108">
        <v>41681</v>
      </c>
      <c r="H333" s="67" t="str">
        <f t="shared" si="10"/>
        <v>Feb</v>
      </c>
      <c r="I333" s="9">
        <f t="shared" ca="1" si="11"/>
        <v>2</v>
      </c>
      <c r="J333" s="8"/>
      <c r="K333" s="7">
        <v>68530</v>
      </c>
      <c r="L333" s="6">
        <v>3</v>
      </c>
      <c r="M333" s="106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5">
      <c r="A334" s="1" t="s">
        <v>532</v>
      </c>
      <c r="B334" s="12" t="s">
        <v>17</v>
      </c>
      <c r="C334" s="1" t="s">
        <v>20</v>
      </c>
      <c r="D334" s="85">
        <v>931105030</v>
      </c>
      <c r="E334" s="88">
        <v>9191397811</v>
      </c>
      <c r="F334" s="1" t="s">
        <v>5</v>
      </c>
      <c r="G334" s="108">
        <v>37274</v>
      </c>
      <c r="H334" s="67" t="str">
        <f t="shared" si="10"/>
        <v>Jan</v>
      </c>
      <c r="I334" s="9">
        <f t="shared" ca="1" si="11"/>
        <v>14</v>
      </c>
      <c r="J334" s="8" t="s">
        <v>4</v>
      </c>
      <c r="K334" s="7">
        <v>73600</v>
      </c>
      <c r="L334" s="6">
        <v>4</v>
      </c>
      <c r="M334" s="106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5">
      <c r="A335" s="1" t="s">
        <v>284</v>
      </c>
      <c r="B335" s="12" t="s">
        <v>39</v>
      </c>
      <c r="C335" s="1" t="s">
        <v>95</v>
      </c>
      <c r="D335" s="85">
        <v>292006053</v>
      </c>
      <c r="E335" s="88">
        <v>9197045091</v>
      </c>
      <c r="F335" s="1" t="s">
        <v>12</v>
      </c>
      <c r="G335" s="108">
        <v>37766</v>
      </c>
      <c r="H335" s="67" t="str">
        <f t="shared" si="10"/>
        <v>May</v>
      </c>
      <c r="I335" s="9">
        <f t="shared" ca="1" si="11"/>
        <v>13</v>
      </c>
      <c r="J335" s="8"/>
      <c r="K335" s="7">
        <v>89400</v>
      </c>
      <c r="L335" s="6">
        <v>4</v>
      </c>
      <c r="M335" s="106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5">
      <c r="A336" s="1" t="s">
        <v>308</v>
      </c>
      <c r="B336" s="12" t="s">
        <v>10</v>
      </c>
      <c r="C336" s="1" t="s">
        <v>95</v>
      </c>
      <c r="D336" s="85">
        <v>742946482</v>
      </c>
      <c r="E336" s="88">
        <v>9197077326</v>
      </c>
      <c r="F336" s="1" t="s">
        <v>5</v>
      </c>
      <c r="G336" s="108">
        <v>34833</v>
      </c>
      <c r="H336" s="67" t="str">
        <f t="shared" si="10"/>
        <v>May</v>
      </c>
      <c r="I336" s="9">
        <f t="shared" ca="1" si="11"/>
        <v>21</v>
      </c>
      <c r="J336" s="8" t="s">
        <v>32</v>
      </c>
      <c r="K336" s="7">
        <v>46990</v>
      </c>
      <c r="L336" s="6">
        <v>3</v>
      </c>
      <c r="M336" s="106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5">
      <c r="A337" s="1" t="s">
        <v>510</v>
      </c>
      <c r="B337" s="12" t="s">
        <v>2</v>
      </c>
      <c r="C337" s="1" t="s">
        <v>95</v>
      </c>
      <c r="D337" s="85">
        <v>380343690</v>
      </c>
      <c r="E337" s="88">
        <v>2523906310</v>
      </c>
      <c r="F337" s="1" t="s">
        <v>12</v>
      </c>
      <c r="G337" s="108">
        <v>41293</v>
      </c>
      <c r="H337" s="67" t="str">
        <f t="shared" si="10"/>
        <v>Jan</v>
      </c>
      <c r="I337" s="9">
        <f t="shared" ca="1" si="11"/>
        <v>3</v>
      </c>
      <c r="J337" s="8"/>
      <c r="K337" s="7">
        <v>74270</v>
      </c>
      <c r="L337" s="6">
        <v>2</v>
      </c>
      <c r="M337" s="106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5">
      <c r="A338" s="1" t="s">
        <v>102</v>
      </c>
      <c r="B338" s="12" t="s">
        <v>13</v>
      </c>
      <c r="C338" s="1" t="s">
        <v>95</v>
      </c>
      <c r="D338" s="85">
        <v>214234804</v>
      </c>
      <c r="E338" s="88">
        <v>2528908079</v>
      </c>
      <c r="F338" s="1" t="s">
        <v>5</v>
      </c>
      <c r="G338" s="108">
        <v>38937</v>
      </c>
      <c r="H338" s="67" t="str">
        <f t="shared" si="10"/>
        <v>Aug</v>
      </c>
      <c r="I338" s="9">
        <f t="shared" ca="1" si="11"/>
        <v>10</v>
      </c>
      <c r="J338" s="8" t="s">
        <v>4</v>
      </c>
      <c r="K338" s="7">
        <v>64640</v>
      </c>
      <c r="L338" s="6">
        <v>2</v>
      </c>
      <c r="M338" s="106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5">
      <c r="A339" s="1" t="s">
        <v>96</v>
      </c>
      <c r="B339" s="12" t="s">
        <v>39</v>
      </c>
      <c r="C339" s="1" t="s">
        <v>95</v>
      </c>
      <c r="D339" s="85">
        <v>620072502</v>
      </c>
      <c r="E339" s="88">
        <v>9191264013</v>
      </c>
      <c r="F339" s="1" t="s">
        <v>5</v>
      </c>
      <c r="G339" s="108">
        <v>40039</v>
      </c>
      <c r="H339" s="67" t="str">
        <f t="shared" si="10"/>
        <v>Aug</v>
      </c>
      <c r="I339" s="9">
        <f t="shared" ca="1" si="11"/>
        <v>7</v>
      </c>
      <c r="J339" s="8" t="s">
        <v>8</v>
      </c>
      <c r="K339" s="7">
        <v>85680</v>
      </c>
      <c r="L339" s="6">
        <v>4</v>
      </c>
      <c r="M339" s="106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5">
      <c r="A340" s="1" t="s">
        <v>454</v>
      </c>
      <c r="B340" s="12" t="s">
        <v>2</v>
      </c>
      <c r="C340" s="1" t="s">
        <v>95</v>
      </c>
      <c r="D340" s="85">
        <v>723930767</v>
      </c>
      <c r="E340" s="88">
        <v>9191375297</v>
      </c>
      <c r="F340" s="1" t="s">
        <v>5</v>
      </c>
      <c r="G340" s="108">
        <v>41314</v>
      </c>
      <c r="H340" s="67" t="str">
        <f t="shared" si="10"/>
        <v>Feb</v>
      </c>
      <c r="I340" s="9">
        <f t="shared" ca="1" si="11"/>
        <v>3</v>
      </c>
      <c r="J340" s="8" t="s">
        <v>4</v>
      </c>
      <c r="K340" s="7">
        <v>32700</v>
      </c>
      <c r="L340" s="6">
        <v>5</v>
      </c>
      <c r="M340" s="106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5">
      <c r="A341" s="1" t="s">
        <v>460</v>
      </c>
      <c r="B341" s="12" t="s">
        <v>56</v>
      </c>
      <c r="C341" s="1" t="s">
        <v>95</v>
      </c>
      <c r="D341" s="85">
        <v>370608224</v>
      </c>
      <c r="E341" s="88">
        <v>2521535362</v>
      </c>
      <c r="F341" s="1" t="s">
        <v>5</v>
      </c>
      <c r="G341" s="108">
        <v>38408</v>
      </c>
      <c r="H341" s="67" t="str">
        <f t="shared" si="10"/>
        <v>Feb</v>
      </c>
      <c r="I341" s="9">
        <f t="shared" ca="1" si="11"/>
        <v>11</v>
      </c>
      <c r="J341" s="8" t="s">
        <v>32</v>
      </c>
      <c r="K341" s="7">
        <v>70970</v>
      </c>
      <c r="L341" s="6">
        <v>5</v>
      </c>
      <c r="M341" s="106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5">
      <c r="A342" s="1" t="s">
        <v>112</v>
      </c>
      <c r="B342" s="12" t="s">
        <v>13</v>
      </c>
      <c r="C342" s="1" t="s">
        <v>60</v>
      </c>
      <c r="D342" s="85">
        <v>567266382</v>
      </c>
      <c r="E342" s="88">
        <v>2521683770</v>
      </c>
      <c r="F342" s="1" t="s">
        <v>5</v>
      </c>
      <c r="G342" s="108">
        <v>37117</v>
      </c>
      <c r="H342" s="67" t="str">
        <f t="shared" si="10"/>
        <v>Aug</v>
      </c>
      <c r="I342" s="9">
        <f t="shared" ca="1" si="11"/>
        <v>15</v>
      </c>
      <c r="J342" s="8" t="s">
        <v>8</v>
      </c>
      <c r="K342" s="7">
        <v>59720</v>
      </c>
      <c r="L342" s="6">
        <v>1</v>
      </c>
      <c r="M342" s="106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5">
      <c r="A343" s="1" t="s">
        <v>720</v>
      </c>
      <c r="B343" s="12" t="s">
        <v>13</v>
      </c>
      <c r="C343" s="1" t="s">
        <v>60</v>
      </c>
      <c r="D343" s="85">
        <v>364404060</v>
      </c>
      <c r="E343" s="88">
        <v>2527722509</v>
      </c>
      <c r="F343" s="1" t="s">
        <v>15</v>
      </c>
      <c r="G343" s="108">
        <v>39363</v>
      </c>
      <c r="H343" s="67" t="str">
        <f t="shared" si="10"/>
        <v>Oct</v>
      </c>
      <c r="I343" s="9">
        <f t="shared" ca="1" si="11"/>
        <v>9</v>
      </c>
      <c r="J343" s="8" t="s">
        <v>32</v>
      </c>
      <c r="K343" s="7">
        <v>37510</v>
      </c>
      <c r="L343" s="6">
        <v>5</v>
      </c>
      <c r="M343" s="106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5">
      <c r="A344" s="1" t="s">
        <v>302</v>
      </c>
      <c r="B344" s="12" t="s">
        <v>56</v>
      </c>
      <c r="C344" s="1" t="s">
        <v>60</v>
      </c>
      <c r="D344" s="85">
        <v>634954970</v>
      </c>
      <c r="E344" s="88">
        <v>9194900864</v>
      </c>
      <c r="F344" s="1" t="s">
        <v>5</v>
      </c>
      <c r="G344" s="108">
        <v>36283</v>
      </c>
      <c r="H344" s="67" t="str">
        <f t="shared" si="10"/>
        <v>May</v>
      </c>
      <c r="I344" s="9">
        <f t="shared" ca="1" si="11"/>
        <v>17</v>
      </c>
      <c r="J344" s="8" t="s">
        <v>32</v>
      </c>
      <c r="K344" s="7">
        <v>69070</v>
      </c>
      <c r="L344" s="6">
        <v>4</v>
      </c>
      <c r="M344" s="106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5">
      <c r="A345" s="1" t="s">
        <v>714</v>
      </c>
      <c r="B345" s="12" t="s">
        <v>39</v>
      </c>
      <c r="C345" s="1" t="s">
        <v>60</v>
      </c>
      <c r="D345" s="85">
        <v>980960186</v>
      </c>
      <c r="E345" s="88">
        <v>9191517218</v>
      </c>
      <c r="F345" s="1" t="s">
        <v>15</v>
      </c>
      <c r="G345" s="108">
        <v>40099</v>
      </c>
      <c r="H345" s="67" t="str">
        <f t="shared" si="10"/>
        <v>Oct</v>
      </c>
      <c r="I345" s="9">
        <f t="shared" ca="1" si="11"/>
        <v>7</v>
      </c>
      <c r="J345" s="8" t="s">
        <v>4</v>
      </c>
      <c r="K345" s="7">
        <v>57250</v>
      </c>
      <c r="L345" s="6">
        <v>5</v>
      </c>
      <c r="M345" s="106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5">
      <c r="A346" s="1" t="s">
        <v>158</v>
      </c>
      <c r="B346" s="12" t="s">
        <v>13</v>
      </c>
      <c r="C346" s="1" t="s">
        <v>60</v>
      </c>
      <c r="D346" s="85">
        <v>424800509</v>
      </c>
      <c r="E346" s="88">
        <v>2523986051</v>
      </c>
      <c r="F346" s="1" t="s">
        <v>5</v>
      </c>
      <c r="G346" s="108">
        <v>37464</v>
      </c>
      <c r="H346" s="67" t="str">
        <f t="shared" si="10"/>
        <v>Jul</v>
      </c>
      <c r="I346" s="9">
        <f t="shared" ca="1" si="11"/>
        <v>14</v>
      </c>
      <c r="J346" s="8" t="s">
        <v>32</v>
      </c>
      <c r="K346" s="7">
        <v>53060</v>
      </c>
      <c r="L346" s="6">
        <v>3</v>
      </c>
      <c r="M346" s="106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5">
      <c r="A347" s="1" t="s">
        <v>444</v>
      </c>
      <c r="B347" s="12" t="s">
        <v>56</v>
      </c>
      <c r="C347" s="1" t="s">
        <v>60</v>
      </c>
      <c r="D347" s="85">
        <v>159415552</v>
      </c>
      <c r="E347" s="88">
        <v>9194221208</v>
      </c>
      <c r="F347" s="1" t="s">
        <v>5</v>
      </c>
      <c r="G347" s="108">
        <v>34766</v>
      </c>
      <c r="H347" s="67" t="str">
        <f t="shared" si="10"/>
        <v>Mar</v>
      </c>
      <c r="I347" s="9">
        <f t="shared" ca="1" si="11"/>
        <v>21</v>
      </c>
      <c r="J347" s="8" t="s">
        <v>34</v>
      </c>
      <c r="K347" s="7">
        <v>88720</v>
      </c>
      <c r="L347" s="6">
        <v>1</v>
      </c>
      <c r="M347" s="106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5">
      <c r="A348" s="1" t="s">
        <v>252</v>
      </c>
      <c r="B348" s="12" t="s">
        <v>10</v>
      </c>
      <c r="C348" s="1" t="s">
        <v>60</v>
      </c>
      <c r="D348" s="85">
        <v>991764142</v>
      </c>
      <c r="E348" s="88">
        <v>9192490678</v>
      </c>
      <c r="F348" s="1" t="s">
        <v>12</v>
      </c>
      <c r="G348" s="108">
        <v>35948</v>
      </c>
      <c r="H348" s="67" t="str">
        <f t="shared" si="10"/>
        <v>Jun</v>
      </c>
      <c r="I348" s="9">
        <f t="shared" ca="1" si="11"/>
        <v>18</v>
      </c>
      <c r="J348" s="8"/>
      <c r="K348" s="7">
        <v>98320</v>
      </c>
      <c r="L348" s="6">
        <v>5</v>
      </c>
      <c r="M348" s="106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5">
      <c r="A349" s="1" t="s">
        <v>161</v>
      </c>
      <c r="B349" s="12" t="s">
        <v>17</v>
      </c>
      <c r="C349" s="1" t="s">
        <v>60</v>
      </c>
      <c r="D349" s="85">
        <v>796685092</v>
      </c>
      <c r="E349" s="88">
        <v>2527469217</v>
      </c>
      <c r="F349" s="1" t="s">
        <v>5</v>
      </c>
      <c r="G349" s="108">
        <v>37457</v>
      </c>
      <c r="H349" s="67" t="str">
        <f t="shared" si="10"/>
        <v>Jul</v>
      </c>
      <c r="I349" s="9">
        <f t="shared" ca="1" si="11"/>
        <v>14</v>
      </c>
      <c r="J349" s="8" t="s">
        <v>4</v>
      </c>
      <c r="K349" s="7">
        <v>52150</v>
      </c>
      <c r="L349" s="6">
        <v>5</v>
      </c>
      <c r="M349" s="106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5">
      <c r="A350" s="1" t="s">
        <v>468</v>
      </c>
      <c r="B350" s="12" t="s">
        <v>39</v>
      </c>
      <c r="C350" s="1" t="s">
        <v>60</v>
      </c>
      <c r="D350" s="85">
        <v>422929693</v>
      </c>
      <c r="E350" s="88">
        <v>9191487375</v>
      </c>
      <c r="F350" s="1" t="s">
        <v>5</v>
      </c>
      <c r="G350" s="108">
        <v>37663</v>
      </c>
      <c r="H350" s="67" t="str">
        <f t="shared" si="10"/>
        <v>Feb</v>
      </c>
      <c r="I350" s="9">
        <f t="shared" ca="1" si="11"/>
        <v>13</v>
      </c>
      <c r="J350" s="8" t="s">
        <v>4</v>
      </c>
      <c r="K350" s="7">
        <v>62990</v>
      </c>
      <c r="L350" s="6">
        <v>4</v>
      </c>
      <c r="M350" s="106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 s="1" t="s">
        <v>608</v>
      </c>
      <c r="B351" s="12" t="s">
        <v>17</v>
      </c>
      <c r="C351" s="1" t="s">
        <v>60</v>
      </c>
      <c r="D351" s="85">
        <v>597641409</v>
      </c>
      <c r="E351" s="88">
        <v>9196201509</v>
      </c>
      <c r="F351" s="1" t="s">
        <v>5</v>
      </c>
      <c r="G351" s="108">
        <v>36858</v>
      </c>
      <c r="H351" s="67" t="str">
        <f t="shared" si="10"/>
        <v>Nov</v>
      </c>
      <c r="I351" s="9">
        <f t="shared" ca="1" si="11"/>
        <v>15</v>
      </c>
      <c r="J351" s="8" t="s">
        <v>4</v>
      </c>
      <c r="K351" s="7">
        <v>98530</v>
      </c>
      <c r="L351" s="6">
        <v>3</v>
      </c>
      <c r="M351" s="106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 s="1" t="s">
        <v>394</v>
      </c>
      <c r="B352" s="12" t="s">
        <v>17</v>
      </c>
      <c r="C352" s="1" t="s">
        <v>60</v>
      </c>
      <c r="D352" s="85">
        <v>247406371</v>
      </c>
      <c r="E352" s="88">
        <v>9195299873</v>
      </c>
      <c r="F352" s="1" t="s">
        <v>15</v>
      </c>
      <c r="G352" s="108">
        <v>41352</v>
      </c>
      <c r="H352" s="67" t="str">
        <f t="shared" si="10"/>
        <v>Mar</v>
      </c>
      <c r="I352" s="9">
        <f t="shared" ca="1" si="11"/>
        <v>3</v>
      </c>
      <c r="J352" s="8" t="s">
        <v>4</v>
      </c>
      <c r="K352" s="7">
        <v>24050</v>
      </c>
      <c r="L352" s="6">
        <v>3</v>
      </c>
      <c r="M352" s="106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5">
      <c r="A353" s="1" t="s">
        <v>436</v>
      </c>
      <c r="B353" s="12" t="s">
        <v>13</v>
      </c>
      <c r="C353" s="1" t="s">
        <v>60</v>
      </c>
      <c r="D353" s="85">
        <v>385074661</v>
      </c>
      <c r="E353" s="88">
        <v>2527451745</v>
      </c>
      <c r="F353" s="1" t="s">
        <v>5</v>
      </c>
      <c r="G353" s="108">
        <v>35876</v>
      </c>
      <c r="H353" s="67" t="str">
        <f t="shared" si="10"/>
        <v>Mar</v>
      </c>
      <c r="I353" s="9">
        <f t="shared" ca="1" si="11"/>
        <v>18</v>
      </c>
      <c r="J353" s="8" t="s">
        <v>8</v>
      </c>
      <c r="K353" s="7">
        <v>80300</v>
      </c>
      <c r="L353" s="6">
        <v>2</v>
      </c>
      <c r="M353" s="106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5">
      <c r="A354" s="1" t="s">
        <v>635</v>
      </c>
      <c r="B354" s="12" t="s">
        <v>13</v>
      </c>
      <c r="C354" s="1" t="s">
        <v>60</v>
      </c>
      <c r="D354" s="85">
        <v>254201611</v>
      </c>
      <c r="E354" s="88">
        <v>9197803578</v>
      </c>
      <c r="F354" s="1" t="s">
        <v>5</v>
      </c>
      <c r="G354" s="108">
        <v>35035</v>
      </c>
      <c r="H354" s="67" t="str">
        <f t="shared" si="10"/>
        <v>Dec</v>
      </c>
      <c r="I354" s="9">
        <f t="shared" ca="1" si="11"/>
        <v>20</v>
      </c>
      <c r="J354" s="8" t="s">
        <v>19</v>
      </c>
      <c r="K354" s="7">
        <v>54220</v>
      </c>
      <c r="L354" s="6">
        <v>5</v>
      </c>
      <c r="M354" s="106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5">
      <c r="A355" s="1" t="s">
        <v>325</v>
      </c>
      <c r="B355" s="12" t="s">
        <v>17</v>
      </c>
      <c r="C355" s="1" t="s">
        <v>60</v>
      </c>
      <c r="D355" s="85">
        <v>168791562</v>
      </c>
      <c r="E355" s="88">
        <v>9194161772</v>
      </c>
      <c r="F355" s="1" t="s">
        <v>5</v>
      </c>
      <c r="G355" s="108">
        <v>41362</v>
      </c>
      <c r="H355" s="67" t="str">
        <f t="shared" si="10"/>
        <v>Mar</v>
      </c>
      <c r="I355" s="9">
        <f t="shared" ca="1" si="11"/>
        <v>3</v>
      </c>
      <c r="J355" s="8" t="s">
        <v>19</v>
      </c>
      <c r="K355" s="7">
        <v>90940</v>
      </c>
      <c r="L355" s="6">
        <v>2</v>
      </c>
      <c r="M355" s="106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5">
      <c r="A356" s="1" t="s">
        <v>206</v>
      </c>
      <c r="B356" s="12" t="s">
        <v>17</v>
      </c>
      <c r="C356" s="1" t="s">
        <v>60</v>
      </c>
      <c r="D356" s="85">
        <v>999156829</v>
      </c>
      <c r="E356" s="88">
        <v>2521401774</v>
      </c>
      <c r="F356" s="1" t="s">
        <v>5</v>
      </c>
      <c r="G356" s="108">
        <v>41448</v>
      </c>
      <c r="H356" s="67" t="str">
        <f t="shared" si="10"/>
        <v>Jun</v>
      </c>
      <c r="I356" s="9">
        <f t="shared" ca="1" si="11"/>
        <v>3</v>
      </c>
      <c r="J356" s="8" t="s">
        <v>32</v>
      </c>
      <c r="K356" s="7">
        <v>40760</v>
      </c>
      <c r="L356" s="6">
        <v>4</v>
      </c>
      <c r="M356" s="106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5">
      <c r="A357" s="1" t="s">
        <v>446</v>
      </c>
      <c r="B357" s="12" t="s">
        <v>56</v>
      </c>
      <c r="C357" s="1" t="s">
        <v>60</v>
      </c>
      <c r="D357" s="85">
        <v>154984918</v>
      </c>
      <c r="E357" s="88">
        <v>2521575684</v>
      </c>
      <c r="F357" s="1" t="s">
        <v>5</v>
      </c>
      <c r="G357" s="108">
        <v>34408</v>
      </c>
      <c r="H357" s="67" t="str">
        <f t="shared" si="10"/>
        <v>Mar</v>
      </c>
      <c r="I357" s="9">
        <f t="shared" ca="1" si="11"/>
        <v>22</v>
      </c>
      <c r="J357" s="8" t="s">
        <v>32</v>
      </c>
      <c r="K357" s="7">
        <v>27480</v>
      </c>
      <c r="L357" s="6">
        <v>1</v>
      </c>
      <c r="M357" s="106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5">
      <c r="A358" s="1" t="s">
        <v>565</v>
      </c>
      <c r="B358" s="12" t="s">
        <v>13</v>
      </c>
      <c r="C358" s="1" t="s">
        <v>60</v>
      </c>
      <c r="D358" s="85">
        <v>275102740</v>
      </c>
      <c r="E358" s="88">
        <v>2521620909</v>
      </c>
      <c r="F358" s="1" t="s">
        <v>5</v>
      </c>
      <c r="G358" s="108">
        <v>34696</v>
      </c>
      <c r="H358" s="67" t="str">
        <f t="shared" si="10"/>
        <v>Dec</v>
      </c>
      <c r="I358" s="9">
        <f t="shared" ca="1" si="11"/>
        <v>21</v>
      </c>
      <c r="J358" s="8" t="s">
        <v>34</v>
      </c>
      <c r="K358" s="7">
        <v>72670</v>
      </c>
      <c r="L358" s="6">
        <v>4</v>
      </c>
      <c r="M358" s="106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5">
      <c r="A359" s="1" t="s">
        <v>642</v>
      </c>
      <c r="B359" s="12" t="s">
        <v>17</v>
      </c>
      <c r="C359" s="1" t="s">
        <v>60</v>
      </c>
      <c r="D359" s="85">
        <v>555025137</v>
      </c>
      <c r="E359" s="88">
        <v>2526565171</v>
      </c>
      <c r="F359" s="1" t="s">
        <v>15</v>
      </c>
      <c r="G359" s="108">
        <v>34320</v>
      </c>
      <c r="H359" s="67" t="str">
        <f t="shared" si="10"/>
        <v>Dec</v>
      </c>
      <c r="I359" s="9">
        <f t="shared" ca="1" si="11"/>
        <v>22</v>
      </c>
      <c r="J359" s="8" t="s">
        <v>19</v>
      </c>
      <c r="K359" s="7">
        <v>15710</v>
      </c>
      <c r="L359" s="6">
        <v>4</v>
      </c>
      <c r="M359" s="106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5">
      <c r="A360" s="1" t="s">
        <v>708</v>
      </c>
      <c r="B360" s="12" t="s">
        <v>17</v>
      </c>
      <c r="C360" s="1" t="s">
        <v>60</v>
      </c>
      <c r="D360" s="85">
        <v>649234799</v>
      </c>
      <c r="E360" s="88">
        <v>2521588597</v>
      </c>
      <c r="F360" s="1" t="s">
        <v>5</v>
      </c>
      <c r="G360" s="108">
        <v>41210</v>
      </c>
      <c r="H360" s="67" t="str">
        <f t="shared" si="10"/>
        <v>Oct</v>
      </c>
      <c r="I360" s="9">
        <f t="shared" ca="1" si="11"/>
        <v>4</v>
      </c>
      <c r="J360" s="8" t="s">
        <v>4</v>
      </c>
      <c r="K360" s="7">
        <v>54310</v>
      </c>
      <c r="L360" s="6">
        <v>4</v>
      </c>
      <c r="M360" s="106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5">
      <c r="A361" s="1" t="s">
        <v>581</v>
      </c>
      <c r="B361" s="12" t="s">
        <v>39</v>
      </c>
      <c r="C361" s="1" t="s">
        <v>60</v>
      </c>
      <c r="D361" s="85">
        <v>895408697</v>
      </c>
      <c r="E361" s="88">
        <v>2523383207</v>
      </c>
      <c r="F361" s="1" t="s">
        <v>5</v>
      </c>
      <c r="G361" s="108">
        <v>40158</v>
      </c>
      <c r="H361" s="67" t="str">
        <f t="shared" si="10"/>
        <v>Dec</v>
      </c>
      <c r="I361" s="9">
        <f t="shared" ca="1" si="11"/>
        <v>6</v>
      </c>
      <c r="J361" s="8" t="s">
        <v>4</v>
      </c>
      <c r="K361" s="7">
        <v>57130</v>
      </c>
      <c r="L361" s="6">
        <v>4</v>
      </c>
      <c r="M361" s="106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5">
      <c r="A362" s="1" t="s">
        <v>364</v>
      </c>
      <c r="B362" s="12" t="s">
        <v>39</v>
      </c>
      <c r="C362" s="1" t="s">
        <v>60</v>
      </c>
      <c r="D362" s="85">
        <v>343897392</v>
      </c>
      <c r="E362" s="88">
        <v>2526674988</v>
      </c>
      <c r="F362" s="1" t="s">
        <v>5</v>
      </c>
      <c r="G362" s="108">
        <v>36255</v>
      </c>
      <c r="H362" s="67" t="str">
        <f t="shared" si="10"/>
        <v>Apr</v>
      </c>
      <c r="I362" s="9">
        <f t="shared" ca="1" si="11"/>
        <v>17</v>
      </c>
      <c r="J362" s="8" t="s">
        <v>32</v>
      </c>
      <c r="K362" s="7">
        <v>58560</v>
      </c>
      <c r="L362" s="6">
        <v>4</v>
      </c>
      <c r="M362" s="106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5">
      <c r="A363" s="1" t="s">
        <v>111</v>
      </c>
      <c r="B363" s="12" t="s">
        <v>39</v>
      </c>
      <c r="C363" s="1" t="s">
        <v>60</v>
      </c>
      <c r="D363" s="85">
        <v>499124019</v>
      </c>
      <c r="E363" s="88">
        <v>9195978858</v>
      </c>
      <c r="F363" s="1" t="s">
        <v>15</v>
      </c>
      <c r="G363" s="108">
        <v>37122</v>
      </c>
      <c r="H363" s="67" t="str">
        <f t="shared" si="10"/>
        <v>Aug</v>
      </c>
      <c r="I363" s="9">
        <f t="shared" ca="1" si="11"/>
        <v>15</v>
      </c>
      <c r="J363" s="8" t="s">
        <v>4</v>
      </c>
      <c r="K363" s="7">
        <v>34660</v>
      </c>
      <c r="L363" s="6">
        <v>3</v>
      </c>
      <c r="M363" s="106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 s="1" t="s">
        <v>209</v>
      </c>
      <c r="B364" s="12" t="s">
        <v>2</v>
      </c>
      <c r="C364" s="1" t="s">
        <v>60</v>
      </c>
      <c r="D364" s="85">
        <v>506165137</v>
      </c>
      <c r="E364" s="88">
        <v>9193613417</v>
      </c>
      <c r="F364" s="1" t="s">
        <v>5</v>
      </c>
      <c r="G364" s="108">
        <v>41084</v>
      </c>
      <c r="H364" s="67" t="str">
        <f t="shared" si="10"/>
        <v>Jun</v>
      </c>
      <c r="I364" s="9">
        <f t="shared" ca="1" si="11"/>
        <v>4</v>
      </c>
      <c r="J364" s="8" t="s">
        <v>4</v>
      </c>
      <c r="K364" s="7">
        <v>52980</v>
      </c>
      <c r="L364" s="6">
        <v>4</v>
      </c>
      <c r="M364" s="106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 s="1" t="s">
        <v>225</v>
      </c>
      <c r="B365" s="12" t="s">
        <v>39</v>
      </c>
      <c r="C365" s="1" t="s">
        <v>60</v>
      </c>
      <c r="D365" s="85">
        <v>372693786</v>
      </c>
      <c r="E365" s="88">
        <v>9198211050</v>
      </c>
      <c r="F365" s="1" t="s">
        <v>15</v>
      </c>
      <c r="G365" s="108">
        <v>38139</v>
      </c>
      <c r="H365" s="67" t="str">
        <f t="shared" si="10"/>
        <v>Jun</v>
      </c>
      <c r="I365" s="9">
        <f t="shared" ca="1" si="11"/>
        <v>12</v>
      </c>
      <c r="J365" s="8" t="s">
        <v>34</v>
      </c>
      <c r="K365" s="7">
        <v>37330</v>
      </c>
      <c r="L365" s="6">
        <v>1</v>
      </c>
      <c r="M365" s="106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 s="1" t="s">
        <v>287</v>
      </c>
      <c r="B366" s="12" t="s">
        <v>56</v>
      </c>
      <c r="C366" s="1" t="s">
        <v>60</v>
      </c>
      <c r="D366" s="85">
        <v>662974752</v>
      </c>
      <c r="E366" s="88">
        <v>2526040465</v>
      </c>
      <c r="F366" s="1" t="s">
        <v>5</v>
      </c>
      <c r="G366" s="108">
        <v>37393</v>
      </c>
      <c r="H366" s="67" t="str">
        <f t="shared" si="10"/>
        <v>May</v>
      </c>
      <c r="I366" s="9">
        <f t="shared" ca="1" si="11"/>
        <v>14</v>
      </c>
      <c r="J366" s="8" t="s">
        <v>4</v>
      </c>
      <c r="K366" s="7">
        <v>61690</v>
      </c>
      <c r="L366" s="6">
        <v>4</v>
      </c>
      <c r="M366" s="106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 s="1" t="s">
        <v>773</v>
      </c>
      <c r="B367" s="12" t="s">
        <v>13</v>
      </c>
      <c r="C367" s="1" t="s">
        <v>60</v>
      </c>
      <c r="D367" s="85">
        <v>751878224</v>
      </c>
      <c r="E367" s="88">
        <v>9194713628</v>
      </c>
      <c r="F367" s="1" t="s">
        <v>5</v>
      </c>
      <c r="G367" s="108">
        <v>34607</v>
      </c>
      <c r="H367" s="67" t="str">
        <f t="shared" si="10"/>
        <v>Sep</v>
      </c>
      <c r="I367" s="9">
        <f t="shared" ca="1" si="11"/>
        <v>22</v>
      </c>
      <c r="J367" s="8" t="s">
        <v>34</v>
      </c>
      <c r="K367" s="7">
        <v>104540</v>
      </c>
      <c r="L367" s="6">
        <v>3</v>
      </c>
      <c r="M367" s="106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 s="1" t="s">
        <v>632</v>
      </c>
      <c r="B368" s="12" t="s">
        <v>2</v>
      </c>
      <c r="C368" s="1" t="s">
        <v>60</v>
      </c>
      <c r="D368" s="85">
        <v>466400098</v>
      </c>
      <c r="E368" s="88">
        <v>2524652136</v>
      </c>
      <c r="F368" s="1" t="s">
        <v>12</v>
      </c>
      <c r="G368" s="108">
        <v>35055</v>
      </c>
      <c r="H368" s="67" t="str">
        <f t="shared" si="10"/>
        <v>Dec</v>
      </c>
      <c r="I368" s="9">
        <f t="shared" ca="1" si="11"/>
        <v>20</v>
      </c>
      <c r="J368" s="8"/>
      <c r="K368" s="7">
        <v>34800</v>
      </c>
      <c r="L368" s="6">
        <v>5</v>
      </c>
      <c r="M368" s="106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 s="1" t="s">
        <v>650</v>
      </c>
      <c r="B369" s="12" t="s">
        <v>39</v>
      </c>
      <c r="C369" s="1" t="s">
        <v>60</v>
      </c>
      <c r="D369" s="85">
        <v>132016163</v>
      </c>
      <c r="E369" s="88">
        <v>2527726916</v>
      </c>
      <c r="F369" s="1" t="s">
        <v>15</v>
      </c>
      <c r="G369" s="108">
        <v>40872</v>
      </c>
      <c r="H369" s="67" t="str">
        <f t="shared" si="10"/>
        <v>Nov</v>
      </c>
      <c r="I369" s="9">
        <f t="shared" ca="1" si="11"/>
        <v>4</v>
      </c>
      <c r="J369" s="8" t="s">
        <v>19</v>
      </c>
      <c r="K369" s="7">
        <v>46290</v>
      </c>
      <c r="L369" s="6">
        <v>2</v>
      </c>
      <c r="M369" s="106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 s="1" t="s">
        <v>643</v>
      </c>
      <c r="B370" s="12" t="s">
        <v>13</v>
      </c>
      <c r="C370" s="1" t="s">
        <v>60</v>
      </c>
      <c r="D370" s="85">
        <v>643272576</v>
      </c>
      <c r="E370" s="88">
        <v>2522256131</v>
      </c>
      <c r="F370" s="1" t="s">
        <v>0</v>
      </c>
      <c r="G370" s="108">
        <v>34306</v>
      </c>
      <c r="H370" s="67" t="str">
        <f t="shared" si="10"/>
        <v>Dec</v>
      </c>
      <c r="I370" s="9">
        <f t="shared" ca="1" si="11"/>
        <v>22</v>
      </c>
      <c r="J370" s="8"/>
      <c r="K370" s="7">
        <v>44210</v>
      </c>
      <c r="L370" s="6">
        <v>4</v>
      </c>
      <c r="M370" s="106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5">
      <c r="A371" s="1" t="s">
        <v>471</v>
      </c>
      <c r="B371" s="12" t="s">
        <v>2</v>
      </c>
      <c r="C371" s="1" t="s">
        <v>60</v>
      </c>
      <c r="D371" s="85">
        <v>355985853</v>
      </c>
      <c r="E371" s="88">
        <v>2525478716</v>
      </c>
      <c r="F371" s="1" t="s">
        <v>5</v>
      </c>
      <c r="G371" s="108">
        <v>37298</v>
      </c>
      <c r="H371" s="67" t="str">
        <f t="shared" si="10"/>
        <v>Feb</v>
      </c>
      <c r="I371" s="9">
        <f t="shared" ca="1" si="11"/>
        <v>14</v>
      </c>
      <c r="J371" s="8" t="s">
        <v>32</v>
      </c>
      <c r="K371" s="7">
        <v>55240</v>
      </c>
      <c r="L371" s="6">
        <v>2</v>
      </c>
      <c r="M371" s="106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 s="1" t="s">
        <v>329</v>
      </c>
      <c r="B372" s="12" t="s">
        <v>17</v>
      </c>
      <c r="C372" s="1" t="s">
        <v>60</v>
      </c>
      <c r="D372" s="85">
        <v>400260342</v>
      </c>
      <c r="E372" s="88">
        <v>9196798743</v>
      </c>
      <c r="F372" s="1" t="s">
        <v>12</v>
      </c>
      <c r="G372" s="108">
        <v>40284</v>
      </c>
      <c r="H372" s="67" t="str">
        <f t="shared" si="10"/>
        <v>Apr</v>
      </c>
      <c r="I372" s="9">
        <f t="shared" ca="1" si="11"/>
        <v>6</v>
      </c>
      <c r="J372" s="8"/>
      <c r="K372" s="7">
        <v>89360</v>
      </c>
      <c r="L372" s="6">
        <v>3</v>
      </c>
      <c r="M372" s="106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 s="1" t="s">
        <v>673</v>
      </c>
      <c r="B373" s="12" t="s">
        <v>39</v>
      </c>
      <c r="C373" s="1" t="s">
        <v>60</v>
      </c>
      <c r="D373" s="85">
        <v>259330447</v>
      </c>
      <c r="E373" s="88">
        <v>9195252544</v>
      </c>
      <c r="F373" s="1" t="s">
        <v>12</v>
      </c>
      <c r="G373" s="108">
        <v>37193</v>
      </c>
      <c r="H373" s="67" t="str">
        <f t="shared" si="10"/>
        <v>Oct</v>
      </c>
      <c r="I373" s="9">
        <f t="shared" ca="1" si="11"/>
        <v>15</v>
      </c>
      <c r="J373" s="8"/>
      <c r="K373" s="7">
        <v>57140</v>
      </c>
      <c r="L373" s="6">
        <v>5</v>
      </c>
      <c r="M373" s="106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 s="1" t="s">
        <v>416</v>
      </c>
      <c r="B374" s="12" t="s">
        <v>13</v>
      </c>
      <c r="C374" s="1" t="s">
        <v>60</v>
      </c>
      <c r="D374" s="85">
        <v>157257652</v>
      </c>
      <c r="E374" s="88">
        <v>9193262077</v>
      </c>
      <c r="F374" s="1" t="s">
        <v>12</v>
      </c>
      <c r="G374" s="108">
        <v>37704</v>
      </c>
      <c r="H374" s="67" t="str">
        <f t="shared" si="10"/>
        <v>Mar</v>
      </c>
      <c r="I374" s="9">
        <f t="shared" ca="1" si="11"/>
        <v>13</v>
      </c>
      <c r="J374" s="8"/>
      <c r="K374" s="7">
        <v>60240</v>
      </c>
      <c r="L374" s="6">
        <v>4</v>
      </c>
      <c r="M374" s="106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 s="1" t="s">
        <v>82</v>
      </c>
      <c r="B375" s="12" t="s">
        <v>39</v>
      </c>
      <c r="C375" s="1" t="s">
        <v>60</v>
      </c>
      <c r="D375" s="85">
        <v>738946277</v>
      </c>
      <c r="E375" s="88">
        <v>9194331646</v>
      </c>
      <c r="F375" s="1" t="s">
        <v>5</v>
      </c>
      <c r="G375" s="108">
        <v>34224</v>
      </c>
      <c r="H375" s="67" t="str">
        <f t="shared" si="10"/>
        <v>Sep</v>
      </c>
      <c r="I375" s="9">
        <f t="shared" ca="1" si="11"/>
        <v>23</v>
      </c>
      <c r="J375" s="8" t="s">
        <v>34</v>
      </c>
      <c r="K375" s="7">
        <v>37510</v>
      </c>
      <c r="L375" s="6">
        <v>5</v>
      </c>
      <c r="M375" s="106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5">
      <c r="A376" s="1" t="s">
        <v>609</v>
      </c>
      <c r="B376" s="12" t="s">
        <v>39</v>
      </c>
      <c r="C376" s="1" t="s">
        <v>60</v>
      </c>
      <c r="D376" s="85">
        <v>261920277</v>
      </c>
      <c r="E376" s="88">
        <v>2524272773</v>
      </c>
      <c r="F376" s="1" t="s">
        <v>5</v>
      </c>
      <c r="G376" s="108">
        <v>36857</v>
      </c>
      <c r="H376" s="67" t="str">
        <f t="shared" si="10"/>
        <v>Nov</v>
      </c>
      <c r="I376" s="9">
        <f t="shared" ca="1" si="11"/>
        <v>15</v>
      </c>
      <c r="J376" s="8" t="s">
        <v>8</v>
      </c>
      <c r="K376" s="7">
        <v>104200</v>
      </c>
      <c r="L376" s="6">
        <v>3</v>
      </c>
      <c r="M376" s="106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5">
      <c r="A377" s="1" t="s">
        <v>564</v>
      </c>
      <c r="B377" s="12" t="s">
        <v>39</v>
      </c>
      <c r="C377" s="1" t="s">
        <v>60</v>
      </c>
      <c r="D377" s="85">
        <v>948189231</v>
      </c>
      <c r="E377" s="88">
        <v>2527687161</v>
      </c>
      <c r="F377" s="1" t="s">
        <v>5</v>
      </c>
      <c r="G377" s="108">
        <v>34703</v>
      </c>
      <c r="H377" s="67" t="str">
        <f t="shared" si="10"/>
        <v>Jan</v>
      </c>
      <c r="I377" s="9">
        <f t="shared" ca="1" si="11"/>
        <v>21</v>
      </c>
      <c r="J377" s="8" t="s">
        <v>32</v>
      </c>
      <c r="K377" s="7">
        <v>44420</v>
      </c>
      <c r="L377" s="6">
        <v>2</v>
      </c>
      <c r="M377" s="106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5">
      <c r="A378" s="1" t="s">
        <v>557</v>
      </c>
      <c r="B378" s="12" t="s">
        <v>13</v>
      </c>
      <c r="C378" s="1" t="s">
        <v>60</v>
      </c>
      <c r="D378" s="85">
        <v>443476169</v>
      </c>
      <c r="E378" s="88">
        <v>9195085809</v>
      </c>
      <c r="F378" s="1" t="s">
        <v>5</v>
      </c>
      <c r="G378" s="108">
        <v>35068</v>
      </c>
      <c r="H378" s="67" t="str">
        <f t="shared" si="10"/>
        <v>Jan</v>
      </c>
      <c r="I378" s="9">
        <f t="shared" ca="1" si="11"/>
        <v>20</v>
      </c>
      <c r="J378" s="8" t="s">
        <v>19</v>
      </c>
      <c r="K378" s="7">
        <v>103850</v>
      </c>
      <c r="L378" s="6">
        <v>4</v>
      </c>
      <c r="M378" s="106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5">
      <c r="A379" s="1" t="s">
        <v>540</v>
      </c>
      <c r="B379" s="12" t="s">
        <v>13</v>
      </c>
      <c r="C379" s="1" t="s">
        <v>60</v>
      </c>
      <c r="D379" s="85">
        <v>983891302</v>
      </c>
      <c r="E379" s="88">
        <v>9191462245</v>
      </c>
      <c r="F379" s="1" t="s">
        <v>5</v>
      </c>
      <c r="G379" s="108">
        <v>36548</v>
      </c>
      <c r="H379" s="67" t="str">
        <f t="shared" si="10"/>
        <v>Jan</v>
      </c>
      <c r="I379" s="9">
        <f t="shared" ca="1" si="11"/>
        <v>16</v>
      </c>
      <c r="J379" s="8" t="s">
        <v>32</v>
      </c>
      <c r="K379" s="7">
        <v>97970</v>
      </c>
      <c r="L379" s="6">
        <v>4</v>
      </c>
      <c r="M379" s="106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5">
      <c r="A380" s="1" t="s">
        <v>668</v>
      </c>
      <c r="B380" s="12" t="s">
        <v>56</v>
      </c>
      <c r="C380" s="1" t="s">
        <v>60</v>
      </c>
      <c r="D380" s="85">
        <v>345817459</v>
      </c>
      <c r="E380" s="88">
        <v>9195594427</v>
      </c>
      <c r="F380" s="1" t="s">
        <v>12</v>
      </c>
      <c r="G380" s="108">
        <v>37200</v>
      </c>
      <c r="H380" s="67" t="str">
        <f t="shared" si="10"/>
        <v>Nov</v>
      </c>
      <c r="I380" s="9">
        <f t="shared" ca="1" si="11"/>
        <v>14</v>
      </c>
      <c r="J380" s="8"/>
      <c r="K380" s="7">
        <v>37520</v>
      </c>
      <c r="L380" s="6">
        <v>5</v>
      </c>
      <c r="M380" s="106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5">
      <c r="A381" s="1" t="s">
        <v>659</v>
      </c>
      <c r="B381" s="12" t="s">
        <v>39</v>
      </c>
      <c r="C381" s="1" t="s">
        <v>60</v>
      </c>
      <c r="D381" s="85">
        <v>662247915</v>
      </c>
      <c r="E381" s="88">
        <v>9194378387</v>
      </c>
      <c r="F381" s="1" t="s">
        <v>5</v>
      </c>
      <c r="G381" s="108">
        <v>37941</v>
      </c>
      <c r="H381" s="67" t="str">
        <f t="shared" si="10"/>
        <v>Nov</v>
      </c>
      <c r="I381" s="9">
        <f t="shared" ca="1" si="11"/>
        <v>12</v>
      </c>
      <c r="J381" s="8" t="s">
        <v>32</v>
      </c>
      <c r="K381" s="7">
        <v>58790</v>
      </c>
      <c r="L381" s="6">
        <v>5</v>
      </c>
      <c r="M381" s="106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5">
      <c r="A382" s="1" t="s">
        <v>373</v>
      </c>
      <c r="B382" s="12" t="s">
        <v>13</v>
      </c>
      <c r="C382" s="1" t="s">
        <v>60</v>
      </c>
      <c r="D382" s="85">
        <v>422957475</v>
      </c>
      <c r="E382" s="88">
        <v>2524273090</v>
      </c>
      <c r="F382" s="1" t="s">
        <v>5</v>
      </c>
      <c r="G382" s="108">
        <v>35178</v>
      </c>
      <c r="H382" s="67" t="str">
        <f t="shared" si="10"/>
        <v>Apr</v>
      </c>
      <c r="I382" s="9">
        <f t="shared" ca="1" si="11"/>
        <v>20</v>
      </c>
      <c r="J382" s="8" t="s">
        <v>4</v>
      </c>
      <c r="K382" s="7">
        <v>78300</v>
      </c>
      <c r="L382" s="6">
        <v>2</v>
      </c>
      <c r="M382" s="106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5">
      <c r="A383" s="1" t="s">
        <v>347</v>
      </c>
      <c r="B383" s="12" t="s">
        <v>10</v>
      </c>
      <c r="C383" s="1" t="s">
        <v>60</v>
      </c>
      <c r="D383" s="85">
        <v>357081517</v>
      </c>
      <c r="E383" s="88">
        <v>2527660273</v>
      </c>
      <c r="F383" s="1" t="s">
        <v>15</v>
      </c>
      <c r="G383" s="108">
        <v>37372</v>
      </c>
      <c r="H383" s="67" t="str">
        <f t="shared" si="10"/>
        <v>Apr</v>
      </c>
      <c r="I383" s="9">
        <f t="shared" ca="1" si="11"/>
        <v>14</v>
      </c>
      <c r="J383" s="8" t="s">
        <v>4</v>
      </c>
      <c r="K383" s="7">
        <v>32150</v>
      </c>
      <c r="L383" s="6">
        <v>2</v>
      </c>
      <c r="M383" s="106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5">
      <c r="A384" s="1" t="s">
        <v>61</v>
      </c>
      <c r="B384" s="12" t="s">
        <v>17</v>
      </c>
      <c r="C384" s="1" t="s">
        <v>60</v>
      </c>
      <c r="D384" s="85">
        <v>626767704</v>
      </c>
      <c r="E384" s="88">
        <v>2526971022</v>
      </c>
      <c r="F384" s="1" t="s">
        <v>12</v>
      </c>
      <c r="G384" s="108">
        <v>36777</v>
      </c>
      <c r="H384" s="67" t="str">
        <f t="shared" si="10"/>
        <v>Sep</v>
      </c>
      <c r="I384" s="9">
        <f t="shared" ca="1" si="11"/>
        <v>16</v>
      </c>
      <c r="J384" s="8"/>
      <c r="K384" s="7">
        <v>93520</v>
      </c>
      <c r="L384" s="6">
        <v>5</v>
      </c>
      <c r="M384" s="106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5">
      <c r="A385" s="1" t="s">
        <v>244</v>
      </c>
      <c r="B385" s="12" t="s">
        <v>13</v>
      </c>
      <c r="C385" s="1" t="s">
        <v>60</v>
      </c>
      <c r="D385" s="85">
        <v>479081328</v>
      </c>
      <c r="E385" s="88">
        <v>2525368383</v>
      </c>
      <c r="F385" s="1" t="s">
        <v>12</v>
      </c>
      <c r="G385" s="108">
        <v>36683</v>
      </c>
      <c r="H385" s="67" t="str">
        <f t="shared" si="10"/>
        <v>Jun</v>
      </c>
      <c r="I385" s="9">
        <f t="shared" ca="1" si="11"/>
        <v>16</v>
      </c>
      <c r="J385" s="8"/>
      <c r="K385" s="7">
        <v>76620</v>
      </c>
      <c r="L385" s="6">
        <v>2</v>
      </c>
      <c r="M385" s="106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5">
      <c r="A386" s="1" t="s">
        <v>434</v>
      </c>
      <c r="B386" s="12" t="s">
        <v>39</v>
      </c>
      <c r="C386" s="1" t="s">
        <v>60</v>
      </c>
      <c r="D386" s="85">
        <v>917714039</v>
      </c>
      <c r="E386" s="88">
        <v>9194402150</v>
      </c>
      <c r="F386" s="1" t="s">
        <v>5</v>
      </c>
      <c r="G386" s="108">
        <v>36221</v>
      </c>
      <c r="H386" s="67" t="str">
        <f t="shared" ref="H386:H449" si="12">CHOOSE(MONTH(G386),"Jan","Feb","Mar","Apr","May","Jun","Jul","Aug","Sep","Oct","Nov","Dec")</f>
        <v>Mar</v>
      </c>
      <c r="I386" s="9">
        <f t="shared" ref="I386:I449" ca="1" si="13">DATEDIF(G386,TODAY(),"Y")</f>
        <v>17</v>
      </c>
      <c r="J386" s="8" t="s">
        <v>19</v>
      </c>
      <c r="K386" s="7">
        <v>84580</v>
      </c>
      <c r="L386" s="6">
        <v>4</v>
      </c>
      <c r="M386" s="106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5">
      <c r="A387" s="1" t="s">
        <v>612</v>
      </c>
      <c r="B387" s="12" t="s">
        <v>2</v>
      </c>
      <c r="C387" s="1" t="s">
        <v>60</v>
      </c>
      <c r="D387" s="85">
        <v>650784238</v>
      </c>
      <c r="E387" s="88">
        <v>9194679864</v>
      </c>
      <c r="F387" s="1" t="s">
        <v>12</v>
      </c>
      <c r="G387" s="108">
        <v>36519</v>
      </c>
      <c r="H387" s="67" t="str">
        <f t="shared" si="12"/>
        <v>Dec</v>
      </c>
      <c r="I387" s="9">
        <f t="shared" ca="1" si="13"/>
        <v>16</v>
      </c>
      <c r="J387" s="8"/>
      <c r="K387" s="7">
        <v>64640</v>
      </c>
      <c r="L387" s="6">
        <v>2</v>
      </c>
      <c r="M387" s="106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5">
      <c r="A388" s="1" t="s">
        <v>785</v>
      </c>
      <c r="B388" s="12" t="s">
        <v>10</v>
      </c>
      <c r="C388" s="1" t="s">
        <v>60</v>
      </c>
      <c r="D388" s="85">
        <v>279097202</v>
      </c>
      <c r="E388" s="89">
        <v>9196844371</v>
      </c>
      <c r="F388" s="1" t="s">
        <v>5</v>
      </c>
      <c r="G388" s="108">
        <v>34248</v>
      </c>
      <c r="H388" s="67" t="str">
        <f t="shared" si="12"/>
        <v>Oct</v>
      </c>
      <c r="I388" s="9">
        <f t="shared" ca="1" si="13"/>
        <v>23</v>
      </c>
      <c r="J388" s="8" t="s">
        <v>32</v>
      </c>
      <c r="K388" s="7">
        <v>75290</v>
      </c>
      <c r="L388" s="6">
        <v>4</v>
      </c>
      <c r="M388" s="106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5">
      <c r="A389" s="1" t="s">
        <v>223</v>
      </c>
      <c r="B389" s="12" t="s">
        <v>10</v>
      </c>
      <c r="C389" s="1" t="s">
        <v>60</v>
      </c>
      <c r="D389" s="85">
        <v>168147877</v>
      </c>
      <c r="E389" s="88">
        <v>9196530760</v>
      </c>
      <c r="F389" s="1" t="s">
        <v>15</v>
      </c>
      <c r="G389" s="108">
        <v>38142</v>
      </c>
      <c r="H389" s="67" t="str">
        <f t="shared" si="12"/>
        <v>Jun</v>
      </c>
      <c r="I389" s="9">
        <f t="shared" ca="1" si="13"/>
        <v>12</v>
      </c>
      <c r="J389" s="8" t="s">
        <v>8</v>
      </c>
      <c r="K389" s="7">
        <v>19090</v>
      </c>
      <c r="L389" s="6">
        <v>3</v>
      </c>
      <c r="M389" s="106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5">
      <c r="A390" s="1" t="s">
        <v>458</v>
      </c>
      <c r="B390" s="12" t="s">
        <v>56</v>
      </c>
      <c r="C390" s="1" t="s">
        <v>60</v>
      </c>
      <c r="D390" s="85">
        <v>788451186</v>
      </c>
      <c r="E390" s="88">
        <v>9191682521</v>
      </c>
      <c r="F390" s="1" t="s">
        <v>12</v>
      </c>
      <c r="G390" s="108">
        <v>39497</v>
      </c>
      <c r="H390" s="67" t="str">
        <f t="shared" si="12"/>
        <v>Feb</v>
      </c>
      <c r="I390" s="9">
        <f t="shared" ca="1" si="13"/>
        <v>8</v>
      </c>
      <c r="J390" s="8"/>
      <c r="K390" s="7">
        <v>69020</v>
      </c>
      <c r="L390" s="6">
        <v>3</v>
      </c>
      <c r="M390" s="106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 s="1" t="s">
        <v>164</v>
      </c>
      <c r="B391" s="12" t="s">
        <v>13</v>
      </c>
      <c r="C391" s="1" t="s">
        <v>60</v>
      </c>
      <c r="D391" s="85">
        <v>294161481</v>
      </c>
      <c r="E391" s="88">
        <v>2521201242</v>
      </c>
      <c r="F391" s="1" t="s">
        <v>15</v>
      </c>
      <c r="G391" s="108">
        <v>37095</v>
      </c>
      <c r="H391" s="67" t="str">
        <f t="shared" si="12"/>
        <v>Jul</v>
      </c>
      <c r="I391" s="9">
        <f t="shared" ca="1" si="13"/>
        <v>15</v>
      </c>
      <c r="J391" s="8" t="s">
        <v>32</v>
      </c>
      <c r="K391" s="7">
        <v>57460</v>
      </c>
      <c r="L391" s="6">
        <v>1</v>
      </c>
      <c r="M391" s="106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5">
      <c r="A392" s="1" t="s">
        <v>157</v>
      </c>
      <c r="B392" s="12" t="s">
        <v>17</v>
      </c>
      <c r="C392" s="1" t="s">
        <v>60</v>
      </c>
      <c r="D392" s="85">
        <v>393290045</v>
      </c>
      <c r="E392" s="88">
        <v>2525268508</v>
      </c>
      <c r="F392" s="1" t="s">
        <v>15</v>
      </c>
      <c r="G392" s="108">
        <v>38167</v>
      </c>
      <c r="H392" s="67" t="str">
        <f t="shared" si="12"/>
        <v>Jun</v>
      </c>
      <c r="I392" s="9">
        <f t="shared" ca="1" si="13"/>
        <v>12</v>
      </c>
      <c r="J392" s="8" t="s">
        <v>34</v>
      </c>
      <c r="K392" s="7">
        <v>56750</v>
      </c>
      <c r="L392" s="6">
        <v>4</v>
      </c>
      <c r="M392" s="106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 s="1" t="s">
        <v>683</v>
      </c>
      <c r="B393" s="12" t="s">
        <v>13</v>
      </c>
      <c r="C393" s="1" t="s">
        <v>9</v>
      </c>
      <c r="D393" s="85">
        <v>414905182</v>
      </c>
      <c r="E393" s="88">
        <v>9193820411</v>
      </c>
      <c r="F393" s="1" t="s">
        <v>5</v>
      </c>
      <c r="G393" s="108">
        <v>36122</v>
      </c>
      <c r="H393" s="67" t="str">
        <f t="shared" si="12"/>
        <v>Nov</v>
      </c>
      <c r="I393" s="9">
        <f t="shared" ca="1" si="13"/>
        <v>17</v>
      </c>
      <c r="J393" s="8" t="s">
        <v>4</v>
      </c>
      <c r="K393" s="7">
        <v>27430</v>
      </c>
      <c r="L393" s="6">
        <v>5</v>
      </c>
      <c r="M393" s="106"/>
      <c r="N393" s="2"/>
      <c r="O393" s="1"/>
      <c r="P393" s="5"/>
      <c r="Q393" s="5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 s="1" t="s">
        <v>192</v>
      </c>
      <c r="B394" s="12" t="s">
        <v>13</v>
      </c>
      <c r="C394" s="1" t="s">
        <v>9</v>
      </c>
      <c r="D394" s="85">
        <v>802700229</v>
      </c>
      <c r="E394" s="88">
        <v>2524264889</v>
      </c>
      <c r="F394" s="1" t="s">
        <v>5</v>
      </c>
      <c r="G394" s="108">
        <v>34905</v>
      </c>
      <c r="H394" s="67" t="str">
        <f t="shared" si="12"/>
        <v>Jul</v>
      </c>
      <c r="I394" s="9">
        <f t="shared" ca="1" si="13"/>
        <v>21</v>
      </c>
      <c r="J394" s="8" t="s">
        <v>34</v>
      </c>
      <c r="K394" s="7">
        <v>105580</v>
      </c>
      <c r="L394" s="6">
        <v>1</v>
      </c>
      <c r="M394" s="106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5">
      <c r="A395" s="1" t="s">
        <v>621</v>
      </c>
      <c r="B395" s="12" t="s">
        <v>10</v>
      </c>
      <c r="C395" s="1" t="s">
        <v>9</v>
      </c>
      <c r="D395" s="85">
        <v>303641529</v>
      </c>
      <c r="E395" s="88">
        <v>9196753698</v>
      </c>
      <c r="F395" s="1" t="s">
        <v>15</v>
      </c>
      <c r="G395" s="108">
        <v>36151</v>
      </c>
      <c r="H395" s="67" t="str">
        <f t="shared" si="12"/>
        <v>Dec</v>
      </c>
      <c r="I395" s="9">
        <f t="shared" ca="1" si="13"/>
        <v>17</v>
      </c>
      <c r="J395" s="8" t="s">
        <v>32</v>
      </c>
      <c r="K395" s="7">
        <v>59290</v>
      </c>
      <c r="L395" s="6">
        <v>4</v>
      </c>
      <c r="M395" s="106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5">
      <c r="A396" s="1" t="s">
        <v>11</v>
      </c>
      <c r="B396" s="12" t="s">
        <v>10</v>
      </c>
      <c r="C396" s="1" t="s">
        <v>9</v>
      </c>
      <c r="D396" s="85">
        <v>478004556</v>
      </c>
      <c r="E396" s="88">
        <v>9193891189</v>
      </c>
      <c r="F396" s="1" t="s">
        <v>5</v>
      </c>
      <c r="G396" s="108">
        <v>41534</v>
      </c>
      <c r="H396" s="67" t="str">
        <f t="shared" si="12"/>
        <v>Sep</v>
      </c>
      <c r="I396" s="9">
        <f t="shared" ca="1" si="13"/>
        <v>3</v>
      </c>
      <c r="J396" s="8" t="s">
        <v>8</v>
      </c>
      <c r="K396" s="7">
        <v>74620</v>
      </c>
      <c r="L396" s="6">
        <v>2</v>
      </c>
      <c r="M396" s="106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5">
      <c r="A397" s="1" t="s">
        <v>177</v>
      </c>
      <c r="B397" s="12" t="s">
        <v>56</v>
      </c>
      <c r="C397" s="1" t="s">
        <v>9</v>
      </c>
      <c r="D397" s="85">
        <v>859204644</v>
      </c>
      <c r="E397" s="88">
        <v>9191617913</v>
      </c>
      <c r="F397" s="1" t="s">
        <v>12</v>
      </c>
      <c r="G397" s="108">
        <v>36725</v>
      </c>
      <c r="H397" s="67" t="str">
        <f t="shared" si="12"/>
        <v>Jul</v>
      </c>
      <c r="I397" s="9">
        <f t="shared" ca="1" si="13"/>
        <v>16</v>
      </c>
      <c r="J397" s="8"/>
      <c r="K397" s="7">
        <v>103760</v>
      </c>
      <c r="L397" s="6">
        <v>4</v>
      </c>
      <c r="M397" s="106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5">
      <c r="A398" s="1" t="s">
        <v>335</v>
      </c>
      <c r="B398" s="12" t="s">
        <v>2</v>
      </c>
      <c r="C398" s="1" t="s">
        <v>9</v>
      </c>
      <c r="D398" s="85">
        <v>917195248</v>
      </c>
      <c r="E398" s="88">
        <v>9194605984</v>
      </c>
      <c r="F398" s="1" t="s">
        <v>0</v>
      </c>
      <c r="G398" s="108">
        <v>38828</v>
      </c>
      <c r="H398" s="67" t="str">
        <f t="shared" si="12"/>
        <v>Apr</v>
      </c>
      <c r="I398" s="9">
        <f t="shared" ca="1" si="13"/>
        <v>10</v>
      </c>
      <c r="J398" s="8"/>
      <c r="K398" s="7">
        <v>13250</v>
      </c>
      <c r="L398" s="6">
        <v>2</v>
      </c>
      <c r="M398" s="106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5">
      <c r="A399" s="1" t="s">
        <v>117</v>
      </c>
      <c r="B399" s="12" t="s">
        <v>17</v>
      </c>
      <c r="C399" s="1" t="s">
        <v>9</v>
      </c>
      <c r="D399" s="85">
        <v>788832967</v>
      </c>
      <c r="E399" s="88">
        <v>2521919147</v>
      </c>
      <c r="F399" s="1" t="s">
        <v>0</v>
      </c>
      <c r="G399" s="108">
        <v>36382</v>
      </c>
      <c r="H399" s="67" t="str">
        <f t="shared" si="12"/>
        <v>Aug</v>
      </c>
      <c r="I399" s="9">
        <f t="shared" ca="1" si="13"/>
        <v>17</v>
      </c>
      <c r="J399" s="8"/>
      <c r="K399" s="7">
        <v>42370</v>
      </c>
      <c r="L399" s="6">
        <v>3</v>
      </c>
      <c r="M399" s="106"/>
      <c r="N399" s="2"/>
      <c r="O399" s="1"/>
      <c r="P399" s="5"/>
      <c r="Q399" s="5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5">
      <c r="A400" s="1" t="s">
        <v>109</v>
      </c>
      <c r="B400" s="12" t="s">
        <v>2</v>
      </c>
      <c r="C400" s="1" t="s">
        <v>9</v>
      </c>
      <c r="D400" s="85">
        <v>113377726</v>
      </c>
      <c r="E400" s="88">
        <v>9197494648</v>
      </c>
      <c r="F400" s="1" t="s">
        <v>5</v>
      </c>
      <c r="G400" s="108">
        <v>37467</v>
      </c>
      <c r="H400" s="67" t="str">
        <f t="shared" si="12"/>
        <v>Jul</v>
      </c>
      <c r="I400" s="9">
        <f t="shared" ca="1" si="13"/>
        <v>14</v>
      </c>
      <c r="J400" s="8" t="s">
        <v>4</v>
      </c>
      <c r="K400" s="7">
        <v>82090</v>
      </c>
      <c r="L400" s="6">
        <v>5</v>
      </c>
      <c r="M400" s="106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5">
      <c r="A401" s="1" t="s">
        <v>661</v>
      </c>
      <c r="B401" s="12" t="s">
        <v>10</v>
      </c>
      <c r="C401" s="1" t="s">
        <v>9</v>
      </c>
      <c r="D401" s="85">
        <v>665006199</v>
      </c>
      <c r="E401" s="88">
        <v>2525555817</v>
      </c>
      <c r="F401" s="1" t="s">
        <v>5</v>
      </c>
      <c r="G401" s="108">
        <v>37568</v>
      </c>
      <c r="H401" s="67" t="str">
        <f t="shared" si="12"/>
        <v>Nov</v>
      </c>
      <c r="I401" s="9">
        <f t="shared" ca="1" si="13"/>
        <v>13</v>
      </c>
      <c r="J401" s="8" t="s">
        <v>8</v>
      </c>
      <c r="K401" s="7">
        <v>54540</v>
      </c>
      <c r="L401" s="6">
        <v>5</v>
      </c>
      <c r="M401" s="106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5">
      <c r="A402" s="1" t="s">
        <v>737</v>
      </c>
      <c r="B402" s="12" t="s">
        <v>17</v>
      </c>
      <c r="C402" s="1" t="s">
        <v>9</v>
      </c>
      <c r="D402" s="85">
        <v>332302868</v>
      </c>
      <c r="E402" s="88">
        <v>9196109756</v>
      </c>
      <c r="F402" s="1" t="s">
        <v>5</v>
      </c>
      <c r="G402" s="108">
        <v>37176</v>
      </c>
      <c r="H402" s="67" t="str">
        <f t="shared" si="12"/>
        <v>Oct</v>
      </c>
      <c r="I402" s="9">
        <f t="shared" ca="1" si="13"/>
        <v>15</v>
      </c>
      <c r="J402" s="8" t="s">
        <v>4</v>
      </c>
      <c r="K402" s="7">
        <v>28220</v>
      </c>
      <c r="L402" s="6">
        <v>2</v>
      </c>
      <c r="M402" s="106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5">
      <c r="A403" s="1" t="s">
        <v>397</v>
      </c>
      <c r="B403" s="12" t="s">
        <v>56</v>
      </c>
      <c r="C403" s="1" t="s">
        <v>9</v>
      </c>
      <c r="D403" s="85">
        <v>755945415</v>
      </c>
      <c r="E403" s="88">
        <v>2524373324</v>
      </c>
      <c r="F403" s="1" t="s">
        <v>12</v>
      </c>
      <c r="G403" s="108">
        <v>41334</v>
      </c>
      <c r="H403" s="67" t="str">
        <f t="shared" si="12"/>
        <v>Mar</v>
      </c>
      <c r="I403" s="9">
        <f t="shared" ca="1" si="13"/>
        <v>3</v>
      </c>
      <c r="J403" s="8"/>
      <c r="K403" s="7">
        <v>88820</v>
      </c>
      <c r="L403" s="6">
        <v>2</v>
      </c>
      <c r="M403" s="106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5">
      <c r="A404" s="1" t="s">
        <v>339</v>
      </c>
      <c r="B404" s="12" t="s">
        <v>13</v>
      </c>
      <c r="C404" s="1" t="s">
        <v>9</v>
      </c>
      <c r="D404" s="85">
        <v>167646549</v>
      </c>
      <c r="E404" s="88">
        <v>9197187041</v>
      </c>
      <c r="F404" s="1" t="s">
        <v>12</v>
      </c>
      <c r="G404" s="108">
        <v>38804</v>
      </c>
      <c r="H404" s="67" t="str">
        <f t="shared" si="12"/>
        <v>Mar</v>
      </c>
      <c r="I404" s="9">
        <f t="shared" ca="1" si="13"/>
        <v>10</v>
      </c>
      <c r="J404" s="8"/>
      <c r="K404" s="7">
        <v>93720</v>
      </c>
      <c r="L404" s="6">
        <v>3</v>
      </c>
      <c r="M404" s="106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5">
      <c r="A405" s="1" t="s">
        <v>769</v>
      </c>
      <c r="B405" s="12" t="s">
        <v>10</v>
      </c>
      <c r="C405" s="1" t="s">
        <v>9</v>
      </c>
      <c r="D405" s="85">
        <v>247555666</v>
      </c>
      <c r="E405" s="88">
        <v>2528183445</v>
      </c>
      <c r="F405" s="1" t="s">
        <v>5</v>
      </c>
      <c r="G405" s="108">
        <v>34618</v>
      </c>
      <c r="H405" s="67" t="str">
        <f t="shared" si="12"/>
        <v>Oct</v>
      </c>
      <c r="I405" s="9">
        <f t="shared" ca="1" si="13"/>
        <v>22</v>
      </c>
      <c r="J405" s="8" t="s">
        <v>32</v>
      </c>
      <c r="K405" s="7">
        <v>46930</v>
      </c>
      <c r="L405" s="6">
        <v>5</v>
      </c>
      <c r="M405" s="106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5">
      <c r="A406" s="1" t="s">
        <v>238</v>
      </c>
      <c r="B406" s="12" t="s">
        <v>39</v>
      </c>
      <c r="C406" s="1" t="s">
        <v>9</v>
      </c>
      <c r="D406" s="85">
        <v>550291321</v>
      </c>
      <c r="E406" s="88">
        <v>9192529195</v>
      </c>
      <c r="F406" s="1" t="s">
        <v>12</v>
      </c>
      <c r="G406" s="108">
        <v>37048</v>
      </c>
      <c r="H406" s="67" t="str">
        <f t="shared" si="12"/>
        <v>Jun</v>
      </c>
      <c r="I406" s="9">
        <f t="shared" ca="1" si="13"/>
        <v>15</v>
      </c>
      <c r="J406" s="8"/>
      <c r="K406" s="7">
        <v>86980</v>
      </c>
      <c r="L406" s="6">
        <v>2</v>
      </c>
      <c r="M406" s="106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5">
      <c r="A407" s="1" t="s">
        <v>502</v>
      </c>
      <c r="B407" s="12" t="s">
        <v>13</v>
      </c>
      <c r="C407" s="1" t="s">
        <v>9</v>
      </c>
      <c r="D407" s="85">
        <v>468953266</v>
      </c>
      <c r="E407" s="88">
        <v>9192126707</v>
      </c>
      <c r="F407" s="1" t="s">
        <v>5</v>
      </c>
      <c r="G407" s="108">
        <v>34742</v>
      </c>
      <c r="H407" s="67" t="str">
        <f t="shared" si="12"/>
        <v>Feb</v>
      </c>
      <c r="I407" s="9">
        <f t="shared" ca="1" si="13"/>
        <v>21</v>
      </c>
      <c r="J407" s="8" t="s">
        <v>32</v>
      </c>
      <c r="K407" s="7">
        <v>58260</v>
      </c>
      <c r="L407" s="6">
        <v>5</v>
      </c>
      <c r="M407" s="106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5">
      <c r="A408" s="1" t="s">
        <v>48</v>
      </c>
      <c r="B408" s="12" t="s">
        <v>39</v>
      </c>
      <c r="C408" s="1" t="s">
        <v>9</v>
      </c>
      <c r="D408" s="85">
        <v>261486180</v>
      </c>
      <c r="E408" s="88">
        <v>2522523567</v>
      </c>
      <c r="F408" s="1" t="s">
        <v>12</v>
      </c>
      <c r="G408" s="108">
        <v>38237</v>
      </c>
      <c r="H408" s="67" t="str">
        <f t="shared" si="12"/>
        <v>Sep</v>
      </c>
      <c r="I408" s="9">
        <f t="shared" ca="1" si="13"/>
        <v>12</v>
      </c>
      <c r="J408" s="8"/>
      <c r="K408" s="7">
        <v>35450</v>
      </c>
      <c r="L408" s="6">
        <v>3</v>
      </c>
      <c r="M408" s="106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5">
      <c r="A409" s="1" t="s">
        <v>750</v>
      </c>
      <c r="B409" s="12" t="s">
        <v>13</v>
      </c>
      <c r="C409" s="1" t="s">
        <v>9</v>
      </c>
      <c r="D409" s="85">
        <v>557568959</v>
      </c>
      <c r="E409" s="88">
        <v>9192783818</v>
      </c>
      <c r="F409" s="1" t="s">
        <v>12</v>
      </c>
      <c r="G409" s="108">
        <v>36448</v>
      </c>
      <c r="H409" s="67" t="str">
        <f t="shared" si="12"/>
        <v>Oct</v>
      </c>
      <c r="I409" s="9">
        <f t="shared" ca="1" si="13"/>
        <v>17</v>
      </c>
      <c r="J409" s="8"/>
      <c r="K409" s="7">
        <v>65030</v>
      </c>
      <c r="L409" s="6">
        <v>4</v>
      </c>
      <c r="M409" s="106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5">
      <c r="A410" s="1" t="s">
        <v>428</v>
      </c>
      <c r="B410" s="12" t="s">
        <v>17</v>
      </c>
      <c r="C410" s="1" t="s">
        <v>9</v>
      </c>
      <c r="D410" s="85">
        <v>122440839</v>
      </c>
      <c r="E410" s="88">
        <v>2526525807</v>
      </c>
      <c r="F410" s="1" t="s">
        <v>15</v>
      </c>
      <c r="G410" s="108">
        <v>36962</v>
      </c>
      <c r="H410" s="67" t="str">
        <f t="shared" si="12"/>
        <v>Mar</v>
      </c>
      <c r="I410" s="9">
        <f t="shared" ca="1" si="13"/>
        <v>15</v>
      </c>
      <c r="J410" s="8" t="s">
        <v>32</v>
      </c>
      <c r="K410" s="7">
        <v>24600</v>
      </c>
      <c r="L410" s="6">
        <v>3</v>
      </c>
      <c r="M410" s="106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5">
      <c r="A411" s="1" t="s">
        <v>169</v>
      </c>
      <c r="B411" s="12" t="s">
        <v>17</v>
      </c>
      <c r="C411" s="1" t="s">
        <v>9</v>
      </c>
      <c r="D411" s="85">
        <v>797431044</v>
      </c>
      <c r="E411" s="88">
        <v>2523820613</v>
      </c>
      <c r="F411" s="1" t="s">
        <v>0</v>
      </c>
      <c r="G411" s="108">
        <v>37085</v>
      </c>
      <c r="H411" s="67" t="str">
        <f t="shared" si="12"/>
        <v>Jul</v>
      </c>
      <c r="I411" s="9">
        <f t="shared" ca="1" si="13"/>
        <v>15</v>
      </c>
      <c r="J411" s="8"/>
      <c r="K411" s="7">
        <v>26000</v>
      </c>
      <c r="L411" s="6">
        <v>4</v>
      </c>
      <c r="M411" s="106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5">
      <c r="A412" s="1" t="s">
        <v>323</v>
      </c>
      <c r="B412" s="12" t="s">
        <v>17</v>
      </c>
      <c r="C412" s="1" t="s">
        <v>9</v>
      </c>
      <c r="D412" s="85">
        <v>397835298</v>
      </c>
      <c r="E412" s="88">
        <v>9196795200</v>
      </c>
      <c r="F412" s="1" t="s">
        <v>12</v>
      </c>
      <c r="G412" s="108">
        <v>41373</v>
      </c>
      <c r="H412" s="67" t="str">
        <f t="shared" si="12"/>
        <v>Apr</v>
      </c>
      <c r="I412" s="9">
        <f t="shared" ca="1" si="13"/>
        <v>3</v>
      </c>
      <c r="J412" s="8"/>
      <c r="K412" s="7">
        <v>90120</v>
      </c>
      <c r="L412" s="6">
        <v>4</v>
      </c>
      <c r="M412" s="106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5">
      <c r="A413" s="1" t="s">
        <v>726</v>
      </c>
      <c r="B413" s="12" t="s">
        <v>17</v>
      </c>
      <c r="C413" s="1" t="s">
        <v>9</v>
      </c>
      <c r="D413" s="85">
        <v>221364716</v>
      </c>
      <c r="E413" s="88">
        <v>2521389906</v>
      </c>
      <c r="F413" s="1" t="s">
        <v>5</v>
      </c>
      <c r="G413" s="108">
        <v>37899</v>
      </c>
      <c r="H413" s="67" t="str">
        <f t="shared" si="12"/>
        <v>Oct</v>
      </c>
      <c r="I413" s="9">
        <f t="shared" ca="1" si="13"/>
        <v>13</v>
      </c>
      <c r="J413" s="8" t="s">
        <v>32</v>
      </c>
      <c r="K413" s="7">
        <v>86180</v>
      </c>
      <c r="L413" s="6">
        <v>2</v>
      </c>
      <c r="M413" s="106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5">
      <c r="A414" s="1" t="s">
        <v>747</v>
      </c>
      <c r="B414" s="12" t="s">
        <v>39</v>
      </c>
      <c r="C414" s="1" t="s">
        <v>485</v>
      </c>
      <c r="D414" s="85">
        <v>252582122</v>
      </c>
      <c r="E414" s="88">
        <v>9197764351</v>
      </c>
      <c r="F414" s="1" t="s">
        <v>12</v>
      </c>
      <c r="G414" s="108">
        <v>36452</v>
      </c>
      <c r="H414" s="67" t="str">
        <f t="shared" si="12"/>
        <v>Oct</v>
      </c>
      <c r="I414" s="9">
        <f t="shared" ca="1" si="13"/>
        <v>17</v>
      </c>
      <c r="J414" s="8"/>
      <c r="K414" s="7">
        <v>30140</v>
      </c>
      <c r="L414" s="6">
        <v>2</v>
      </c>
      <c r="M414" s="106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5">
      <c r="A415" s="1" t="s">
        <v>549</v>
      </c>
      <c r="B415" s="12" t="s">
        <v>13</v>
      </c>
      <c r="C415" s="1" t="s">
        <v>485</v>
      </c>
      <c r="D415" s="85">
        <v>974912089</v>
      </c>
      <c r="E415" s="88">
        <v>9192601200</v>
      </c>
      <c r="F415" s="1" t="s">
        <v>5</v>
      </c>
      <c r="G415" s="108">
        <v>35815</v>
      </c>
      <c r="H415" s="67" t="str">
        <f t="shared" si="12"/>
        <v>Jan</v>
      </c>
      <c r="I415" s="9">
        <f t="shared" ca="1" si="13"/>
        <v>18</v>
      </c>
      <c r="J415" s="8" t="s">
        <v>32</v>
      </c>
      <c r="K415" s="7">
        <v>75830</v>
      </c>
      <c r="L415" s="6">
        <v>1</v>
      </c>
      <c r="M415" s="106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5">
      <c r="A416" s="1" t="s">
        <v>629</v>
      </c>
      <c r="B416" s="12" t="s">
        <v>39</v>
      </c>
      <c r="C416" s="1" t="s">
        <v>485</v>
      </c>
      <c r="D416" s="85">
        <v>425943144</v>
      </c>
      <c r="E416" s="88">
        <v>2522911046</v>
      </c>
      <c r="F416" s="1" t="s">
        <v>12</v>
      </c>
      <c r="G416" s="108">
        <v>35409</v>
      </c>
      <c r="H416" s="67" t="str">
        <f t="shared" si="12"/>
        <v>Dec</v>
      </c>
      <c r="I416" s="9">
        <f t="shared" ca="1" si="13"/>
        <v>19</v>
      </c>
      <c r="J416" s="8"/>
      <c r="K416" s="7">
        <v>86040</v>
      </c>
      <c r="L416" s="6">
        <v>2</v>
      </c>
      <c r="M416" s="106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 s="1" t="s">
        <v>486</v>
      </c>
      <c r="B417" s="12" t="s">
        <v>17</v>
      </c>
      <c r="C417" s="1" t="s">
        <v>485</v>
      </c>
      <c r="D417" s="85">
        <v>121688720</v>
      </c>
      <c r="E417" s="88">
        <v>9194794769</v>
      </c>
      <c r="F417" s="1" t="s">
        <v>12</v>
      </c>
      <c r="G417" s="108">
        <v>36568</v>
      </c>
      <c r="H417" s="67" t="str">
        <f t="shared" si="12"/>
        <v>Feb</v>
      </c>
      <c r="I417" s="9">
        <f t="shared" ca="1" si="13"/>
        <v>16</v>
      </c>
      <c r="J417" s="8"/>
      <c r="K417" s="7">
        <v>53780</v>
      </c>
      <c r="L417" s="6">
        <v>4</v>
      </c>
      <c r="M417" s="106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 s="1" t="s">
        <v>260</v>
      </c>
      <c r="B418" s="12" t="s">
        <v>17</v>
      </c>
      <c r="C418" s="1" t="s">
        <v>28</v>
      </c>
      <c r="D418" s="85">
        <v>290385638</v>
      </c>
      <c r="E418" s="88">
        <v>9194518022</v>
      </c>
      <c r="F418" s="1" t="s">
        <v>15</v>
      </c>
      <c r="G418" s="108">
        <v>34503</v>
      </c>
      <c r="H418" s="67" t="str">
        <f t="shared" si="12"/>
        <v>Jun</v>
      </c>
      <c r="I418" s="9">
        <f t="shared" ca="1" si="13"/>
        <v>22</v>
      </c>
      <c r="J418" s="8" t="s">
        <v>34</v>
      </c>
      <c r="K418" s="7">
        <v>42050</v>
      </c>
      <c r="L418" s="6">
        <v>4</v>
      </c>
      <c r="M418" s="106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5">
      <c r="A419" s="1" t="s">
        <v>272</v>
      </c>
      <c r="B419" s="12" t="s">
        <v>2</v>
      </c>
      <c r="C419" s="1" t="s">
        <v>28</v>
      </c>
      <c r="D419" s="85">
        <v>851400058</v>
      </c>
      <c r="E419" s="88">
        <v>9196012031</v>
      </c>
      <c r="F419" s="1" t="s">
        <v>15</v>
      </c>
      <c r="G419" s="108">
        <v>41394</v>
      </c>
      <c r="H419" s="67" t="str">
        <f t="shared" si="12"/>
        <v>Apr</v>
      </c>
      <c r="I419" s="9">
        <f t="shared" ca="1" si="13"/>
        <v>3</v>
      </c>
      <c r="J419" s="8" t="s">
        <v>32</v>
      </c>
      <c r="K419" s="7">
        <v>20310</v>
      </c>
      <c r="L419" s="6">
        <v>1</v>
      </c>
      <c r="M419" s="106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5">
      <c r="A420" s="1" t="s">
        <v>757</v>
      </c>
      <c r="B420" s="12" t="s">
        <v>10</v>
      </c>
      <c r="C420" s="1" t="s">
        <v>28</v>
      </c>
      <c r="D420" s="85">
        <v>542214575</v>
      </c>
      <c r="E420" s="88">
        <v>2522172913</v>
      </c>
      <c r="F420" s="1" t="s">
        <v>5</v>
      </c>
      <c r="G420" s="108">
        <v>35703</v>
      </c>
      <c r="H420" s="67" t="str">
        <f t="shared" si="12"/>
        <v>Sep</v>
      </c>
      <c r="I420" s="9">
        <f t="shared" ca="1" si="13"/>
        <v>19</v>
      </c>
      <c r="J420" s="8" t="s">
        <v>32</v>
      </c>
      <c r="K420" s="7">
        <v>104440</v>
      </c>
      <c r="L420" s="6">
        <v>3</v>
      </c>
      <c r="M420" s="106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25">
      <c r="A421" s="1" t="s">
        <v>592</v>
      </c>
      <c r="B421" s="12" t="s">
        <v>17</v>
      </c>
      <c r="C421" s="1" t="s">
        <v>28</v>
      </c>
      <c r="D421" s="85">
        <v>272714784</v>
      </c>
      <c r="E421" s="88">
        <v>9191162663</v>
      </c>
      <c r="F421" s="1" t="s">
        <v>0</v>
      </c>
      <c r="G421" s="108">
        <v>38712</v>
      </c>
      <c r="H421" s="67" t="str">
        <f t="shared" si="12"/>
        <v>Dec</v>
      </c>
      <c r="I421" s="9">
        <f t="shared" ca="1" si="13"/>
        <v>10</v>
      </c>
      <c r="J421" s="8"/>
      <c r="K421" s="7">
        <v>25980</v>
      </c>
      <c r="L421" s="6">
        <v>2</v>
      </c>
      <c r="M421" s="106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5">
      <c r="A422" s="1" t="s">
        <v>282</v>
      </c>
      <c r="B422" s="12" t="s">
        <v>39</v>
      </c>
      <c r="C422" s="1" t="s">
        <v>28</v>
      </c>
      <c r="D422" s="85">
        <v>972791650</v>
      </c>
      <c r="E422" s="88">
        <v>2525236892</v>
      </c>
      <c r="F422" s="1" t="s">
        <v>15</v>
      </c>
      <c r="G422" s="108">
        <v>38471</v>
      </c>
      <c r="H422" s="67" t="str">
        <f t="shared" si="12"/>
        <v>Apr</v>
      </c>
      <c r="I422" s="9">
        <f t="shared" ca="1" si="13"/>
        <v>11</v>
      </c>
      <c r="J422" s="8" t="s">
        <v>32</v>
      </c>
      <c r="K422" s="7">
        <v>40570</v>
      </c>
      <c r="L422" s="6">
        <v>5</v>
      </c>
      <c r="M422" s="106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5">
      <c r="A423" s="1" t="s">
        <v>324</v>
      </c>
      <c r="B423" s="12" t="s">
        <v>56</v>
      </c>
      <c r="C423" s="1" t="s">
        <v>28</v>
      </c>
      <c r="D423" s="85">
        <v>551132018</v>
      </c>
      <c r="E423" s="88">
        <v>2525796953</v>
      </c>
      <c r="F423" s="1" t="s">
        <v>5</v>
      </c>
      <c r="G423" s="108">
        <v>41371</v>
      </c>
      <c r="H423" s="67" t="str">
        <f t="shared" si="12"/>
        <v>Apr</v>
      </c>
      <c r="I423" s="9">
        <f t="shared" ca="1" si="13"/>
        <v>3</v>
      </c>
      <c r="J423" s="8" t="s">
        <v>32</v>
      </c>
      <c r="K423" s="7">
        <v>80210</v>
      </c>
      <c r="L423" s="6">
        <v>4</v>
      </c>
      <c r="M423" s="106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25">
      <c r="A424" s="1" t="s">
        <v>279</v>
      </c>
      <c r="B424" s="12" t="s">
        <v>17</v>
      </c>
      <c r="C424" s="1" t="s">
        <v>28</v>
      </c>
      <c r="D424" s="85">
        <v>972086665</v>
      </c>
      <c r="E424" s="88">
        <v>2526007063</v>
      </c>
      <c r="F424" s="1" t="s">
        <v>5</v>
      </c>
      <c r="G424" s="108">
        <v>39228</v>
      </c>
      <c r="H424" s="67" t="str">
        <f t="shared" si="12"/>
        <v>May</v>
      </c>
      <c r="I424" s="9">
        <f t="shared" ca="1" si="13"/>
        <v>9</v>
      </c>
      <c r="J424" s="8" t="s">
        <v>4</v>
      </c>
      <c r="K424" s="7">
        <v>103440</v>
      </c>
      <c r="L424" s="6">
        <v>3</v>
      </c>
      <c r="M424" s="106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25">
      <c r="A425" s="1" t="s">
        <v>422</v>
      </c>
      <c r="B425" s="12" t="s">
        <v>17</v>
      </c>
      <c r="C425" s="1" t="s">
        <v>28</v>
      </c>
      <c r="D425" s="85">
        <v>948252103</v>
      </c>
      <c r="E425" s="88">
        <v>9197430732</v>
      </c>
      <c r="F425" s="1" t="s">
        <v>0</v>
      </c>
      <c r="G425" s="108">
        <v>37330</v>
      </c>
      <c r="H425" s="67" t="str">
        <f t="shared" si="12"/>
        <v>Mar</v>
      </c>
      <c r="I425" s="9">
        <f t="shared" ca="1" si="13"/>
        <v>14</v>
      </c>
      <c r="J425" s="8"/>
      <c r="K425" s="7">
        <v>47720</v>
      </c>
      <c r="L425" s="6">
        <v>1</v>
      </c>
      <c r="M425" s="106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5">
      <c r="A426" s="1" t="s">
        <v>187</v>
      </c>
      <c r="B426" s="12" t="s">
        <v>39</v>
      </c>
      <c r="C426" s="1" t="s">
        <v>28</v>
      </c>
      <c r="D426" s="85">
        <v>869524136</v>
      </c>
      <c r="E426" s="88">
        <v>9193640748</v>
      </c>
      <c r="F426" s="1" t="s">
        <v>5</v>
      </c>
      <c r="G426" s="108">
        <v>36340</v>
      </c>
      <c r="H426" s="67" t="str">
        <f t="shared" si="12"/>
        <v>Jun</v>
      </c>
      <c r="I426" s="9">
        <f t="shared" ca="1" si="13"/>
        <v>17</v>
      </c>
      <c r="J426" s="8" t="s">
        <v>4</v>
      </c>
      <c r="K426" s="7">
        <v>52090</v>
      </c>
      <c r="L426" s="6">
        <v>1</v>
      </c>
      <c r="M426" s="106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5">
      <c r="A427" s="1" t="s">
        <v>480</v>
      </c>
      <c r="B427" s="12" t="s">
        <v>10</v>
      </c>
      <c r="C427" s="1" t="s">
        <v>28</v>
      </c>
      <c r="D427" s="85">
        <v>213741822</v>
      </c>
      <c r="E427" s="88">
        <v>2521780498</v>
      </c>
      <c r="F427" s="1" t="s">
        <v>12</v>
      </c>
      <c r="G427" s="108">
        <v>36922</v>
      </c>
      <c r="H427" s="67" t="str">
        <f t="shared" si="12"/>
        <v>Jan</v>
      </c>
      <c r="I427" s="9">
        <f t="shared" ca="1" si="13"/>
        <v>15</v>
      </c>
      <c r="J427" s="8"/>
      <c r="K427" s="7">
        <v>76000</v>
      </c>
      <c r="L427" s="6">
        <v>4</v>
      </c>
      <c r="M427" s="106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25">
      <c r="A428" s="1" t="s">
        <v>767</v>
      </c>
      <c r="B428" s="12" t="s">
        <v>39</v>
      </c>
      <c r="C428" s="1" t="s">
        <v>28</v>
      </c>
      <c r="D428" s="85">
        <v>724193735</v>
      </c>
      <c r="E428" s="88">
        <v>2528627048</v>
      </c>
      <c r="F428" s="1" t="s">
        <v>5</v>
      </c>
      <c r="G428" s="108">
        <v>34621</v>
      </c>
      <c r="H428" s="67" t="str">
        <f t="shared" si="12"/>
        <v>Oct</v>
      </c>
      <c r="I428" s="9">
        <f t="shared" ca="1" si="13"/>
        <v>22</v>
      </c>
      <c r="J428" s="8" t="s">
        <v>4</v>
      </c>
      <c r="K428" s="7">
        <v>51830</v>
      </c>
      <c r="L428" s="6">
        <v>2</v>
      </c>
      <c r="M428" s="106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5">
      <c r="A429" s="1" t="s">
        <v>437</v>
      </c>
      <c r="B429" s="12" t="s">
        <v>56</v>
      </c>
      <c r="C429" s="1" t="s">
        <v>28</v>
      </c>
      <c r="D429" s="85">
        <v>761337848</v>
      </c>
      <c r="E429" s="88">
        <v>9193967339</v>
      </c>
      <c r="F429" s="1" t="s">
        <v>12</v>
      </c>
      <c r="G429" s="108">
        <v>35503</v>
      </c>
      <c r="H429" s="67" t="str">
        <f t="shared" si="12"/>
        <v>Mar</v>
      </c>
      <c r="I429" s="9">
        <f t="shared" ca="1" si="13"/>
        <v>19</v>
      </c>
      <c r="J429" s="8"/>
      <c r="K429" s="7">
        <v>80050</v>
      </c>
      <c r="L429" s="6">
        <v>2</v>
      </c>
      <c r="M429" s="106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5">
      <c r="A430" s="1" t="s">
        <v>585</v>
      </c>
      <c r="B430" s="12" t="s">
        <v>13</v>
      </c>
      <c r="C430" s="1" t="s">
        <v>28</v>
      </c>
      <c r="D430" s="85">
        <v>365499498</v>
      </c>
      <c r="E430" s="88">
        <v>2523575849</v>
      </c>
      <c r="F430" s="1" t="s">
        <v>5</v>
      </c>
      <c r="G430" s="108">
        <v>39808</v>
      </c>
      <c r="H430" s="67" t="str">
        <f t="shared" si="12"/>
        <v>Dec</v>
      </c>
      <c r="I430" s="9">
        <f t="shared" ca="1" si="13"/>
        <v>7</v>
      </c>
      <c r="J430" s="8" t="s">
        <v>32</v>
      </c>
      <c r="K430" s="7">
        <v>56470</v>
      </c>
      <c r="L430" s="6">
        <v>4</v>
      </c>
      <c r="M430" s="106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25">
      <c r="A431" s="1" t="s">
        <v>537</v>
      </c>
      <c r="B431" s="12" t="s">
        <v>13</v>
      </c>
      <c r="C431" s="1" t="s">
        <v>28</v>
      </c>
      <c r="D431" s="85">
        <v>248820119</v>
      </c>
      <c r="E431" s="88">
        <v>2521711684</v>
      </c>
      <c r="F431" s="1" t="s">
        <v>5</v>
      </c>
      <c r="G431" s="108">
        <v>36904</v>
      </c>
      <c r="H431" s="67" t="str">
        <f t="shared" si="12"/>
        <v>Jan</v>
      </c>
      <c r="I431" s="9">
        <f t="shared" ca="1" si="13"/>
        <v>15</v>
      </c>
      <c r="J431" s="8" t="s">
        <v>32</v>
      </c>
      <c r="K431" s="7">
        <v>82220</v>
      </c>
      <c r="L431" s="6">
        <v>5</v>
      </c>
      <c r="M431" s="106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25">
      <c r="A432" s="1" t="s">
        <v>569</v>
      </c>
      <c r="B432" s="12" t="s">
        <v>56</v>
      </c>
      <c r="C432" s="1" t="s">
        <v>28</v>
      </c>
      <c r="D432" s="85">
        <v>711445298</v>
      </c>
      <c r="E432" s="88">
        <v>2528359862</v>
      </c>
      <c r="F432" s="1" t="s">
        <v>12</v>
      </c>
      <c r="G432" s="108">
        <v>41621</v>
      </c>
      <c r="H432" s="67" t="str">
        <f t="shared" si="12"/>
        <v>Dec</v>
      </c>
      <c r="I432" s="9">
        <f t="shared" ca="1" si="13"/>
        <v>2</v>
      </c>
      <c r="J432" s="8"/>
      <c r="K432" s="7">
        <v>101160</v>
      </c>
      <c r="L432" s="6">
        <v>1</v>
      </c>
      <c r="M432" s="106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5">
      <c r="A433" s="1" t="s">
        <v>29</v>
      </c>
      <c r="B433" s="12" t="s">
        <v>10</v>
      </c>
      <c r="C433" s="1" t="s">
        <v>28</v>
      </c>
      <c r="D433" s="85">
        <v>291803431</v>
      </c>
      <c r="E433" s="88">
        <v>2525866679</v>
      </c>
      <c r="F433" s="1" t="s">
        <v>12</v>
      </c>
      <c r="G433" s="108">
        <v>40784</v>
      </c>
      <c r="H433" s="67" t="str">
        <f t="shared" si="12"/>
        <v>Aug</v>
      </c>
      <c r="I433" s="9">
        <f t="shared" ca="1" si="13"/>
        <v>5</v>
      </c>
      <c r="J433" s="8"/>
      <c r="K433" s="7">
        <v>64800</v>
      </c>
      <c r="L433" s="6">
        <v>3</v>
      </c>
      <c r="M433" s="106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5">
      <c r="A434" s="1" t="s">
        <v>277</v>
      </c>
      <c r="B434" s="12" t="s">
        <v>56</v>
      </c>
      <c r="C434" s="1" t="s">
        <v>28</v>
      </c>
      <c r="D434" s="85">
        <v>120479503</v>
      </c>
      <c r="E434" s="88">
        <v>9196069116</v>
      </c>
      <c r="F434" s="1" t="s">
        <v>15</v>
      </c>
      <c r="G434" s="108">
        <v>40300</v>
      </c>
      <c r="H434" s="67" t="str">
        <f t="shared" si="12"/>
        <v>May</v>
      </c>
      <c r="I434" s="9">
        <f t="shared" ca="1" si="13"/>
        <v>6</v>
      </c>
      <c r="J434" s="8" t="s">
        <v>8</v>
      </c>
      <c r="K434" s="7">
        <v>57310</v>
      </c>
      <c r="L434" s="6">
        <v>3</v>
      </c>
      <c r="M434" s="106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5">
      <c r="A435" s="1" t="s">
        <v>688</v>
      </c>
      <c r="B435" s="12" t="s">
        <v>13</v>
      </c>
      <c r="C435" s="1" t="s">
        <v>28</v>
      </c>
      <c r="D435" s="85">
        <v>555718765</v>
      </c>
      <c r="E435" s="88">
        <v>2524618773</v>
      </c>
      <c r="F435" s="1" t="s">
        <v>5</v>
      </c>
      <c r="G435" s="108">
        <v>35738</v>
      </c>
      <c r="H435" s="67" t="str">
        <f t="shared" si="12"/>
        <v>Nov</v>
      </c>
      <c r="I435" s="9">
        <f t="shared" ca="1" si="13"/>
        <v>18</v>
      </c>
      <c r="J435" s="8" t="s">
        <v>32</v>
      </c>
      <c r="K435" s="7">
        <v>106620</v>
      </c>
      <c r="L435" s="6">
        <v>3</v>
      </c>
      <c r="M435" s="106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5">
      <c r="A436" s="1" t="s">
        <v>330</v>
      </c>
      <c r="B436" s="12" t="s">
        <v>13</v>
      </c>
      <c r="C436" s="1" t="s">
        <v>28</v>
      </c>
      <c r="D436" s="85">
        <v>619465100</v>
      </c>
      <c r="E436" s="88">
        <v>9194629606</v>
      </c>
      <c r="F436" s="1" t="s">
        <v>5</v>
      </c>
      <c r="G436" s="108">
        <v>39917</v>
      </c>
      <c r="H436" s="67" t="str">
        <f t="shared" si="12"/>
        <v>Apr</v>
      </c>
      <c r="I436" s="9">
        <f t="shared" ca="1" si="13"/>
        <v>7</v>
      </c>
      <c r="J436" s="8" t="s">
        <v>34</v>
      </c>
      <c r="K436" s="7">
        <v>33070</v>
      </c>
      <c r="L436" s="6">
        <v>2</v>
      </c>
      <c r="M436" s="106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5">
      <c r="A437" s="1" t="s">
        <v>144</v>
      </c>
      <c r="B437" s="12" t="s">
        <v>17</v>
      </c>
      <c r="C437" s="1" t="s">
        <v>28</v>
      </c>
      <c r="D437" s="85">
        <v>816607187</v>
      </c>
      <c r="E437" s="88">
        <v>9195520461</v>
      </c>
      <c r="F437" s="1" t="s">
        <v>0</v>
      </c>
      <c r="G437" s="108">
        <v>41453</v>
      </c>
      <c r="H437" s="67" t="str">
        <f t="shared" si="12"/>
        <v>Jun</v>
      </c>
      <c r="I437" s="9">
        <f t="shared" ca="1" si="13"/>
        <v>3</v>
      </c>
      <c r="J437" s="8"/>
      <c r="K437" s="7">
        <v>11020</v>
      </c>
      <c r="L437" s="6">
        <v>3</v>
      </c>
      <c r="M437" s="106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5">
      <c r="A438" s="1" t="s">
        <v>317</v>
      </c>
      <c r="B438" s="12" t="s">
        <v>13</v>
      </c>
      <c r="C438" s="1" t="s">
        <v>28</v>
      </c>
      <c r="D438" s="85">
        <v>959568761</v>
      </c>
      <c r="E438" s="88">
        <v>9194744493</v>
      </c>
      <c r="F438" s="1" t="s">
        <v>5</v>
      </c>
      <c r="G438" s="108">
        <v>34458</v>
      </c>
      <c r="H438" s="67" t="str">
        <f t="shared" si="12"/>
        <v>May</v>
      </c>
      <c r="I438" s="9">
        <f t="shared" ca="1" si="13"/>
        <v>22</v>
      </c>
      <c r="J438" s="8" t="s">
        <v>19</v>
      </c>
      <c r="K438" s="7">
        <v>73760</v>
      </c>
      <c r="L438" s="6">
        <v>5</v>
      </c>
      <c r="M438" s="106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5">
      <c r="A439" s="1" t="s">
        <v>90</v>
      </c>
      <c r="B439" s="12" t="s">
        <v>13</v>
      </c>
      <c r="C439" s="1" t="s">
        <v>28</v>
      </c>
      <c r="D439" s="85">
        <v>145240921</v>
      </c>
      <c r="E439" s="88">
        <v>2525227751</v>
      </c>
      <c r="F439" s="1" t="s">
        <v>5</v>
      </c>
      <c r="G439" s="108">
        <v>40405</v>
      </c>
      <c r="H439" s="67" t="str">
        <f t="shared" si="12"/>
        <v>Aug</v>
      </c>
      <c r="I439" s="9">
        <f t="shared" ca="1" si="13"/>
        <v>6</v>
      </c>
      <c r="J439" s="8" t="s">
        <v>19</v>
      </c>
      <c r="K439" s="7">
        <v>61190</v>
      </c>
      <c r="L439" s="6">
        <v>4</v>
      </c>
      <c r="M439" s="106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5">
      <c r="A440" s="1" t="s">
        <v>62</v>
      </c>
      <c r="B440" s="12" t="s">
        <v>17</v>
      </c>
      <c r="C440" s="1" t="s">
        <v>28</v>
      </c>
      <c r="D440" s="85">
        <v>803776506</v>
      </c>
      <c r="E440" s="88">
        <v>2526920236</v>
      </c>
      <c r="F440" s="1" t="s">
        <v>5</v>
      </c>
      <c r="G440" s="108">
        <v>36413</v>
      </c>
      <c r="H440" s="67" t="str">
        <f t="shared" si="12"/>
        <v>Sep</v>
      </c>
      <c r="I440" s="9">
        <f t="shared" ca="1" si="13"/>
        <v>17</v>
      </c>
      <c r="J440" s="8" t="s">
        <v>34</v>
      </c>
      <c r="K440" s="7">
        <v>93540</v>
      </c>
      <c r="L440" s="6">
        <v>4</v>
      </c>
      <c r="M440" s="106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5">
      <c r="A441" s="1" t="s">
        <v>687</v>
      </c>
      <c r="B441" s="12" t="s">
        <v>2</v>
      </c>
      <c r="C441" s="1" t="s">
        <v>28</v>
      </c>
      <c r="D441" s="85">
        <v>297806507</v>
      </c>
      <c r="E441" s="88">
        <v>9197312659</v>
      </c>
      <c r="F441" s="1" t="s">
        <v>5</v>
      </c>
      <c r="G441" s="108">
        <v>35741</v>
      </c>
      <c r="H441" s="67" t="str">
        <f t="shared" si="12"/>
        <v>Nov</v>
      </c>
      <c r="I441" s="9">
        <f t="shared" ca="1" si="13"/>
        <v>18</v>
      </c>
      <c r="J441" s="8" t="s">
        <v>19</v>
      </c>
      <c r="K441" s="7">
        <v>93410</v>
      </c>
      <c r="L441" s="6">
        <v>2</v>
      </c>
      <c r="M441" s="106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5">
      <c r="A442" s="1" t="s">
        <v>327</v>
      </c>
      <c r="B442" s="12" t="s">
        <v>39</v>
      </c>
      <c r="C442" s="1" t="s">
        <v>28</v>
      </c>
      <c r="D442" s="85">
        <v>847051774</v>
      </c>
      <c r="E442" s="88">
        <v>2522881600</v>
      </c>
      <c r="F442" s="1" t="s">
        <v>5</v>
      </c>
      <c r="G442" s="108">
        <v>40658</v>
      </c>
      <c r="H442" s="67" t="str">
        <f t="shared" si="12"/>
        <v>Apr</v>
      </c>
      <c r="I442" s="9">
        <f t="shared" ca="1" si="13"/>
        <v>5</v>
      </c>
      <c r="J442" s="8" t="s">
        <v>8</v>
      </c>
      <c r="K442" s="7">
        <v>97060</v>
      </c>
      <c r="L442" s="6">
        <v>1</v>
      </c>
      <c r="M442" s="106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5">
      <c r="A443" s="1" t="s">
        <v>367</v>
      </c>
      <c r="B443" s="12" t="s">
        <v>17</v>
      </c>
      <c r="C443" s="1" t="s">
        <v>28</v>
      </c>
      <c r="D443" s="85">
        <v>931977751</v>
      </c>
      <c r="E443" s="88">
        <v>9194471952</v>
      </c>
      <c r="F443" s="1" t="s">
        <v>5</v>
      </c>
      <c r="G443" s="108">
        <v>35902</v>
      </c>
      <c r="H443" s="67" t="str">
        <f t="shared" si="12"/>
        <v>Apr</v>
      </c>
      <c r="I443" s="9">
        <f t="shared" ca="1" si="13"/>
        <v>18</v>
      </c>
      <c r="J443" s="8" t="s">
        <v>32</v>
      </c>
      <c r="K443" s="7">
        <v>31000</v>
      </c>
      <c r="L443" s="6">
        <v>5</v>
      </c>
      <c r="M443" s="106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5">
      <c r="A444" s="1" t="s">
        <v>418</v>
      </c>
      <c r="B444" s="12" t="s">
        <v>13</v>
      </c>
      <c r="C444" s="1" t="s">
        <v>28</v>
      </c>
      <c r="D444" s="85">
        <v>489013842</v>
      </c>
      <c r="E444" s="88">
        <v>2521658481</v>
      </c>
      <c r="F444" s="1" t="s">
        <v>15</v>
      </c>
      <c r="G444" s="108">
        <v>37696</v>
      </c>
      <c r="H444" s="67" t="str">
        <f t="shared" si="12"/>
        <v>Mar</v>
      </c>
      <c r="I444" s="9">
        <f t="shared" ca="1" si="13"/>
        <v>13</v>
      </c>
      <c r="J444" s="8" t="s">
        <v>4</v>
      </c>
      <c r="K444" s="7">
        <v>34810</v>
      </c>
      <c r="L444" s="6">
        <v>1</v>
      </c>
      <c r="M444" s="106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5">
      <c r="A445" s="1" t="s">
        <v>275</v>
      </c>
      <c r="B445" s="12" t="s">
        <v>2</v>
      </c>
      <c r="C445" s="1" t="s">
        <v>28</v>
      </c>
      <c r="D445" s="85">
        <v>443238477</v>
      </c>
      <c r="E445" s="88">
        <v>9198624601</v>
      </c>
      <c r="F445" s="1" t="s">
        <v>5</v>
      </c>
      <c r="G445" s="108">
        <v>40679</v>
      </c>
      <c r="H445" s="67" t="str">
        <f t="shared" si="12"/>
        <v>May</v>
      </c>
      <c r="I445" s="9">
        <f t="shared" ca="1" si="13"/>
        <v>5</v>
      </c>
      <c r="J445" s="8" t="s">
        <v>4</v>
      </c>
      <c r="K445" s="7">
        <v>96110</v>
      </c>
      <c r="L445" s="6">
        <v>2</v>
      </c>
      <c r="M445" s="106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5">
      <c r="A446" s="1" t="s">
        <v>196</v>
      </c>
      <c r="B446" s="12" t="s">
        <v>13</v>
      </c>
      <c r="C446" s="1" t="s">
        <v>28</v>
      </c>
      <c r="D446" s="85">
        <v>868128171</v>
      </c>
      <c r="E446" s="88">
        <v>2525048978</v>
      </c>
      <c r="F446" s="1" t="s">
        <v>5</v>
      </c>
      <c r="G446" s="108">
        <v>34879</v>
      </c>
      <c r="H446" s="67" t="str">
        <f t="shared" si="12"/>
        <v>Jun</v>
      </c>
      <c r="I446" s="9">
        <f t="shared" ca="1" si="13"/>
        <v>21</v>
      </c>
      <c r="J446" s="8" t="s">
        <v>8</v>
      </c>
      <c r="K446" s="7">
        <v>90440</v>
      </c>
      <c r="L446" s="6">
        <v>2</v>
      </c>
      <c r="M446" s="106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5">
      <c r="A447" s="1" t="s">
        <v>190</v>
      </c>
      <c r="B447" s="12" t="s">
        <v>56</v>
      </c>
      <c r="C447" s="1" t="s">
        <v>28</v>
      </c>
      <c r="D447" s="85">
        <v>302854692</v>
      </c>
      <c r="E447" s="88">
        <v>2528651774</v>
      </c>
      <c r="F447" s="1" t="s">
        <v>15</v>
      </c>
      <c r="G447" s="108">
        <v>35618</v>
      </c>
      <c r="H447" s="67" t="str">
        <f t="shared" si="12"/>
        <v>Jul</v>
      </c>
      <c r="I447" s="9">
        <f t="shared" ca="1" si="13"/>
        <v>19</v>
      </c>
      <c r="J447" s="8" t="s">
        <v>32</v>
      </c>
      <c r="K447" s="7">
        <v>16120</v>
      </c>
      <c r="L447" s="6">
        <v>1</v>
      </c>
      <c r="M447" s="106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5">
      <c r="A448" s="1" t="s">
        <v>529</v>
      </c>
      <c r="B448" s="12" t="s">
        <v>17</v>
      </c>
      <c r="C448" s="1" t="s">
        <v>28</v>
      </c>
      <c r="D448" s="85">
        <v>960967007</v>
      </c>
      <c r="E448" s="88">
        <v>9194694995</v>
      </c>
      <c r="F448" s="1" t="s">
        <v>12</v>
      </c>
      <c r="G448" s="108">
        <v>37624</v>
      </c>
      <c r="H448" s="67" t="str">
        <f t="shared" si="12"/>
        <v>Jan</v>
      </c>
      <c r="I448" s="9">
        <f t="shared" ca="1" si="13"/>
        <v>13</v>
      </c>
      <c r="J448" s="8"/>
      <c r="K448" s="7">
        <v>36360</v>
      </c>
      <c r="L448" s="6">
        <v>1</v>
      </c>
      <c r="M448" s="106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5">
      <c r="A449" s="1" t="s">
        <v>195</v>
      </c>
      <c r="B449" s="12" t="s">
        <v>17</v>
      </c>
      <c r="C449" s="1" t="s">
        <v>28</v>
      </c>
      <c r="D449" s="85">
        <v>150132247</v>
      </c>
      <c r="E449" s="88">
        <v>9198561612</v>
      </c>
      <c r="F449" s="1" t="s">
        <v>5</v>
      </c>
      <c r="G449" s="108">
        <v>34882</v>
      </c>
      <c r="H449" s="67" t="str">
        <f t="shared" si="12"/>
        <v>Jul</v>
      </c>
      <c r="I449" s="9">
        <f t="shared" ca="1" si="13"/>
        <v>21</v>
      </c>
      <c r="J449" s="8" t="s">
        <v>8</v>
      </c>
      <c r="K449" s="7">
        <v>56290</v>
      </c>
      <c r="L449" s="6">
        <v>3</v>
      </c>
      <c r="M449" s="106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5">
      <c r="A450" s="1" t="s">
        <v>698</v>
      </c>
      <c r="B450" s="12" t="s">
        <v>39</v>
      </c>
      <c r="C450" s="1" t="s">
        <v>28</v>
      </c>
      <c r="D450" s="85">
        <v>294130565</v>
      </c>
      <c r="E450" s="88">
        <v>9193744359</v>
      </c>
      <c r="F450" s="1" t="s">
        <v>5</v>
      </c>
      <c r="G450" s="108">
        <v>34637</v>
      </c>
      <c r="H450" s="67" t="str">
        <f t="shared" ref="H450:H513" si="14">CHOOSE(MONTH(G450),"Jan","Feb","Mar","Apr","May","Jun","Jul","Aug","Sep","Oct","Nov","Dec")</f>
        <v>Oct</v>
      </c>
      <c r="I450" s="9">
        <f t="shared" ref="I450:I513" ca="1" si="15">DATEDIF(G450,TODAY(),"Y")</f>
        <v>22</v>
      </c>
      <c r="J450" s="8" t="s">
        <v>32</v>
      </c>
      <c r="K450" s="7">
        <v>31630</v>
      </c>
      <c r="L450" s="6">
        <v>1</v>
      </c>
      <c r="M450" s="106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5">
      <c r="A451" s="1" t="s">
        <v>404</v>
      </c>
      <c r="B451" s="12" t="s">
        <v>13</v>
      </c>
      <c r="C451" s="1" t="s">
        <v>28</v>
      </c>
      <c r="D451" s="85">
        <v>842774592</v>
      </c>
      <c r="E451" s="88">
        <v>2527345539</v>
      </c>
      <c r="F451" s="1" t="s">
        <v>0</v>
      </c>
      <c r="G451" s="108">
        <v>39145</v>
      </c>
      <c r="H451" s="67" t="str">
        <f t="shared" si="14"/>
        <v>Mar</v>
      </c>
      <c r="I451" s="9">
        <f t="shared" ca="1" si="15"/>
        <v>9</v>
      </c>
      <c r="J451" s="8"/>
      <c r="K451" s="7">
        <v>40210</v>
      </c>
      <c r="L451" s="6">
        <v>4</v>
      </c>
      <c r="M451" s="106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5">
      <c r="A452" s="1" t="s">
        <v>426</v>
      </c>
      <c r="B452" s="12" t="s">
        <v>17</v>
      </c>
      <c r="C452" s="1" t="s">
        <v>28</v>
      </c>
      <c r="D452" s="85">
        <v>839899522</v>
      </c>
      <c r="E452" s="88">
        <v>9195512521</v>
      </c>
      <c r="F452" s="1" t="s">
        <v>5</v>
      </c>
      <c r="G452" s="108">
        <v>36970</v>
      </c>
      <c r="H452" s="67" t="str">
        <f t="shared" si="14"/>
        <v>Mar</v>
      </c>
      <c r="I452" s="9">
        <f t="shared" ca="1" si="15"/>
        <v>15</v>
      </c>
      <c r="J452" s="8" t="s">
        <v>32</v>
      </c>
      <c r="K452" s="7">
        <v>89440</v>
      </c>
      <c r="L452" s="6">
        <v>5</v>
      </c>
      <c r="M452" s="106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5">
      <c r="A453" s="1" t="s">
        <v>625</v>
      </c>
      <c r="B453" s="12" t="s">
        <v>10</v>
      </c>
      <c r="C453" s="1" t="s">
        <v>28</v>
      </c>
      <c r="D453" s="85">
        <v>577239513</v>
      </c>
      <c r="E453" s="88">
        <v>9193199265</v>
      </c>
      <c r="F453" s="1" t="s">
        <v>5</v>
      </c>
      <c r="G453" s="108">
        <v>36134</v>
      </c>
      <c r="H453" s="67" t="str">
        <f t="shared" si="14"/>
        <v>Dec</v>
      </c>
      <c r="I453" s="9">
        <f t="shared" ca="1" si="15"/>
        <v>17</v>
      </c>
      <c r="J453" s="8" t="s">
        <v>4</v>
      </c>
      <c r="K453" s="7">
        <v>75700</v>
      </c>
      <c r="L453" s="6">
        <v>5</v>
      </c>
      <c r="M453" s="106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5">
      <c r="A454" s="1" t="s">
        <v>269</v>
      </c>
      <c r="B454" s="12" t="s">
        <v>39</v>
      </c>
      <c r="C454" s="1" t="s">
        <v>28</v>
      </c>
      <c r="D454" s="85">
        <v>623823805</v>
      </c>
      <c r="E454" s="88">
        <v>9192602559</v>
      </c>
      <c r="F454" s="1" t="s">
        <v>0</v>
      </c>
      <c r="G454" s="108">
        <v>41404</v>
      </c>
      <c r="H454" s="67" t="str">
        <f t="shared" si="14"/>
        <v>May</v>
      </c>
      <c r="I454" s="9">
        <f t="shared" ca="1" si="15"/>
        <v>3</v>
      </c>
      <c r="J454" s="8"/>
      <c r="K454" s="7">
        <v>18070</v>
      </c>
      <c r="L454" s="6">
        <v>5</v>
      </c>
      <c r="M454" s="106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5">
      <c r="A455" s="1" t="s">
        <v>499</v>
      </c>
      <c r="B455" s="12" t="s">
        <v>17</v>
      </c>
      <c r="C455" s="1" t="s">
        <v>28</v>
      </c>
      <c r="D455" s="85">
        <v>934447306</v>
      </c>
      <c r="E455" s="88">
        <v>2525981242</v>
      </c>
      <c r="F455" s="1" t="s">
        <v>5</v>
      </c>
      <c r="G455" s="108">
        <v>35112</v>
      </c>
      <c r="H455" s="67" t="str">
        <f t="shared" si="14"/>
        <v>Feb</v>
      </c>
      <c r="I455" s="9">
        <f t="shared" ca="1" si="15"/>
        <v>20</v>
      </c>
      <c r="J455" s="8" t="s">
        <v>4</v>
      </c>
      <c r="K455" s="7">
        <v>87640</v>
      </c>
      <c r="L455" s="6">
        <v>5</v>
      </c>
      <c r="M455" s="106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5">
      <c r="A456" s="1" t="s">
        <v>696</v>
      </c>
      <c r="B456" s="12" t="s">
        <v>13</v>
      </c>
      <c r="C456" s="1" t="s">
        <v>28</v>
      </c>
      <c r="D456" s="85">
        <v>474117484</v>
      </c>
      <c r="E456" s="88">
        <v>9196132408</v>
      </c>
      <c r="F456" s="1" t="s">
        <v>5</v>
      </c>
      <c r="G456" s="108">
        <v>34643</v>
      </c>
      <c r="H456" s="67" t="str">
        <f t="shared" si="14"/>
        <v>Nov</v>
      </c>
      <c r="I456" s="9">
        <f t="shared" ca="1" si="15"/>
        <v>21</v>
      </c>
      <c r="J456" s="8" t="s">
        <v>32</v>
      </c>
      <c r="K456" s="7">
        <v>95720</v>
      </c>
      <c r="L456" s="6">
        <v>4</v>
      </c>
      <c r="M456" s="106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5">
      <c r="A457" s="1" t="s">
        <v>129</v>
      </c>
      <c r="B457" s="12" t="s">
        <v>13</v>
      </c>
      <c r="C457" s="1" t="s">
        <v>28</v>
      </c>
      <c r="D457" s="85">
        <v>881242432</v>
      </c>
      <c r="E457" s="88">
        <v>9193957018</v>
      </c>
      <c r="F457" s="1" t="s">
        <v>5</v>
      </c>
      <c r="G457" s="108">
        <v>34929</v>
      </c>
      <c r="H457" s="67" t="str">
        <f t="shared" si="14"/>
        <v>Aug</v>
      </c>
      <c r="I457" s="9">
        <f t="shared" ca="1" si="15"/>
        <v>21</v>
      </c>
      <c r="J457" s="8" t="s">
        <v>34</v>
      </c>
      <c r="K457" s="7">
        <v>81610</v>
      </c>
      <c r="L457" s="6">
        <v>1</v>
      </c>
      <c r="M457" s="106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5">
      <c r="A458" s="1" t="s">
        <v>143</v>
      </c>
      <c r="B458" s="12" t="s">
        <v>56</v>
      </c>
      <c r="C458" s="1" t="s">
        <v>28</v>
      </c>
      <c r="D458" s="85">
        <v>719165738</v>
      </c>
      <c r="E458" s="88">
        <v>9195750692</v>
      </c>
      <c r="F458" s="1" t="s">
        <v>12</v>
      </c>
      <c r="G458" s="108">
        <v>41469</v>
      </c>
      <c r="H458" s="67" t="str">
        <f t="shared" si="14"/>
        <v>Jul</v>
      </c>
      <c r="I458" s="9">
        <f t="shared" ca="1" si="15"/>
        <v>3</v>
      </c>
      <c r="J458" s="8"/>
      <c r="K458" s="7">
        <v>47330</v>
      </c>
      <c r="L458" s="6">
        <v>4</v>
      </c>
      <c r="M458" s="106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5">
      <c r="A459" s="1" t="s">
        <v>383</v>
      </c>
      <c r="B459" s="12" t="s">
        <v>13</v>
      </c>
      <c r="C459" s="1" t="s">
        <v>28</v>
      </c>
      <c r="D459" s="85">
        <v>210173249</v>
      </c>
      <c r="E459" s="88">
        <v>2525780571</v>
      </c>
      <c r="F459" s="1" t="s">
        <v>12</v>
      </c>
      <c r="G459" s="108">
        <v>34812</v>
      </c>
      <c r="H459" s="67" t="str">
        <f t="shared" si="14"/>
        <v>Apr</v>
      </c>
      <c r="I459" s="9">
        <f t="shared" ca="1" si="15"/>
        <v>21</v>
      </c>
      <c r="J459" s="8"/>
      <c r="K459" s="7">
        <v>39180</v>
      </c>
      <c r="L459" s="6">
        <v>1</v>
      </c>
      <c r="M459" s="106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5">
      <c r="A460" s="1" t="s">
        <v>77</v>
      </c>
      <c r="B460" s="12" t="s">
        <v>17</v>
      </c>
      <c r="C460" s="1" t="s">
        <v>28</v>
      </c>
      <c r="D460" s="85">
        <v>617795992</v>
      </c>
      <c r="E460" s="88">
        <v>2526345909</v>
      </c>
      <c r="F460" s="1" t="s">
        <v>5</v>
      </c>
      <c r="G460" s="108">
        <v>34579</v>
      </c>
      <c r="H460" s="67" t="str">
        <f t="shared" si="14"/>
        <v>Sep</v>
      </c>
      <c r="I460" s="9">
        <f t="shared" ca="1" si="15"/>
        <v>22</v>
      </c>
      <c r="J460" s="8" t="s">
        <v>32</v>
      </c>
      <c r="K460" s="7">
        <v>52300</v>
      </c>
      <c r="L460" s="6">
        <v>5</v>
      </c>
      <c r="M460" s="106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5">
      <c r="A461" s="1" t="s">
        <v>118</v>
      </c>
      <c r="B461" s="12" t="s">
        <v>13</v>
      </c>
      <c r="C461" s="1" t="s">
        <v>28</v>
      </c>
      <c r="D461" s="85">
        <v>824046378</v>
      </c>
      <c r="E461" s="88">
        <v>9196335284</v>
      </c>
      <c r="F461" s="1" t="s">
        <v>5</v>
      </c>
      <c r="G461" s="108">
        <v>36380</v>
      </c>
      <c r="H461" s="67" t="str">
        <f t="shared" si="14"/>
        <v>Aug</v>
      </c>
      <c r="I461" s="9">
        <f t="shared" ca="1" si="15"/>
        <v>17</v>
      </c>
      <c r="J461" s="8" t="s">
        <v>8</v>
      </c>
      <c r="K461" s="7">
        <v>80680</v>
      </c>
      <c r="L461" s="6">
        <v>4</v>
      </c>
      <c r="M461" s="106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5">
      <c r="A462" s="1" t="s">
        <v>201</v>
      </c>
      <c r="B462" s="12" t="s">
        <v>2</v>
      </c>
      <c r="C462" s="1" t="s">
        <v>74</v>
      </c>
      <c r="D462" s="85">
        <v>834061135</v>
      </c>
      <c r="E462" s="88">
        <v>9198472270</v>
      </c>
      <c r="F462" s="1" t="s">
        <v>5</v>
      </c>
      <c r="G462" s="108">
        <v>34514</v>
      </c>
      <c r="H462" s="67" t="str">
        <f t="shared" si="14"/>
        <v>Jun</v>
      </c>
      <c r="I462" s="9">
        <f t="shared" ca="1" si="15"/>
        <v>22</v>
      </c>
      <c r="J462" s="8" t="s">
        <v>19</v>
      </c>
      <c r="K462" s="7">
        <v>53470</v>
      </c>
      <c r="L462" s="6">
        <v>2</v>
      </c>
      <c r="M462" s="106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5">
      <c r="A463" s="1" t="s">
        <v>788</v>
      </c>
      <c r="B463" s="12" t="s">
        <v>13</v>
      </c>
      <c r="C463" s="1" t="s">
        <v>74</v>
      </c>
      <c r="D463" s="85">
        <v>198564686</v>
      </c>
      <c r="E463" s="89">
        <v>2523355100</v>
      </c>
      <c r="F463" s="1" t="s">
        <v>5</v>
      </c>
      <c r="G463" s="108">
        <v>34247</v>
      </c>
      <c r="H463" s="67" t="str">
        <f t="shared" si="14"/>
        <v>Oct</v>
      </c>
      <c r="I463" s="9">
        <f t="shared" ca="1" si="15"/>
        <v>23</v>
      </c>
      <c r="J463" s="8" t="s">
        <v>32</v>
      </c>
      <c r="K463" s="7">
        <v>86080</v>
      </c>
      <c r="L463" s="6">
        <v>1</v>
      </c>
      <c r="M463" s="106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5">
      <c r="A464" s="1" t="s">
        <v>388</v>
      </c>
      <c r="B464" s="12" t="s">
        <v>17</v>
      </c>
      <c r="C464" s="1" t="s">
        <v>74</v>
      </c>
      <c r="D464" s="85">
        <v>763518183</v>
      </c>
      <c r="E464" s="88">
        <v>2522581491</v>
      </c>
      <c r="F464" s="1" t="s">
        <v>5</v>
      </c>
      <c r="G464" s="108">
        <v>34441</v>
      </c>
      <c r="H464" s="67" t="str">
        <f t="shared" si="14"/>
        <v>Apr</v>
      </c>
      <c r="I464" s="9">
        <f t="shared" ca="1" si="15"/>
        <v>22</v>
      </c>
      <c r="J464" s="8" t="s">
        <v>32</v>
      </c>
      <c r="K464" s="7">
        <v>83280</v>
      </c>
      <c r="L464" s="6">
        <v>5</v>
      </c>
      <c r="M464" s="106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5">
      <c r="A465" s="1" t="s">
        <v>204</v>
      </c>
      <c r="B465" s="12" t="s">
        <v>13</v>
      </c>
      <c r="C465" s="1" t="s">
        <v>74</v>
      </c>
      <c r="D465" s="85">
        <v>285295419</v>
      </c>
      <c r="E465" s="88">
        <v>9197904981</v>
      </c>
      <c r="F465" s="1" t="s">
        <v>0</v>
      </c>
      <c r="G465" s="108">
        <v>34159</v>
      </c>
      <c r="H465" s="67" t="str">
        <f t="shared" si="14"/>
        <v>Jul</v>
      </c>
      <c r="I465" s="9">
        <f t="shared" ca="1" si="15"/>
        <v>23</v>
      </c>
      <c r="J465" s="8"/>
      <c r="K465" s="7">
        <v>39880</v>
      </c>
      <c r="L465" s="6">
        <v>4</v>
      </c>
      <c r="M465" s="106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5">
      <c r="A466" s="1" t="s">
        <v>320</v>
      </c>
      <c r="B466" s="12" t="s">
        <v>13</v>
      </c>
      <c r="C466" s="1" t="s">
        <v>74</v>
      </c>
      <c r="D466" s="85">
        <v>852430023</v>
      </c>
      <c r="E466" s="88">
        <v>9195506190</v>
      </c>
      <c r="F466" s="1" t="s">
        <v>15</v>
      </c>
      <c r="G466" s="108">
        <v>34113</v>
      </c>
      <c r="H466" s="67" t="str">
        <f t="shared" si="14"/>
        <v>May</v>
      </c>
      <c r="I466" s="9">
        <f t="shared" ca="1" si="15"/>
        <v>23</v>
      </c>
      <c r="J466" s="8" t="s">
        <v>19</v>
      </c>
      <c r="K466" s="7">
        <v>29780</v>
      </c>
      <c r="L466" s="6">
        <v>1</v>
      </c>
      <c r="M466" s="106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5">
      <c r="A467" s="1" t="s">
        <v>137</v>
      </c>
      <c r="B467" s="12" t="s">
        <v>13</v>
      </c>
      <c r="C467" s="1" t="s">
        <v>74</v>
      </c>
      <c r="D467" s="85">
        <v>174483231</v>
      </c>
      <c r="E467" s="88">
        <v>9196733291</v>
      </c>
      <c r="F467" s="1" t="s">
        <v>5</v>
      </c>
      <c r="G467" s="108">
        <v>34187</v>
      </c>
      <c r="H467" s="67" t="str">
        <f t="shared" si="14"/>
        <v>Aug</v>
      </c>
      <c r="I467" s="9">
        <f t="shared" ca="1" si="15"/>
        <v>23</v>
      </c>
      <c r="J467" s="8" t="s">
        <v>32</v>
      </c>
      <c r="K467" s="7">
        <v>49130</v>
      </c>
      <c r="L467" s="6">
        <v>3</v>
      </c>
      <c r="M467" s="106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5">
      <c r="A468" s="1" t="s">
        <v>197</v>
      </c>
      <c r="B468" s="12" t="s">
        <v>17</v>
      </c>
      <c r="C468" s="1" t="s">
        <v>74</v>
      </c>
      <c r="D468" s="85">
        <v>444159297</v>
      </c>
      <c r="E468" s="88">
        <v>2522456406</v>
      </c>
      <c r="F468" s="1" t="s">
        <v>5</v>
      </c>
      <c r="G468" s="108">
        <v>34537</v>
      </c>
      <c r="H468" s="67" t="str">
        <f t="shared" si="14"/>
        <v>Jul</v>
      </c>
      <c r="I468" s="9">
        <f t="shared" ca="1" si="15"/>
        <v>22</v>
      </c>
      <c r="J468" s="8" t="s">
        <v>32</v>
      </c>
      <c r="K468" s="7">
        <v>97840</v>
      </c>
      <c r="L468" s="6">
        <v>5</v>
      </c>
      <c r="M468" s="106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5">
      <c r="A469" s="1" t="s">
        <v>702</v>
      </c>
      <c r="B469" s="12" t="s">
        <v>13</v>
      </c>
      <c r="C469" s="1" t="s">
        <v>74</v>
      </c>
      <c r="D469" s="85">
        <v>292693795</v>
      </c>
      <c r="E469" s="88">
        <v>9195990139</v>
      </c>
      <c r="F469" s="1" t="s">
        <v>5</v>
      </c>
      <c r="G469" s="108">
        <v>34281</v>
      </c>
      <c r="H469" s="67" t="str">
        <f t="shared" si="14"/>
        <v>Nov</v>
      </c>
      <c r="I469" s="9">
        <f t="shared" ca="1" si="15"/>
        <v>22</v>
      </c>
      <c r="J469" s="8" t="s">
        <v>32</v>
      </c>
      <c r="K469" s="7">
        <v>105540</v>
      </c>
      <c r="L469" s="6">
        <v>4</v>
      </c>
      <c r="M469" s="106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5">
      <c r="A470" s="1" t="s">
        <v>75</v>
      </c>
      <c r="B470" s="12" t="s">
        <v>39</v>
      </c>
      <c r="C470" s="1" t="s">
        <v>74</v>
      </c>
      <c r="D470" s="85">
        <v>360904659</v>
      </c>
      <c r="E470" s="88">
        <v>2523766803</v>
      </c>
      <c r="F470" s="1" t="s">
        <v>5</v>
      </c>
      <c r="G470" s="108">
        <v>34589</v>
      </c>
      <c r="H470" s="67" t="str">
        <f t="shared" si="14"/>
        <v>Sep</v>
      </c>
      <c r="I470" s="9">
        <f t="shared" ca="1" si="15"/>
        <v>22</v>
      </c>
      <c r="J470" s="8" t="s">
        <v>4</v>
      </c>
      <c r="K470" s="7">
        <v>53540</v>
      </c>
      <c r="L470" s="6">
        <v>5</v>
      </c>
      <c r="M470" s="106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5">
      <c r="A471" s="1" t="s">
        <v>641</v>
      </c>
      <c r="B471" s="12" t="s">
        <v>17</v>
      </c>
      <c r="C471" s="1" t="s">
        <v>74</v>
      </c>
      <c r="D471" s="85">
        <v>967826310</v>
      </c>
      <c r="E471" s="88">
        <v>9196100410</v>
      </c>
      <c r="F471" s="1" t="s">
        <v>5</v>
      </c>
      <c r="G471" s="108">
        <v>34321</v>
      </c>
      <c r="H471" s="67" t="str">
        <f t="shared" si="14"/>
        <v>Dec</v>
      </c>
      <c r="I471" s="9">
        <f t="shared" ca="1" si="15"/>
        <v>22</v>
      </c>
      <c r="J471" s="8" t="s">
        <v>8</v>
      </c>
      <c r="K471" s="7">
        <v>42380</v>
      </c>
      <c r="L471" s="6">
        <v>3</v>
      </c>
      <c r="M471" s="106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5">
      <c r="A472" s="1" t="s">
        <v>139</v>
      </c>
      <c r="B472" s="12" t="s">
        <v>2</v>
      </c>
      <c r="C472" s="1" t="s">
        <v>74</v>
      </c>
      <c r="D472" s="85">
        <v>710460589</v>
      </c>
      <c r="E472" s="88">
        <v>2526104400</v>
      </c>
      <c r="F472" s="1" t="s">
        <v>5</v>
      </c>
      <c r="G472" s="108">
        <v>34180</v>
      </c>
      <c r="H472" s="67" t="str">
        <f t="shared" si="14"/>
        <v>Jul</v>
      </c>
      <c r="I472" s="9">
        <f t="shared" ca="1" si="15"/>
        <v>23</v>
      </c>
      <c r="J472" s="8" t="s">
        <v>4</v>
      </c>
      <c r="K472" s="7">
        <v>51730</v>
      </c>
      <c r="L472" s="6">
        <v>2</v>
      </c>
      <c r="M472" s="106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5">
      <c r="A473" s="1" t="s">
        <v>566</v>
      </c>
      <c r="B473" s="12" t="s">
        <v>13</v>
      </c>
      <c r="C473" s="1" t="s">
        <v>74</v>
      </c>
      <c r="D473" s="85">
        <v>219740602</v>
      </c>
      <c r="E473" s="88">
        <v>9197429525</v>
      </c>
      <c r="F473" s="1" t="s">
        <v>15</v>
      </c>
      <c r="G473" s="108">
        <v>34350</v>
      </c>
      <c r="H473" s="67" t="str">
        <f t="shared" si="14"/>
        <v>Jan</v>
      </c>
      <c r="I473" s="9">
        <f t="shared" ca="1" si="15"/>
        <v>22</v>
      </c>
      <c r="J473" s="8" t="s">
        <v>8</v>
      </c>
      <c r="K473" s="7">
        <v>19220</v>
      </c>
      <c r="L473" s="6">
        <v>3</v>
      </c>
      <c r="M473" s="106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5">
      <c r="A474" s="1" t="s">
        <v>319</v>
      </c>
      <c r="B474" s="12" t="s">
        <v>17</v>
      </c>
      <c r="C474" s="1" t="s">
        <v>74</v>
      </c>
      <c r="D474" s="85">
        <v>134557291</v>
      </c>
      <c r="E474" s="88">
        <v>2525536623</v>
      </c>
      <c r="F474" s="1" t="s">
        <v>5</v>
      </c>
      <c r="G474" s="108">
        <v>34114</v>
      </c>
      <c r="H474" s="67" t="str">
        <f t="shared" si="14"/>
        <v>May</v>
      </c>
      <c r="I474" s="9">
        <f t="shared" ca="1" si="15"/>
        <v>23</v>
      </c>
      <c r="J474" s="8" t="s">
        <v>32</v>
      </c>
      <c r="K474" s="7">
        <v>39120</v>
      </c>
      <c r="L474" s="6">
        <v>5</v>
      </c>
      <c r="M474" s="106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5">
      <c r="A475" s="1" t="s">
        <v>203</v>
      </c>
      <c r="B475" s="12" t="s">
        <v>39</v>
      </c>
      <c r="C475" s="1" t="s">
        <v>74</v>
      </c>
      <c r="D475" s="85">
        <v>671360508</v>
      </c>
      <c r="E475" s="88">
        <v>2528385730</v>
      </c>
      <c r="F475" s="1" t="s">
        <v>15</v>
      </c>
      <c r="G475" s="108">
        <v>34161</v>
      </c>
      <c r="H475" s="67" t="str">
        <f t="shared" si="14"/>
        <v>Jul</v>
      </c>
      <c r="I475" s="9">
        <f t="shared" ca="1" si="15"/>
        <v>23</v>
      </c>
      <c r="J475" s="8" t="s">
        <v>34</v>
      </c>
      <c r="K475" s="7">
        <v>47540</v>
      </c>
      <c r="L475" s="6">
        <v>5</v>
      </c>
      <c r="M475" s="106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5">
      <c r="A476" s="1" t="s">
        <v>316</v>
      </c>
      <c r="B476" s="12" t="s">
        <v>17</v>
      </c>
      <c r="C476" s="1" t="s">
        <v>74</v>
      </c>
      <c r="D476" s="85">
        <v>904790184</v>
      </c>
      <c r="E476" s="88">
        <v>9191876990</v>
      </c>
      <c r="F476" s="1" t="s">
        <v>5</v>
      </c>
      <c r="G476" s="108">
        <v>34461</v>
      </c>
      <c r="H476" s="67" t="str">
        <f t="shared" si="14"/>
        <v>May</v>
      </c>
      <c r="I476" s="9">
        <f t="shared" ca="1" si="15"/>
        <v>22</v>
      </c>
      <c r="J476" s="8" t="s">
        <v>4</v>
      </c>
      <c r="K476" s="7">
        <v>93260</v>
      </c>
      <c r="L476" s="6">
        <v>3</v>
      </c>
      <c r="M476" s="106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5">
      <c r="A477" s="1" t="s">
        <v>700</v>
      </c>
      <c r="B477" s="12" t="s">
        <v>56</v>
      </c>
      <c r="C477" s="1" t="s">
        <v>74</v>
      </c>
      <c r="D477" s="85">
        <v>264960848</v>
      </c>
      <c r="E477" s="88">
        <v>9195012757</v>
      </c>
      <c r="F477" s="1" t="s">
        <v>12</v>
      </c>
      <c r="G477" s="108">
        <v>34287</v>
      </c>
      <c r="H477" s="67" t="str">
        <f t="shared" si="14"/>
        <v>Nov</v>
      </c>
      <c r="I477" s="9">
        <f t="shared" ca="1" si="15"/>
        <v>22</v>
      </c>
      <c r="J477" s="8"/>
      <c r="K477" s="7">
        <v>58880</v>
      </c>
      <c r="L477" s="6">
        <v>3</v>
      </c>
      <c r="M477" s="106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5">
      <c r="A478" s="1" t="s">
        <v>289</v>
      </c>
      <c r="B478" s="12" t="s">
        <v>2</v>
      </c>
      <c r="C478" s="1" t="s">
        <v>22</v>
      </c>
      <c r="D478" s="85">
        <v>239847790</v>
      </c>
      <c r="E478" s="88">
        <v>2524045531</v>
      </c>
      <c r="F478" s="1" t="s">
        <v>12</v>
      </c>
      <c r="G478" s="108">
        <v>37376</v>
      </c>
      <c r="H478" s="67" t="str">
        <f t="shared" si="14"/>
        <v>Apr</v>
      </c>
      <c r="I478" s="9">
        <f t="shared" ca="1" si="15"/>
        <v>14</v>
      </c>
      <c r="J478" s="8"/>
      <c r="K478" s="7">
        <v>85560</v>
      </c>
      <c r="L478" s="6">
        <v>5</v>
      </c>
      <c r="M478" s="106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5">
      <c r="A479" s="1" t="s">
        <v>291</v>
      </c>
      <c r="B479" s="12" t="s">
        <v>13</v>
      </c>
      <c r="C479" s="1" t="s">
        <v>22</v>
      </c>
      <c r="D479" s="85">
        <v>699386024</v>
      </c>
      <c r="E479" s="88">
        <v>2525842116</v>
      </c>
      <c r="F479" s="1" t="s">
        <v>0</v>
      </c>
      <c r="G479" s="108">
        <v>37029</v>
      </c>
      <c r="H479" s="67" t="str">
        <f t="shared" si="14"/>
        <v>May</v>
      </c>
      <c r="I479" s="9">
        <f t="shared" ca="1" si="15"/>
        <v>15</v>
      </c>
      <c r="J479" s="8"/>
      <c r="K479" s="7">
        <v>20030</v>
      </c>
      <c r="L479" s="6">
        <v>3</v>
      </c>
      <c r="M479" s="106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5">
      <c r="A480" s="1" t="s">
        <v>140</v>
      </c>
      <c r="B480" s="12" t="s">
        <v>13</v>
      </c>
      <c r="C480" s="1" t="s">
        <v>22</v>
      </c>
      <c r="D480" s="85">
        <v>449987941</v>
      </c>
      <c r="E480" s="88">
        <v>2528742282</v>
      </c>
      <c r="F480" s="1" t="s">
        <v>5</v>
      </c>
      <c r="G480" s="108">
        <v>41478</v>
      </c>
      <c r="H480" s="67" t="str">
        <f t="shared" si="14"/>
        <v>Jul</v>
      </c>
      <c r="I480" s="9">
        <f t="shared" ca="1" si="15"/>
        <v>3</v>
      </c>
      <c r="J480" s="8" t="s">
        <v>19</v>
      </c>
      <c r="K480" s="7">
        <v>75850</v>
      </c>
      <c r="L480" s="6">
        <v>1</v>
      </c>
      <c r="M480" s="106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5">
      <c r="A481" s="1" t="s">
        <v>593</v>
      </c>
      <c r="B481" s="12" t="s">
        <v>13</v>
      </c>
      <c r="C481" s="1" t="s">
        <v>22</v>
      </c>
      <c r="D481" s="85">
        <v>945160038</v>
      </c>
      <c r="E481" s="88">
        <v>2527909707</v>
      </c>
      <c r="F481" s="1" t="s">
        <v>5</v>
      </c>
      <c r="G481" s="108">
        <v>38702</v>
      </c>
      <c r="H481" s="67" t="str">
        <f t="shared" si="14"/>
        <v>Dec</v>
      </c>
      <c r="I481" s="9">
        <f t="shared" ca="1" si="15"/>
        <v>10</v>
      </c>
      <c r="J481" s="8" t="s">
        <v>34</v>
      </c>
      <c r="K481" s="7">
        <v>28270</v>
      </c>
      <c r="L481" s="6">
        <v>3</v>
      </c>
      <c r="M481" s="106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5">
      <c r="A482" s="1" t="s">
        <v>254</v>
      </c>
      <c r="B482" s="12" t="s">
        <v>17</v>
      </c>
      <c r="C482" s="1" t="s">
        <v>22</v>
      </c>
      <c r="D482" s="85">
        <v>313358310</v>
      </c>
      <c r="E482" s="88">
        <v>9195442791</v>
      </c>
      <c r="F482" s="1" t="s">
        <v>5</v>
      </c>
      <c r="G482" s="108">
        <v>35223</v>
      </c>
      <c r="H482" s="67" t="str">
        <f t="shared" si="14"/>
        <v>Jun</v>
      </c>
      <c r="I482" s="9">
        <f t="shared" ca="1" si="15"/>
        <v>20</v>
      </c>
      <c r="J482" s="8" t="s">
        <v>32</v>
      </c>
      <c r="K482" s="7">
        <v>75230</v>
      </c>
      <c r="L482" s="6">
        <v>2</v>
      </c>
      <c r="M482" s="106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5">
      <c r="A483" s="1" t="s">
        <v>558</v>
      </c>
      <c r="B483" s="12" t="s">
        <v>17</v>
      </c>
      <c r="C483" s="1" t="s">
        <v>22</v>
      </c>
      <c r="D483" s="85">
        <v>558903229</v>
      </c>
      <c r="E483" s="88">
        <v>9195699651</v>
      </c>
      <c r="F483" s="1" t="s">
        <v>5</v>
      </c>
      <c r="G483" s="108">
        <v>35062</v>
      </c>
      <c r="H483" s="67" t="str">
        <f t="shared" si="14"/>
        <v>Dec</v>
      </c>
      <c r="I483" s="9">
        <f t="shared" ca="1" si="15"/>
        <v>20</v>
      </c>
      <c r="J483" s="8" t="s">
        <v>32</v>
      </c>
      <c r="K483" s="7">
        <v>27980</v>
      </c>
      <c r="L483" s="6">
        <v>4</v>
      </c>
      <c r="M483" s="106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5">
      <c r="A484" s="1" t="s">
        <v>620</v>
      </c>
      <c r="B484" s="12" t="s">
        <v>39</v>
      </c>
      <c r="C484" s="1" t="s">
        <v>22</v>
      </c>
      <c r="D484" s="85">
        <v>991221095</v>
      </c>
      <c r="E484" s="88">
        <v>9194630903</v>
      </c>
      <c r="F484" s="1" t="s">
        <v>5</v>
      </c>
      <c r="G484" s="108">
        <v>36152</v>
      </c>
      <c r="H484" s="67" t="str">
        <f t="shared" si="14"/>
        <v>Dec</v>
      </c>
      <c r="I484" s="9">
        <f t="shared" ca="1" si="15"/>
        <v>17</v>
      </c>
      <c r="J484" s="8" t="s">
        <v>8</v>
      </c>
      <c r="K484" s="7">
        <v>35710</v>
      </c>
      <c r="L484" s="6">
        <v>2</v>
      </c>
      <c r="M484" s="106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5">
      <c r="A485" s="1" t="s">
        <v>435</v>
      </c>
      <c r="B485" s="12" t="s">
        <v>17</v>
      </c>
      <c r="C485" s="1" t="s">
        <v>22</v>
      </c>
      <c r="D485" s="85">
        <v>214291610</v>
      </c>
      <c r="E485" s="88">
        <v>2523858464</v>
      </c>
      <c r="F485" s="1" t="s">
        <v>5</v>
      </c>
      <c r="G485" s="108">
        <v>36220</v>
      </c>
      <c r="H485" s="67" t="str">
        <f t="shared" si="14"/>
        <v>Mar</v>
      </c>
      <c r="I485" s="9">
        <f t="shared" ca="1" si="15"/>
        <v>17</v>
      </c>
      <c r="J485" s="8" t="s">
        <v>32</v>
      </c>
      <c r="K485" s="7">
        <v>56810</v>
      </c>
      <c r="L485" s="6">
        <v>2</v>
      </c>
      <c r="M485" s="106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5">
      <c r="A486" s="1" t="s">
        <v>474</v>
      </c>
      <c r="B486" s="12" t="s">
        <v>39</v>
      </c>
      <c r="C486" s="1" t="s">
        <v>22</v>
      </c>
      <c r="D486" s="85">
        <v>525699951</v>
      </c>
      <c r="E486" s="88">
        <v>9198400261</v>
      </c>
      <c r="F486" s="1" t="s">
        <v>0</v>
      </c>
      <c r="G486" s="108">
        <v>36947</v>
      </c>
      <c r="H486" s="67" t="str">
        <f t="shared" si="14"/>
        <v>Feb</v>
      </c>
      <c r="I486" s="9">
        <f t="shared" ca="1" si="15"/>
        <v>15</v>
      </c>
      <c r="J486" s="8"/>
      <c r="K486" s="7">
        <v>17200</v>
      </c>
      <c r="L486" s="6">
        <v>5</v>
      </c>
      <c r="M486" s="106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5">
      <c r="A487" s="1" t="s">
        <v>167</v>
      </c>
      <c r="B487" s="12" t="s">
        <v>39</v>
      </c>
      <c r="C487" s="1" t="s">
        <v>22</v>
      </c>
      <c r="D487" s="85">
        <v>106686151</v>
      </c>
      <c r="E487" s="88">
        <v>2521246633</v>
      </c>
      <c r="F487" s="1" t="s">
        <v>12</v>
      </c>
      <c r="G487" s="108">
        <v>37087</v>
      </c>
      <c r="H487" s="67" t="str">
        <f t="shared" si="14"/>
        <v>Jul</v>
      </c>
      <c r="I487" s="9">
        <f t="shared" ca="1" si="15"/>
        <v>15</v>
      </c>
      <c r="J487" s="8"/>
      <c r="K487" s="7">
        <v>57020</v>
      </c>
      <c r="L487" s="6">
        <v>1</v>
      </c>
      <c r="M487" s="106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5">
      <c r="A488" s="1" t="s">
        <v>568</v>
      </c>
      <c r="B488" s="12" t="s">
        <v>17</v>
      </c>
      <c r="C488" s="1" t="s">
        <v>22</v>
      </c>
      <c r="D488" s="85">
        <v>728567428</v>
      </c>
      <c r="E488" s="88">
        <v>2521957923</v>
      </c>
      <c r="F488" s="1" t="s">
        <v>5</v>
      </c>
      <c r="G488" s="108">
        <v>41625</v>
      </c>
      <c r="H488" s="67" t="str">
        <f t="shared" si="14"/>
        <v>Dec</v>
      </c>
      <c r="I488" s="9">
        <f t="shared" ca="1" si="15"/>
        <v>2</v>
      </c>
      <c r="J488" s="8" t="s">
        <v>8</v>
      </c>
      <c r="K488" s="7">
        <v>103800</v>
      </c>
      <c r="L488" s="6">
        <v>1</v>
      </c>
      <c r="M488" s="106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5">
      <c r="A489" s="1" t="s">
        <v>23</v>
      </c>
      <c r="B489" s="12" t="s">
        <v>17</v>
      </c>
      <c r="C489" s="1" t="s">
        <v>22</v>
      </c>
      <c r="D489" s="85">
        <v>924942231</v>
      </c>
      <c r="E489" s="88">
        <v>9193279828</v>
      </c>
      <c r="F489" s="1" t="s">
        <v>15</v>
      </c>
      <c r="G489" s="108">
        <v>41167</v>
      </c>
      <c r="H489" s="67" t="str">
        <f t="shared" si="14"/>
        <v>Sep</v>
      </c>
      <c r="I489" s="9">
        <f t="shared" ca="1" si="15"/>
        <v>4</v>
      </c>
      <c r="J489" s="8" t="s">
        <v>8</v>
      </c>
      <c r="K489" s="7">
        <v>30290</v>
      </c>
      <c r="L489" s="6">
        <v>5</v>
      </c>
      <c r="M489" s="106"/>
      <c r="N489" s="2"/>
      <c r="O489" s="1"/>
      <c r="P489" s="5"/>
      <c r="Q489" s="5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5">
      <c r="A490" s="1" t="s">
        <v>438</v>
      </c>
      <c r="B490" s="12" t="s">
        <v>13</v>
      </c>
      <c r="C490" s="1" t="s">
        <v>22</v>
      </c>
      <c r="D490" s="85">
        <v>967035612</v>
      </c>
      <c r="E490" s="88">
        <v>2528842613</v>
      </c>
      <c r="F490" s="1" t="s">
        <v>5</v>
      </c>
      <c r="G490" s="108">
        <v>35150</v>
      </c>
      <c r="H490" s="67" t="str">
        <f t="shared" si="14"/>
        <v>Mar</v>
      </c>
      <c r="I490" s="9">
        <f t="shared" ca="1" si="15"/>
        <v>20</v>
      </c>
      <c r="J490" s="8" t="s">
        <v>8</v>
      </c>
      <c r="K490" s="7">
        <v>76130</v>
      </c>
      <c r="L490" s="6">
        <v>3</v>
      </c>
      <c r="M490" s="106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5">
      <c r="A491" s="1" t="s">
        <v>226</v>
      </c>
      <c r="B491" s="12" t="s">
        <v>13</v>
      </c>
      <c r="C491" s="1" t="s">
        <v>22</v>
      </c>
      <c r="D491" s="85">
        <v>938723321</v>
      </c>
      <c r="E491" s="88">
        <v>9196456972</v>
      </c>
      <c r="F491" s="1" t="s">
        <v>12</v>
      </c>
      <c r="G491" s="108">
        <v>37788</v>
      </c>
      <c r="H491" s="67" t="str">
        <f t="shared" si="14"/>
        <v>Jun</v>
      </c>
      <c r="I491" s="9">
        <f t="shared" ca="1" si="15"/>
        <v>13</v>
      </c>
      <c r="J491" s="8"/>
      <c r="K491" s="7">
        <v>107570</v>
      </c>
      <c r="L491" s="6">
        <v>4</v>
      </c>
      <c r="M491" s="106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5">
      <c r="A492" s="1" t="s">
        <v>267</v>
      </c>
      <c r="B492" s="12" t="s">
        <v>39</v>
      </c>
      <c r="C492" s="1" t="s">
        <v>22</v>
      </c>
      <c r="D492" s="85">
        <v>502200672</v>
      </c>
      <c r="E492" s="88">
        <v>2527925201</v>
      </c>
      <c r="F492" s="1" t="s">
        <v>12</v>
      </c>
      <c r="G492" s="108">
        <v>41411</v>
      </c>
      <c r="H492" s="67" t="str">
        <f t="shared" si="14"/>
        <v>May</v>
      </c>
      <c r="I492" s="9">
        <f t="shared" ca="1" si="15"/>
        <v>3</v>
      </c>
      <c r="J492" s="8"/>
      <c r="K492" s="7">
        <v>69220</v>
      </c>
      <c r="L492" s="6">
        <v>4</v>
      </c>
      <c r="M492" s="106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5">
      <c r="A493" s="1" t="s">
        <v>671</v>
      </c>
      <c r="B493" s="12" t="s">
        <v>17</v>
      </c>
      <c r="C493" s="1" t="s">
        <v>22</v>
      </c>
      <c r="D493" s="85">
        <v>978154935</v>
      </c>
      <c r="E493" s="88">
        <v>2521384592</v>
      </c>
      <c r="F493" s="1" t="s">
        <v>5</v>
      </c>
      <c r="G493" s="108">
        <v>37196</v>
      </c>
      <c r="H493" s="67" t="str">
        <f t="shared" si="14"/>
        <v>Nov</v>
      </c>
      <c r="I493" s="9">
        <f t="shared" ca="1" si="15"/>
        <v>15</v>
      </c>
      <c r="J493" s="8" t="s">
        <v>19</v>
      </c>
      <c r="K493" s="7">
        <v>55630</v>
      </c>
      <c r="L493" s="6">
        <v>5</v>
      </c>
      <c r="M493" s="106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5">
      <c r="A494" s="1" t="s">
        <v>240</v>
      </c>
      <c r="B494" s="12" t="s">
        <v>56</v>
      </c>
      <c r="C494" s="1" t="s">
        <v>22</v>
      </c>
      <c r="D494" s="85">
        <v>698472533</v>
      </c>
      <c r="E494" s="88">
        <v>9192917217</v>
      </c>
      <c r="F494" s="1" t="s">
        <v>12</v>
      </c>
      <c r="G494" s="108">
        <v>36700</v>
      </c>
      <c r="H494" s="67" t="str">
        <f t="shared" si="14"/>
        <v>Jun</v>
      </c>
      <c r="I494" s="9">
        <f t="shared" ca="1" si="15"/>
        <v>16</v>
      </c>
      <c r="J494" s="8"/>
      <c r="K494" s="7">
        <v>43480</v>
      </c>
      <c r="L494" s="6">
        <v>2</v>
      </c>
      <c r="M494" s="106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5">
      <c r="A495" s="1" t="s">
        <v>168</v>
      </c>
      <c r="B495" s="12" t="s">
        <v>13</v>
      </c>
      <c r="C495" s="1" t="s">
        <v>22</v>
      </c>
      <c r="D495" s="85">
        <v>349174221</v>
      </c>
      <c r="E495" s="88">
        <v>2521220758</v>
      </c>
      <c r="F495" s="1" t="s">
        <v>15</v>
      </c>
      <c r="G495" s="108">
        <v>37085</v>
      </c>
      <c r="H495" s="67" t="str">
        <f t="shared" si="14"/>
        <v>Jul</v>
      </c>
      <c r="I495" s="9">
        <f t="shared" ca="1" si="15"/>
        <v>15</v>
      </c>
      <c r="J495" s="8" t="s">
        <v>34</v>
      </c>
      <c r="K495" s="7">
        <v>54900</v>
      </c>
      <c r="L495" s="6">
        <v>5</v>
      </c>
      <c r="M495" s="106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5">
      <c r="A496" s="1" t="s">
        <v>575</v>
      </c>
      <c r="B496" s="12" t="s">
        <v>39</v>
      </c>
      <c r="C496" s="1" t="s">
        <v>22</v>
      </c>
      <c r="D496" s="85">
        <v>151277827</v>
      </c>
      <c r="E496" s="88">
        <v>9197179128</v>
      </c>
      <c r="F496" s="1" t="s">
        <v>5</v>
      </c>
      <c r="G496" s="108">
        <v>40900</v>
      </c>
      <c r="H496" s="67" t="str">
        <f t="shared" si="14"/>
        <v>Dec</v>
      </c>
      <c r="I496" s="9">
        <f t="shared" ca="1" si="15"/>
        <v>4</v>
      </c>
      <c r="J496" s="8" t="s">
        <v>32</v>
      </c>
      <c r="K496" s="7">
        <v>29750</v>
      </c>
      <c r="L496" s="6">
        <v>3</v>
      </c>
      <c r="M496" s="106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5">
      <c r="A497" s="1" t="s">
        <v>623</v>
      </c>
      <c r="B497" s="12" t="s">
        <v>13</v>
      </c>
      <c r="C497" s="1" t="s">
        <v>22</v>
      </c>
      <c r="D497" s="85">
        <v>963000861</v>
      </c>
      <c r="E497" s="88">
        <v>2522792063</v>
      </c>
      <c r="F497" s="1" t="s">
        <v>12</v>
      </c>
      <c r="G497" s="108">
        <v>36147</v>
      </c>
      <c r="H497" s="67" t="str">
        <f t="shared" si="14"/>
        <v>Dec</v>
      </c>
      <c r="I497" s="9">
        <f t="shared" ca="1" si="15"/>
        <v>17</v>
      </c>
      <c r="J497" s="8"/>
      <c r="K497" s="7">
        <v>87830</v>
      </c>
      <c r="L497" s="6">
        <v>1</v>
      </c>
      <c r="M497" s="106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5">
      <c r="A498" s="1" t="s">
        <v>46</v>
      </c>
      <c r="B498" s="12" t="s">
        <v>17</v>
      </c>
      <c r="C498" s="1" t="s">
        <v>22</v>
      </c>
      <c r="D498" s="85">
        <v>209846975</v>
      </c>
      <c r="E498" s="88">
        <v>2522639452</v>
      </c>
      <c r="F498" s="1" t="s">
        <v>15</v>
      </c>
      <c r="G498" s="108">
        <v>38250</v>
      </c>
      <c r="H498" s="67" t="str">
        <f t="shared" si="14"/>
        <v>Sep</v>
      </c>
      <c r="I498" s="9">
        <f t="shared" ca="1" si="15"/>
        <v>12</v>
      </c>
      <c r="J498" s="8" t="s">
        <v>8</v>
      </c>
      <c r="K498" s="7">
        <v>15050</v>
      </c>
      <c r="L498" s="6">
        <v>4</v>
      </c>
      <c r="M498" s="106"/>
      <c r="N498" s="2"/>
      <c r="O498" s="1"/>
      <c r="P498" s="5"/>
      <c r="Q498" s="5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5">
      <c r="A499" s="1" t="s">
        <v>207</v>
      </c>
      <c r="B499" s="12" t="s">
        <v>13</v>
      </c>
      <c r="C499" s="1" t="s">
        <v>22</v>
      </c>
      <c r="D499" s="85">
        <v>953109212</v>
      </c>
      <c r="E499" s="88">
        <v>9191664940</v>
      </c>
      <c r="F499" s="1" t="s">
        <v>5</v>
      </c>
      <c r="G499" s="108">
        <v>41439</v>
      </c>
      <c r="H499" s="67" t="str">
        <f t="shared" si="14"/>
        <v>Jun</v>
      </c>
      <c r="I499" s="9">
        <f t="shared" ca="1" si="15"/>
        <v>3</v>
      </c>
      <c r="J499" s="8" t="s">
        <v>19</v>
      </c>
      <c r="K499" s="7">
        <v>70980</v>
      </c>
      <c r="L499" s="6">
        <v>4</v>
      </c>
      <c r="M499" s="106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5">
      <c r="A500" s="1" t="s">
        <v>58</v>
      </c>
      <c r="B500" s="12" t="s">
        <v>56</v>
      </c>
      <c r="C500" s="1" t="s">
        <v>22</v>
      </c>
      <c r="D500" s="85">
        <v>265323292</v>
      </c>
      <c r="E500" s="88">
        <v>2522939413</v>
      </c>
      <c r="F500" s="1" t="s">
        <v>5</v>
      </c>
      <c r="G500" s="108">
        <v>37137</v>
      </c>
      <c r="H500" s="67" t="str">
        <f t="shared" si="14"/>
        <v>Sep</v>
      </c>
      <c r="I500" s="9">
        <f t="shared" ca="1" si="15"/>
        <v>15</v>
      </c>
      <c r="J500" s="8" t="s">
        <v>4</v>
      </c>
      <c r="K500" s="7">
        <v>54000</v>
      </c>
      <c r="L500" s="6">
        <v>4</v>
      </c>
      <c r="M500" s="106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5">
      <c r="A501" s="1" t="s">
        <v>509</v>
      </c>
      <c r="B501" s="12" t="s">
        <v>2</v>
      </c>
      <c r="C501" s="1" t="s">
        <v>22</v>
      </c>
      <c r="D501" s="85">
        <v>868364739</v>
      </c>
      <c r="E501" s="88">
        <v>9195255121</v>
      </c>
      <c r="F501" s="1" t="s">
        <v>15</v>
      </c>
      <c r="G501" s="108">
        <v>41294</v>
      </c>
      <c r="H501" s="67" t="str">
        <f t="shared" si="14"/>
        <v>Jan</v>
      </c>
      <c r="I501" s="9">
        <f t="shared" ca="1" si="15"/>
        <v>3</v>
      </c>
      <c r="J501" s="8" t="s">
        <v>32</v>
      </c>
      <c r="K501" s="7">
        <v>14170</v>
      </c>
      <c r="L501" s="6">
        <v>1</v>
      </c>
      <c r="M501" s="106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5">
      <c r="A502" s="1" t="s">
        <v>264</v>
      </c>
      <c r="B502" s="12" t="s">
        <v>13</v>
      </c>
      <c r="C502" s="1" t="s">
        <v>22</v>
      </c>
      <c r="D502" s="85">
        <v>528258211</v>
      </c>
      <c r="E502" s="88">
        <v>9194727385</v>
      </c>
      <c r="F502" s="1" t="s">
        <v>5</v>
      </c>
      <c r="G502" s="108">
        <v>34129</v>
      </c>
      <c r="H502" s="67" t="str">
        <f t="shared" si="14"/>
        <v>Jun</v>
      </c>
      <c r="I502" s="9">
        <f t="shared" ca="1" si="15"/>
        <v>23</v>
      </c>
      <c r="J502" s="8" t="s">
        <v>19</v>
      </c>
      <c r="K502" s="7">
        <v>55330</v>
      </c>
      <c r="L502" s="6">
        <v>4</v>
      </c>
      <c r="M502" s="106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5">
      <c r="A503" s="1" t="s">
        <v>741</v>
      </c>
      <c r="B503" s="12" t="s">
        <v>39</v>
      </c>
      <c r="C503" s="1" t="s">
        <v>22</v>
      </c>
      <c r="D503" s="85">
        <v>217968415</v>
      </c>
      <c r="E503" s="88">
        <v>2522814530</v>
      </c>
      <c r="F503" s="1" t="s">
        <v>5</v>
      </c>
      <c r="G503" s="108">
        <v>36822</v>
      </c>
      <c r="H503" s="67" t="str">
        <f t="shared" si="14"/>
        <v>Oct</v>
      </c>
      <c r="I503" s="9">
        <f t="shared" ca="1" si="15"/>
        <v>16</v>
      </c>
      <c r="J503" s="8" t="s">
        <v>19</v>
      </c>
      <c r="K503" s="7">
        <v>27440</v>
      </c>
      <c r="L503" s="6">
        <v>3</v>
      </c>
      <c r="M503" s="106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5">
      <c r="A504" s="1" t="s">
        <v>694</v>
      </c>
      <c r="B504" s="12" t="s">
        <v>39</v>
      </c>
      <c r="C504" s="1" t="s">
        <v>22</v>
      </c>
      <c r="D504" s="85">
        <v>808012612</v>
      </c>
      <c r="E504" s="88">
        <v>9193717553</v>
      </c>
      <c r="F504" s="1" t="s">
        <v>12</v>
      </c>
      <c r="G504" s="108">
        <v>34659</v>
      </c>
      <c r="H504" s="67" t="str">
        <f t="shared" si="14"/>
        <v>Nov</v>
      </c>
      <c r="I504" s="9">
        <f t="shared" ca="1" si="15"/>
        <v>21</v>
      </c>
      <c r="J504" s="8"/>
      <c r="K504" s="7">
        <v>72660</v>
      </c>
      <c r="L504" s="6">
        <v>2</v>
      </c>
      <c r="M504" s="106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5">
      <c r="A505" s="1" t="s">
        <v>76</v>
      </c>
      <c r="B505" s="12" t="s">
        <v>39</v>
      </c>
      <c r="C505" s="1" t="s">
        <v>22</v>
      </c>
      <c r="D505" s="85">
        <v>452255054</v>
      </c>
      <c r="E505" s="88">
        <v>9196114005</v>
      </c>
      <c r="F505" s="1" t="s">
        <v>12</v>
      </c>
      <c r="G505" s="108">
        <v>34579</v>
      </c>
      <c r="H505" s="67" t="str">
        <f t="shared" si="14"/>
        <v>Sep</v>
      </c>
      <c r="I505" s="9">
        <f t="shared" ca="1" si="15"/>
        <v>22</v>
      </c>
      <c r="J505" s="8"/>
      <c r="K505" s="7">
        <v>61010</v>
      </c>
      <c r="L505" s="6">
        <v>4</v>
      </c>
      <c r="M505" s="106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5">
      <c r="A506" s="1" t="s">
        <v>242</v>
      </c>
      <c r="B506" s="12" t="s">
        <v>13</v>
      </c>
      <c r="C506" s="1" t="s">
        <v>22</v>
      </c>
      <c r="D506" s="85">
        <v>965916299</v>
      </c>
      <c r="E506" s="88">
        <v>9193552027</v>
      </c>
      <c r="F506" s="1" t="s">
        <v>5</v>
      </c>
      <c r="G506" s="108">
        <v>36694</v>
      </c>
      <c r="H506" s="67" t="str">
        <f t="shared" si="14"/>
        <v>Jun</v>
      </c>
      <c r="I506" s="9">
        <f t="shared" ca="1" si="15"/>
        <v>16</v>
      </c>
      <c r="J506" s="8" t="s">
        <v>34</v>
      </c>
      <c r="K506" s="7">
        <v>29210</v>
      </c>
      <c r="L506" s="6">
        <v>4</v>
      </c>
      <c r="M506" s="106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5">
      <c r="A507" s="1" t="s">
        <v>258</v>
      </c>
      <c r="B507" s="12" t="s">
        <v>17</v>
      </c>
      <c r="C507" s="1" t="s">
        <v>22</v>
      </c>
      <c r="D507" s="85">
        <v>561530671</v>
      </c>
      <c r="E507" s="88">
        <v>9192999652</v>
      </c>
      <c r="F507" s="1" t="s">
        <v>5</v>
      </c>
      <c r="G507" s="108">
        <v>34511</v>
      </c>
      <c r="H507" s="67" t="str">
        <f t="shared" si="14"/>
        <v>Jun</v>
      </c>
      <c r="I507" s="9">
        <f t="shared" ca="1" si="15"/>
        <v>22</v>
      </c>
      <c r="J507" s="8" t="s">
        <v>34</v>
      </c>
      <c r="K507" s="7">
        <v>65400</v>
      </c>
      <c r="L507" s="6">
        <v>5</v>
      </c>
      <c r="M507" s="106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5">
      <c r="A508" s="1" t="s">
        <v>543</v>
      </c>
      <c r="B508" s="12" t="s">
        <v>13</v>
      </c>
      <c r="C508" s="1" t="s">
        <v>22</v>
      </c>
      <c r="D508" s="85">
        <v>302170290</v>
      </c>
      <c r="E508" s="88">
        <v>9191971988</v>
      </c>
      <c r="F508" s="1" t="s">
        <v>5</v>
      </c>
      <c r="G508" s="108">
        <v>36529</v>
      </c>
      <c r="H508" s="67" t="str">
        <f t="shared" si="14"/>
        <v>Jan</v>
      </c>
      <c r="I508" s="9">
        <f t="shared" ca="1" si="15"/>
        <v>16</v>
      </c>
      <c r="J508" s="8" t="s">
        <v>32</v>
      </c>
      <c r="K508" s="7">
        <v>75920</v>
      </c>
      <c r="L508" s="6">
        <v>1</v>
      </c>
      <c r="M508" s="106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5">
      <c r="A509" s="1" t="s">
        <v>541</v>
      </c>
      <c r="B509" s="12" t="s">
        <v>39</v>
      </c>
      <c r="C509" s="1" t="s">
        <v>22</v>
      </c>
      <c r="D509" s="85">
        <v>643979374</v>
      </c>
      <c r="E509" s="88">
        <v>2521230519</v>
      </c>
      <c r="F509" s="1" t="s">
        <v>12</v>
      </c>
      <c r="G509" s="108">
        <v>36542</v>
      </c>
      <c r="H509" s="67" t="str">
        <f t="shared" si="14"/>
        <v>Jan</v>
      </c>
      <c r="I509" s="9">
        <f t="shared" ca="1" si="15"/>
        <v>16</v>
      </c>
      <c r="J509" s="8"/>
      <c r="K509" s="7">
        <v>59440</v>
      </c>
      <c r="L509" s="6">
        <v>4</v>
      </c>
      <c r="M509" s="106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5">
      <c r="A510" s="1" t="s">
        <v>697</v>
      </c>
      <c r="B510" s="12" t="s">
        <v>39</v>
      </c>
      <c r="C510" s="1" t="s">
        <v>22</v>
      </c>
      <c r="D510" s="85">
        <v>433314045</v>
      </c>
      <c r="E510" s="88">
        <v>2522543210</v>
      </c>
      <c r="F510" s="1" t="s">
        <v>12</v>
      </c>
      <c r="G510" s="108">
        <v>34639</v>
      </c>
      <c r="H510" s="67" t="str">
        <f t="shared" si="14"/>
        <v>Nov</v>
      </c>
      <c r="I510" s="9">
        <f t="shared" ca="1" si="15"/>
        <v>22</v>
      </c>
      <c r="J510" s="8"/>
      <c r="K510" s="7">
        <v>57110</v>
      </c>
      <c r="L510" s="6">
        <v>3</v>
      </c>
      <c r="M510" s="106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5">
      <c r="A511" s="1" t="s">
        <v>587</v>
      </c>
      <c r="B511" s="12" t="s">
        <v>2</v>
      </c>
      <c r="C511" s="1" t="s">
        <v>22</v>
      </c>
      <c r="D511" s="85">
        <v>920265140</v>
      </c>
      <c r="E511" s="88">
        <v>2524078104</v>
      </c>
      <c r="F511" s="1" t="s">
        <v>5</v>
      </c>
      <c r="G511" s="108">
        <v>39791</v>
      </c>
      <c r="H511" s="67" t="str">
        <f t="shared" si="14"/>
        <v>Dec</v>
      </c>
      <c r="I511" s="9">
        <f t="shared" ca="1" si="15"/>
        <v>7</v>
      </c>
      <c r="J511" s="8" t="s">
        <v>34</v>
      </c>
      <c r="K511" s="7">
        <v>75230</v>
      </c>
      <c r="L511" s="6">
        <v>3</v>
      </c>
      <c r="M511" s="106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5">
      <c r="A512" s="1" t="s">
        <v>80</v>
      </c>
      <c r="B512" s="12" t="s">
        <v>17</v>
      </c>
      <c r="C512" s="1" t="s">
        <v>22</v>
      </c>
      <c r="D512" s="85">
        <v>554029540</v>
      </c>
      <c r="E512" s="88">
        <v>2521544288</v>
      </c>
      <c r="F512" s="1" t="s">
        <v>12</v>
      </c>
      <c r="G512" s="108">
        <v>34235</v>
      </c>
      <c r="H512" s="67" t="str">
        <f t="shared" si="14"/>
        <v>Sep</v>
      </c>
      <c r="I512" s="9">
        <f t="shared" ca="1" si="15"/>
        <v>23</v>
      </c>
      <c r="J512" s="8"/>
      <c r="K512" s="7">
        <v>70380</v>
      </c>
      <c r="L512" s="6">
        <v>4</v>
      </c>
      <c r="M512" s="106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5">
      <c r="A513" s="1" t="s">
        <v>304</v>
      </c>
      <c r="B513" s="12" t="s">
        <v>10</v>
      </c>
      <c r="C513" s="1" t="s">
        <v>22</v>
      </c>
      <c r="D513" s="85">
        <v>445693854</v>
      </c>
      <c r="E513" s="88">
        <v>9192891217</v>
      </c>
      <c r="F513" s="1" t="s">
        <v>12</v>
      </c>
      <c r="G513" s="108">
        <v>35916</v>
      </c>
      <c r="H513" s="67" t="str">
        <f t="shared" si="14"/>
        <v>May</v>
      </c>
      <c r="I513" s="9">
        <f t="shared" ca="1" si="15"/>
        <v>18</v>
      </c>
      <c r="J513" s="8"/>
      <c r="K513" s="7">
        <v>92240</v>
      </c>
      <c r="L513" s="6">
        <v>5</v>
      </c>
      <c r="M513" s="106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5">
      <c r="A514" s="1" t="s">
        <v>740</v>
      </c>
      <c r="B514" s="12" t="s">
        <v>10</v>
      </c>
      <c r="C514" s="1" t="s">
        <v>22</v>
      </c>
      <c r="D514" s="85">
        <v>451159170</v>
      </c>
      <c r="E514" s="88">
        <v>2522604602</v>
      </c>
      <c r="F514" s="1" t="s">
        <v>15</v>
      </c>
      <c r="G514" s="108">
        <v>36827</v>
      </c>
      <c r="H514" s="67" t="str">
        <f t="shared" ref="H514:H577" si="16">CHOOSE(MONTH(G514),"Jan","Feb","Mar","Apr","May","Jun","Jul","Aug","Sep","Oct","Nov","Dec")</f>
        <v>Oct</v>
      </c>
      <c r="I514" s="9">
        <f t="shared" ref="I514:I577" ca="1" si="17">DATEDIF(G514,TODAY(),"Y")</f>
        <v>16</v>
      </c>
      <c r="J514" s="8" t="s">
        <v>32</v>
      </c>
      <c r="K514" s="7">
        <v>37450</v>
      </c>
      <c r="L514" s="6">
        <v>2</v>
      </c>
      <c r="M514" s="106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5">
      <c r="A515" s="1" t="s">
        <v>755</v>
      </c>
      <c r="B515" s="12" t="s">
        <v>17</v>
      </c>
      <c r="C515" s="1" t="s">
        <v>22</v>
      </c>
      <c r="D515" s="85">
        <v>494754997</v>
      </c>
      <c r="E515" s="88">
        <v>9195617115</v>
      </c>
      <c r="F515" s="1" t="s">
        <v>12</v>
      </c>
      <c r="G515" s="108">
        <v>35727</v>
      </c>
      <c r="H515" s="67" t="str">
        <f t="shared" si="16"/>
        <v>Oct</v>
      </c>
      <c r="I515" s="9">
        <f t="shared" ca="1" si="17"/>
        <v>19</v>
      </c>
      <c r="J515" s="8"/>
      <c r="K515" s="7">
        <v>39740</v>
      </c>
      <c r="L515" s="6">
        <v>2</v>
      </c>
      <c r="M515" s="106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5">
      <c r="A516" s="1" t="s">
        <v>361</v>
      </c>
      <c r="B516" s="12" t="s">
        <v>13</v>
      </c>
      <c r="C516" s="1" t="s">
        <v>22</v>
      </c>
      <c r="D516" s="85">
        <v>394876677</v>
      </c>
      <c r="E516" s="88">
        <v>2522551469</v>
      </c>
      <c r="F516" s="1" t="s">
        <v>5</v>
      </c>
      <c r="G516" s="108">
        <v>36617</v>
      </c>
      <c r="H516" s="67" t="str">
        <f t="shared" si="16"/>
        <v>Apr</v>
      </c>
      <c r="I516" s="9">
        <f t="shared" ca="1" si="17"/>
        <v>16</v>
      </c>
      <c r="J516" s="8" t="s">
        <v>4</v>
      </c>
      <c r="K516" s="7">
        <v>40870</v>
      </c>
      <c r="L516" s="6">
        <v>2</v>
      </c>
      <c r="M516" s="106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5">
      <c r="A517" s="1" t="s">
        <v>730</v>
      </c>
      <c r="B517" s="12" t="s">
        <v>17</v>
      </c>
      <c r="C517" s="1" t="s">
        <v>22</v>
      </c>
      <c r="D517" s="85">
        <v>113252240</v>
      </c>
      <c r="E517" s="88">
        <v>2526712695</v>
      </c>
      <c r="F517" s="1" t="s">
        <v>5</v>
      </c>
      <c r="G517" s="108">
        <v>37537</v>
      </c>
      <c r="H517" s="67" t="str">
        <f t="shared" si="16"/>
        <v>Oct</v>
      </c>
      <c r="I517" s="9">
        <f t="shared" ca="1" si="17"/>
        <v>14</v>
      </c>
      <c r="J517" s="8" t="s">
        <v>32</v>
      </c>
      <c r="K517" s="7">
        <v>74880</v>
      </c>
      <c r="L517" s="6">
        <v>4</v>
      </c>
      <c r="M517" s="106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5">
      <c r="A518" s="1" t="s">
        <v>651</v>
      </c>
      <c r="B518" s="12" t="s">
        <v>13</v>
      </c>
      <c r="C518" s="1" t="s">
        <v>22</v>
      </c>
      <c r="D518" s="85">
        <v>765512793</v>
      </c>
      <c r="E518" s="88">
        <v>9197686976</v>
      </c>
      <c r="F518" s="1" t="s">
        <v>5</v>
      </c>
      <c r="G518" s="108">
        <v>40865</v>
      </c>
      <c r="H518" s="67" t="str">
        <f t="shared" si="16"/>
        <v>Nov</v>
      </c>
      <c r="I518" s="9">
        <f t="shared" ca="1" si="17"/>
        <v>4</v>
      </c>
      <c r="J518" s="8" t="s">
        <v>32</v>
      </c>
      <c r="K518" s="7">
        <v>77180</v>
      </c>
      <c r="L518" s="6">
        <v>5</v>
      </c>
      <c r="M518" s="106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5">
      <c r="A519" s="1" t="s">
        <v>199</v>
      </c>
      <c r="B519" s="12" t="s">
        <v>17</v>
      </c>
      <c r="C519" s="1" t="s">
        <v>22</v>
      </c>
      <c r="D519" s="85">
        <v>880747384</v>
      </c>
      <c r="E519" s="88">
        <v>9195220001</v>
      </c>
      <c r="F519" s="1" t="s">
        <v>5</v>
      </c>
      <c r="G519" s="108">
        <v>34527</v>
      </c>
      <c r="H519" s="67" t="str">
        <f t="shared" si="16"/>
        <v>Jul</v>
      </c>
      <c r="I519" s="9">
        <f t="shared" ca="1" si="17"/>
        <v>22</v>
      </c>
      <c r="J519" s="8" t="s">
        <v>19</v>
      </c>
      <c r="K519" s="7">
        <v>95280</v>
      </c>
      <c r="L519" s="6">
        <v>4</v>
      </c>
      <c r="M519" s="106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25">
      <c r="A520" s="1" t="s">
        <v>640</v>
      </c>
      <c r="B520" s="12" t="s">
        <v>39</v>
      </c>
      <c r="C520" s="1" t="s">
        <v>22</v>
      </c>
      <c r="D520" s="85">
        <v>378882665</v>
      </c>
      <c r="E520" s="88">
        <v>2526079829</v>
      </c>
      <c r="F520" s="1" t="s">
        <v>15</v>
      </c>
      <c r="G520" s="108">
        <v>34672</v>
      </c>
      <c r="H520" s="67" t="str">
        <f t="shared" si="16"/>
        <v>Dec</v>
      </c>
      <c r="I520" s="9">
        <f t="shared" ca="1" si="17"/>
        <v>21</v>
      </c>
      <c r="J520" s="8" t="s">
        <v>32</v>
      </c>
      <c r="K520" s="7">
        <v>55660</v>
      </c>
      <c r="L520" s="6">
        <v>3</v>
      </c>
      <c r="M520" s="106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5">
      <c r="A521" s="1" t="s">
        <v>123</v>
      </c>
      <c r="B521" s="12" t="s">
        <v>13</v>
      </c>
      <c r="C521" s="1" t="s">
        <v>22</v>
      </c>
      <c r="D521" s="85">
        <v>933883118</v>
      </c>
      <c r="E521" s="88">
        <v>2523294956</v>
      </c>
      <c r="F521" s="1" t="s">
        <v>12</v>
      </c>
      <c r="G521" s="108">
        <v>35659</v>
      </c>
      <c r="H521" s="67" t="str">
        <f t="shared" si="16"/>
        <v>Aug</v>
      </c>
      <c r="I521" s="9">
        <f t="shared" ca="1" si="17"/>
        <v>19</v>
      </c>
      <c r="J521" s="8"/>
      <c r="K521" s="7">
        <v>103180</v>
      </c>
      <c r="L521" s="6">
        <v>2</v>
      </c>
      <c r="M521" s="106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5">
      <c r="A522" s="1" t="s">
        <v>717</v>
      </c>
      <c r="B522" s="12" t="s">
        <v>2</v>
      </c>
      <c r="C522" s="1" t="s">
        <v>22</v>
      </c>
      <c r="D522" s="85">
        <v>437460422</v>
      </c>
      <c r="E522" s="88">
        <v>2528439277</v>
      </c>
      <c r="F522" s="1" t="s">
        <v>15</v>
      </c>
      <c r="G522" s="108">
        <v>39724</v>
      </c>
      <c r="H522" s="67" t="str">
        <f t="shared" si="16"/>
        <v>Oct</v>
      </c>
      <c r="I522" s="9">
        <f t="shared" ca="1" si="17"/>
        <v>8</v>
      </c>
      <c r="J522" s="8" t="s">
        <v>4</v>
      </c>
      <c r="K522" s="7">
        <v>12760</v>
      </c>
      <c r="L522" s="6">
        <v>3</v>
      </c>
      <c r="M522" s="106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5">
      <c r="A523" s="1" t="s">
        <v>288</v>
      </c>
      <c r="B523" s="12" t="s">
        <v>17</v>
      </c>
      <c r="C523" s="1" t="s">
        <v>22</v>
      </c>
      <c r="D523" s="85">
        <v>358017400</v>
      </c>
      <c r="E523" s="88">
        <v>2523265407</v>
      </c>
      <c r="F523" s="1" t="s">
        <v>0</v>
      </c>
      <c r="G523" s="108">
        <v>37381</v>
      </c>
      <c r="H523" s="67" t="str">
        <f t="shared" si="16"/>
        <v>May</v>
      </c>
      <c r="I523" s="9">
        <f t="shared" ca="1" si="17"/>
        <v>14</v>
      </c>
      <c r="J523" s="8"/>
      <c r="K523" s="7">
        <v>43260</v>
      </c>
      <c r="L523" s="6">
        <v>5</v>
      </c>
      <c r="M523" s="106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5">
      <c r="A524" s="1" t="s">
        <v>189</v>
      </c>
      <c r="B524" s="12" t="s">
        <v>39</v>
      </c>
      <c r="C524" s="1" t="s">
        <v>22</v>
      </c>
      <c r="D524" s="85">
        <v>476243591</v>
      </c>
      <c r="E524" s="88">
        <v>9197188067</v>
      </c>
      <c r="F524" s="1" t="s">
        <v>5</v>
      </c>
      <c r="G524" s="108">
        <v>35990</v>
      </c>
      <c r="H524" s="67" t="str">
        <f t="shared" si="16"/>
        <v>Jul</v>
      </c>
      <c r="I524" s="9">
        <f t="shared" ca="1" si="17"/>
        <v>18</v>
      </c>
      <c r="J524" s="8" t="s">
        <v>32</v>
      </c>
      <c r="K524" s="7">
        <v>60680</v>
      </c>
      <c r="L524" s="6">
        <v>4</v>
      </c>
      <c r="M524" s="106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5">
      <c r="A525" s="1" t="s">
        <v>430</v>
      </c>
      <c r="B525" s="12" t="s">
        <v>13</v>
      </c>
      <c r="C525" s="1" t="s">
        <v>22</v>
      </c>
      <c r="D525" s="85">
        <v>475671127</v>
      </c>
      <c r="E525" s="88">
        <v>9196650531</v>
      </c>
      <c r="F525" s="1" t="s">
        <v>5</v>
      </c>
      <c r="G525" s="108">
        <v>36959</v>
      </c>
      <c r="H525" s="67" t="str">
        <f t="shared" si="16"/>
        <v>Mar</v>
      </c>
      <c r="I525" s="9">
        <f t="shared" ca="1" si="17"/>
        <v>15</v>
      </c>
      <c r="J525" s="8" t="s">
        <v>4</v>
      </c>
      <c r="K525" s="7">
        <v>73700</v>
      </c>
      <c r="L525" s="6">
        <v>4</v>
      </c>
      <c r="M525" s="106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5">
      <c r="A526" s="1" t="s">
        <v>481</v>
      </c>
      <c r="B526" s="12" t="s">
        <v>56</v>
      </c>
      <c r="C526" s="1" t="s">
        <v>22</v>
      </c>
      <c r="D526" s="85">
        <v>343185481</v>
      </c>
      <c r="E526" s="88">
        <v>9196446519</v>
      </c>
      <c r="F526" s="1" t="s">
        <v>5</v>
      </c>
      <c r="G526" s="108">
        <v>36919</v>
      </c>
      <c r="H526" s="67" t="str">
        <f t="shared" si="16"/>
        <v>Jan</v>
      </c>
      <c r="I526" s="9">
        <f t="shared" ca="1" si="17"/>
        <v>15</v>
      </c>
      <c r="J526" s="8" t="s">
        <v>34</v>
      </c>
      <c r="K526" s="7">
        <v>88490</v>
      </c>
      <c r="L526" s="6">
        <v>4</v>
      </c>
      <c r="M526" s="106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5">
      <c r="A527" s="1" t="s">
        <v>87</v>
      </c>
      <c r="B527" s="12" t="s">
        <v>17</v>
      </c>
      <c r="C527" s="1" t="s">
        <v>22</v>
      </c>
      <c r="D527" s="85">
        <v>959750235</v>
      </c>
      <c r="E527" s="88">
        <v>2528488350</v>
      </c>
      <c r="F527" s="1" t="s">
        <v>5</v>
      </c>
      <c r="G527" s="108">
        <v>41138</v>
      </c>
      <c r="H527" s="67" t="str">
        <f t="shared" si="16"/>
        <v>Aug</v>
      </c>
      <c r="I527" s="9">
        <f t="shared" ca="1" si="17"/>
        <v>4</v>
      </c>
      <c r="J527" s="8" t="s">
        <v>32</v>
      </c>
      <c r="K527" s="7">
        <v>65030</v>
      </c>
      <c r="L527" s="6">
        <v>4</v>
      </c>
      <c r="M527" s="106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25">
      <c r="A528" s="1" t="s">
        <v>104</v>
      </c>
      <c r="B528" s="12" t="s">
        <v>13</v>
      </c>
      <c r="C528" s="1" t="s">
        <v>22</v>
      </c>
      <c r="D528" s="85">
        <v>569882669</v>
      </c>
      <c r="E528" s="88">
        <v>2523122083</v>
      </c>
      <c r="F528" s="1" t="s">
        <v>5</v>
      </c>
      <c r="G528" s="108">
        <v>38569</v>
      </c>
      <c r="H528" s="67" t="str">
        <f t="shared" si="16"/>
        <v>Aug</v>
      </c>
      <c r="I528" s="9">
        <f t="shared" ca="1" si="17"/>
        <v>11</v>
      </c>
      <c r="J528" s="8" t="s">
        <v>34</v>
      </c>
      <c r="K528" s="7">
        <v>54120</v>
      </c>
      <c r="L528" s="6">
        <v>2</v>
      </c>
      <c r="M528" s="106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25">
      <c r="A529" s="1" t="s">
        <v>664</v>
      </c>
      <c r="B529" s="12" t="s">
        <v>10</v>
      </c>
      <c r="C529" s="1" t="s">
        <v>22</v>
      </c>
      <c r="D529" s="85">
        <v>369210573</v>
      </c>
      <c r="E529" s="88">
        <v>2526555049</v>
      </c>
      <c r="F529" s="1" t="s">
        <v>15</v>
      </c>
      <c r="G529" s="108">
        <v>37218</v>
      </c>
      <c r="H529" s="67" t="str">
        <f t="shared" si="16"/>
        <v>Nov</v>
      </c>
      <c r="I529" s="9">
        <f t="shared" ca="1" si="17"/>
        <v>14</v>
      </c>
      <c r="J529" s="8" t="s">
        <v>4</v>
      </c>
      <c r="K529" s="7">
        <v>26970</v>
      </c>
      <c r="L529" s="6">
        <v>4</v>
      </c>
      <c r="M529" s="106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25">
      <c r="A530" s="1" t="s">
        <v>374</v>
      </c>
      <c r="B530" s="12" t="s">
        <v>17</v>
      </c>
      <c r="C530" s="1" t="s">
        <v>22</v>
      </c>
      <c r="D530" s="85">
        <v>317193890</v>
      </c>
      <c r="E530" s="88">
        <v>9192350434</v>
      </c>
      <c r="F530" s="1" t="s">
        <v>5</v>
      </c>
      <c r="G530" s="108">
        <v>35170</v>
      </c>
      <c r="H530" s="67" t="str">
        <f t="shared" si="16"/>
        <v>Apr</v>
      </c>
      <c r="I530" s="9">
        <f t="shared" ca="1" si="17"/>
        <v>20</v>
      </c>
      <c r="J530" s="8" t="s">
        <v>19</v>
      </c>
      <c r="K530" s="7">
        <v>83300</v>
      </c>
      <c r="L530" s="6">
        <v>2</v>
      </c>
      <c r="M530" s="106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5">
      <c r="A531" s="1" t="s">
        <v>419</v>
      </c>
      <c r="B531" s="12" t="s">
        <v>13</v>
      </c>
      <c r="C531" s="1" t="s">
        <v>22</v>
      </c>
      <c r="D531" s="85">
        <v>552528553</v>
      </c>
      <c r="E531" s="88">
        <v>9194310812</v>
      </c>
      <c r="F531" s="1" t="s">
        <v>0</v>
      </c>
      <c r="G531" s="108">
        <v>37341</v>
      </c>
      <c r="H531" s="67" t="str">
        <f t="shared" si="16"/>
        <v>Mar</v>
      </c>
      <c r="I531" s="9">
        <f t="shared" ca="1" si="17"/>
        <v>14</v>
      </c>
      <c r="J531" s="8"/>
      <c r="K531" s="7">
        <v>44420</v>
      </c>
      <c r="L531" s="6">
        <v>4</v>
      </c>
      <c r="M531" s="106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5">
      <c r="A532" s="1" t="s">
        <v>280</v>
      </c>
      <c r="B532" s="12" t="s">
        <v>10</v>
      </c>
      <c r="C532" s="1" t="s">
        <v>22</v>
      </c>
      <c r="D532" s="85">
        <v>886332647</v>
      </c>
      <c r="E532" s="88">
        <v>2526698101</v>
      </c>
      <c r="F532" s="1" t="s">
        <v>5</v>
      </c>
      <c r="G532" s="108">
        <v>38849</v>
      </c>
      <c r="H532" s="67" t="str">
        <f t="shared" si="16"/>
        <v>May</v>
      </c>
      <c r="I532" s="9">
        <f t="shared" ca="1" si="17"/>
        <v>10</v>
      </c>
      <c r="J532" s="8" t="s">
        <v>34</v>
      </c>
      <c r="K532" s="7">
        <v>92290</v>
      </c>
      <c r="L532" s="6">
        <v>2</v>
      </c>
      <c r="M532" s="106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5">
      <c r="A533" s="1" t="s">
        <v>505</v>
      </c>
      <c r="B533" s="12" t="s">
        <v>17</v>
      </c>
      <c r="C533" s="1" t="s">
        <v>22</v>
      </c>
      <c r="D533" s="85">
        <v>191359642</v>
      </c>
      <c r="E533" s="88">
        <v>2528687353</v>
      </c>
      <c r="F533" s="1" t="s">
        <v>5</v>
      </c>
      <c r="G533" s="108">
        <v>34362</v>
      </c>
      <c r="H533" s="67" t="str">
        <f t="shared" si="16"/>
        <v>Jan</v>
      </c>
      <c r="I533" s="9">
        <f t="shared" ca="1" si="17"/>
        <v>22</v>
      </c>
      <c r="J533" s="8" t="s">
        <v>32</v>
      </c>
      <c r="K533" s="7">
        <v>28910</v>
      </c>
      <c r="L533" s="6">
        <v>4</v>
      </c>
      <c r="M533" s="106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5">
      <c r="A534" s="1" t="s">
        <v>200</v>
      </c>
      <c r="B534" s="12" t="s">
        <v>17</v>
      </c>
      <c r="C534" s="1" t="s">
        <v>22</v>
      </c>
      <c r="D534" s="85">
        <v>387131597</v>
      </c>
      <c r="E534" s="88">
        <v>9191963194</v>
      </c>
      <c r="F534" s="1" t="s">
        <v>12</v>
      </c>
      <c r="G534" s="108">
        <v>34516</v>
      </c>
      <c r="H534" s="67" t="str">
        <f t="shared" si="16"/>
        <v>Jul</v>
      </c>
      <c r="I534" s="9">
        <f t="shared" ca="1" si="17"/>
        <v>22</v>
      </c>
      <c r="J534" s="8"/>
      <c r="K534" s="7">
        <v>63300</v>
      </c>
      <c r="L534" s="6">
        <v>1</v>
      </c>
      <c r="M534" s="106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5">
      <c r="A535" s="1" t="s">
        <v>299</v>
      </c>
      <c r="B535" s="12" t="s">
        <v>13</v>
      </c>
      <c r="C535" s="1" t="s">
        <v>22</v>
      </c>
      <c r="D535" s="85">
        <v>556327593</v>
      </c>
      <c r="E535" s="88">
        <v>2523324762</v>
      </c>
      <c r="F535" s="1" t="s">
        <v>12</v>
      </c>
      <c r="G535" s="108">
        <v>36302</v>
      </c>
      <c r="H535" s="67" t="str">
        <f t="shared" si="16"/>
        <v>May</v>
      </c>
      <c r="I535" s="9">
        <f t="shared" ca="1" si="17"/>
        <v>17</v>
      </c>
      <c r="J535" s="8"/>
      <c r="K535" s="7">
        <v>72080</v>
      </c>
      <c r="L535" s="6">
        <v>2</v>
      </c>
      <c r="M535" s="106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5">
      <c r="A536" s="1" t="s">
        <v>219</v>
      </c>
      <c r="B536" s="12" t="s">
        <v>13</v>
      </c>
      <c r="C536" s="1" t="s">
        <v>22</v>
      </c>
      <c r="D536" s="85">
        <v>160662505</v>
      </c>
      <c r="E536" s="88">
        <v>2526427045</v>
      </c>
      <c r="F536" s="1" t="s">
        <v>12</v>
      </c>
      <c r="G536" s="108">
        <v>38527</v>
      </c>
      <c r="H536" s="67" t="str">
        <f t="shared" si="16"/>
        <v>Jun</v>
      </c>
      <c r="I536" s="9">
        <f t="shared" ca="1" si="17"/>
        <v>11</v>
      </c>
      <c r="J536" s="8"/>
      <c r="K536" s="7">
        <v>73900</v>
      </c>
      <c r="L536" s="6">
        <v>3</v>
      </c>
      <c r="M536" s="106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5">
      <c r="A537" s="1" t="s">
        <v>165</v>
      </c>
      <c r="B537" s="12" t="s">
        <v>17</v>
      </c>
      <c r="C537" s="1" t="s">
        <v>22</v>
      </c>
      <c r="D537" s="85">
        <v>330879921</v>
      </c>
      <c r="E537" s="88">
        <v>9195691314</v>
      </c>
      <c r="F537" s="1" t="s">
        <v>5</v>
      </c>
      <c r="G537" s="108">
        <v>37089</v>
      </c>
      <c r="H537" s="67" t="str">
        <f t="shared" si="16"/>
        <v>Jul</v>
      </c>
      <c r="I537" s="9">
        <f t="shared" ca="1" si="17"/>
        <v>15</v>
      </c>
      <c r="J537" s="8" t="s">
        <v>19</v>
      </c>
      <c r="K537" s="7">
        <v>65500</v>
      </c>
      <c r="L537" s="6">
        <v>4</v>
      </c>
      <c r="M537" s="106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5">
      <c r="A538" s="1" t="s">
        <v>546</v>
      </c>
      <c r="B538" s="12" t="s">
        <v>13</v>
      </c>
      <c r="C538" s="1" t="s">
        <v>22</v>
      </c>
      <c r="D538" s="85">
        <v>468234190</v>
      </c>
      <c r="E538" s="88">
        <v>2521569304</v>
      </c>
      <c r="F538" s="1" t="s">
        <v>5</v>
      </c>
      <c r="G538" s="108">
        <v>36170</v>
      </c>
      <c r="H538" s="67" t="str">
        <f t="shared" si="16"/>
        <v>Jan</v>
      </c>
      <c r="I538" s="9">
        <f t="shared" ca="1" si="17"/>
        <v>17</v>
      </c>
      <c r="J538" s="8" t="s">
        <v>8</v>
      </c>
      <c r="K538" s="7">
        <v>87170</v>
      </c>
      <c r="L538" s="6">
        <v>3</v>
      </c>
      <c r="M538" s="106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5">
      <c r="A539" s="1" t="s">
        <v>357</v>
      </c>
      <c r="B539" s="12" t="s">
        <v>17</v>
      </c>
      <c r="C539" s="1" t="s">
        <v>22</v>
      </c>
      <c r="D539" s="85">
        <v>379340654</v>
      </c>
      <c r="E539" s="88">
        <v>9198642893</v>
      </c>
      <c r="F539" s="1" t="s">
        <v>5</v>
      </c>
      <c r="G539" s="108">
        <v>36991</v>
      </c>
      <c r="H539" s="67" t="str">
        <f t="shared" si="16"/>
        <v>Apr</v>
      </c>
      <c r="I539" s="9">
        <f t="shared" ca="1" si="17"/>
        <v>15</v>
      </c>
      <c r="J539" s="8" t="s">
        <v>8</v>
      </c>
      <c r="K539" s="7">
        <v>44270</v>
      </c>
      <c r="L539" s="6">
        <v>1</v>
      </c>
      <c r="M539" s="106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5">
      <c r="A540" s="1" t="s">
        <v>301</v>
      </c>
      <c r="B540" s="12" t="s">
        <v>39</v>
      </c>
      <c r="C540" s="1" t="s">
        <v>22</v>
      </c>
      <c r="D540" s="85">
        <v>174159111</v>
      </c>
      <c r="E540" s="88">
        <v>9191675237</v>
      </c>
      <c r="F540" s="1" t="s">
        <v>5</v>
      </c>
      <c r="G540" s="108">
        <v>36287</v>
      </c>
      <c r="H540" s="67" t="str">
        <f t="shared" si="16"/>
        <v>May</v>
      </c>
      <c r="I540" s="9">
        <f t="shared" ca="1" si="17"/>
        <v>17</v>
      </c>
      <c r="J540" s="8" t="s">
        <v>34</v>
      </c>
      <c r="K540" s="7">
        <v>87240</v>
      </c>
      <c r="L540" s="6">
        <v>5</v>
      </c>
      <c r="M540" s="106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5">
      <c r="A541" s="1" t="s">
        <v>93</v>
      </c>
      <c r="B541" s="12" t="s">
        <v>17</v>
      </c>
      <c r="C541" s="1" t="s">
        <v>22</v>
      </c>
      <c r="D541" s="85">
        <v>990843236</v>
      </c>
      <c r="E541" s="88">
        <v>9196245634</v>
      </c>
      <c r="F541" s="1" t="s">
        <v>5</v>
      </c>
      <c r="G541" s="108">
        <v>40048</v>
      </c>
      <c r="H541" s="67" t="str">
        <f t="shared" si="16"/>
        <v>Aug</v>
      </c>
      <c r="I541" s="9">
        <f t="shared" ca="1" si="17"/>
        <v>7</v>
      </c>
      <c r="J541" s="8" t="s">
        <v>4</v>
      </c>
      <c r="K541" s="7">
        <v>79060</v>
      </c>
      <c r="L541" s="6">
        <v>5</v>
      </c>
      <c r="M541" s="106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5">
      <c r="A542" s="1" t="s">
        <v>551</v>
      </c>
      <c r="B542" s="12" t="s">
        <v>39</v>
      </c>
      <c r="C542" s="1" t="s">
        <v>22</v>
      </c>
      <c r="D542" s="85">
        <v>160184934</v>
      </c>
      <c r="E542" s="88">
        <v>9191191599</v>
      </c>
      <c r="F542" s="1" t="s">
        <v>15</v>
      </c>
      <c r="G542" s="108">
        <v>35794</v>
      </c>
      <c r="H542" s="67" t="str">
        <f t="shared" si="16"/>
        <v>Dec</v>
      </c>
      <c r="I542" s="9">
        <f t="shared" ca="1" si="17"/>
        <v>18</v>
      </c>
      <c r="J542" s="8" t="s">
        <v>4</v>
      </c>
      <c r="K542" s="7">
        <v>12840</v>
      </c>
      <c r="L542" s="6">
        <v>4</v>
      </c>
      <c r="M542" s="106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5">
      <c r="A543" s="1" t="s">
        <v>448</v>
      </c>
      <c r="B543" s="12" t="s">
        <v>17</v>
      </c>
      <c r="C543" s="1" t="s">
        <v>22</v>
      </c>
      <c r="D543" s="85">
        <v>462650472</v>
      </c>
      <c r="E543" s="88">
        <v>2521276517</v>
      </c>
      <c r="F543" s="1" t="s">
        <v>12</v>
      </c>
      <c r="G543" s="108">
        <v>34403</v>
      </c>
      <c r="H543" s="67" t="str">
        <f t="shared" si="16"/>
        <v>Mar</v>
      </c>
      <c r="I543" s="9">
        <f t="shared" ca="1" si="17"/>
        <v>22</v>
      </c>
      <c r="J543" s="8"/>
      <c r="K543" s="7">
        <v>95260</v>
      </c>
      <c r="L543" s="6">
        <v>1</v>
      </c>
      <c r="M543" s="106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5">
      <c r="A544" s="1" t="s">
        <v>334</v>
      </c>
      <c r="B544" s="12" t="s">
        <v>13</v>
      </c>
      <c r="C544" s="1" t="s">
        <v>22</v>
      </c>
      <c r="D544" s="85">
        <v>115404531</v>
      </c>
      <c r="E544" s="88">
        <v>2522636321</v>
      </c>
      <c r="F544" s="1" t="s">
        <v>15</v>
      </c>
      <c r="G544" s="108">
        <v>39174</v>
      </c>
      <c r="H544" s="67" t="str">
        <f t="shared" si="16"/>
        <v>Apr</v>
      </c>
      <c r="I544" s="9">
        <f t="shared" ca="1" si="17"/>
        <v>9</v>
      </c>
      <c r="J544" s="8" t="s">
        <v>4</v>
      </c>
      <c r="K544" s="7">
        <v>39480</v>
      </c>
      <c r="L544" s="6">
        <v>2</v>
      </c>
      <c r="M544" s="106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5">
      <c r="A545" s="1" t="s">
        <v>573</v>
      </c>
      <c r="B545" s="12" t="s">
        <v>56</v>
      </c>
      <c r="C545" s="1" t="s">
        <v>22</v>
      </c>
      <c r="D545" s="85">
        <v>618775364</v>
      </c>
      <c r="E545" s="88">
        <v>9193182167</v>
      </c>
      <c r="F545" s="1" t="s">
        <v>15</v>
      </c>
      <c r="G545" s="108">
        <v>41255</v>
      </c>
      <c r="H545" s="67" t="str">
        <f t="shared" si="16"/>
        <v>Dec</v>
      </c>
      <c r="I545" s="9">
        <f t="shared" ca="1" si="17"/>
        <v>3</v>
      </c>
      <c r="J545" s="8" t="s">
        <v>4</v>
      </c>
      <c r="K545" s="7">
        <v>58440</v>
      </c>
      <c r="L545" s="6">
        <v>3</v>
      </c>
      <c r="M545" s="106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5">
      <c r="A546" s="1" t="s">
        <v>465</v>
      </c>
      <c r="B546" s="12" t="s">
        <v>17</v>
      </c>
      <c r="C546" s="1" t="s">
        <v>22</v>
      </c>
      <c r="D546" s="85">
        <v>737152868</v>
      </c>
      <c r="E546" s="88">
        <v>9191124357</v>
      </c>
      <c r="F546" s="1" t="s">
        <v>5</v>
      </c>
      <c r="G546" s="108">
        <v>37674</v>
      </c>
      <c r="H546" s="67" t="str">
        <f t="shared" si="16"/>
        <v>Feb</v>
      </c>
      <c r="I546" s="9">
        <f t="shared" ca="1" si="17"/>
        <v>13</v>
      </c>
      <c r="J546" s="8" t="s">
        <v>8</v>
      </c>
      <c r="K546" s="7">
        <v>58000</v>
      </c>
      <c r="L546" s="6">
        <v>1</v>
      </c>
      <c r="M546" s="106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5">
      <c r="A547" s="1" t="s">
        <v>151</v>
      </c>
      <c r="B547" s="12" t="s">
        <v>13</v>
      </c>
      <c r="C547" s="1" t="s">
        <v>22</v>
      </c>
      <c r="D547" s="85">
        <v>161439267</v>
      </c>
      <c r="E547" s="88">
        <v>9197600603</v>
      </c>
      <c r="F547" s="1" t="s">
        <v>5</v>
      </c>
      <c r="G547" s="108">
        <v>40363</v>
      </c>
      <c r="H547" s="67" t="str">
        <f t="shared" si="16"/>
        <v>Jul</v>
      </c>
      <c r="I547" s="9">
        <f t="shared" ca="1" si="17"/>
        <v>6</v>
      </c>
      <c r="J547" s="8" t="s">
        <v>34</v>
      </c>
      <c r="K547" s="7">
        <v>50420</v>
      </c>
      <c r="L547" s="6">
        <v>5</v>
      </c>
      <c r="M547" s="106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5">
      <c r="A548" s="1" t="s">
        <v>497</v>
      </c>
      <c r="B548" s="12" t="s">
        <v>17</v>
      </c>
      <c r="C548" s="1" t="s">
        <v>22</v>
      </c>
      <c r="D548" s="85">
        <v>336025451</v>
      </c>
      <c r="E548" s="88">
        <v>2522344526</v>
      </c>
      <c r="F548" s="1" t="s">
        <v>12</v>
      </c>
      <c r="G548" s="108">
        <v>35479</v>
      </c>
      <c r="H548" s="67" t="str">
        <f t="shared" si="16"/>
        <v>Feb</v>
      </c>
      <c r="I548" s="9">
        <f t="shared" ca="1" si="17"/>
        <v>19</v>
      </c>
      <c r="J548" s="8"/>
      <c r="K548" s="7">
        <v>67980</v>
      </c>
      <c r="L548" s="6">
        <v>1</v>
      </c>
      <c r="M548" s="106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5">
      <c r="A549" s="1" t="s">
        <v>457</v>
      </c>
      <c r="B549" s="12" t="s">
        <v>2</v>
      </c>
      <c r="C549" s="1" t="s">
        <v>22</v>
      </c>
      <c r="D549" s="85">
        <v>289103201</v>
      </c>
      <c r="E549" s="88">
        <v>9192921836</v>
      </c>
      <c r="F549" s="1" t="s">
        <v>5</v>
      </c>
      <c r="G549" s="108">
        <v>40218</v>
      </c>
      <c r="H549" s="67" t="str">
        <f t="shared" si="16"/>
        <v>Feb</v>
      </c>
      <c r="I549" s="9">
        <f t="shared" ca="1" si="17"/>
        <v>6</v>
      </c>
      <c r="J549" s="8" t="s">
        <v>32</v>
      </c>
      <c r="K549" s="7">
        <v>88600</v>
      </c>
      <c r="L549" s="6">
        <v>2</v>
      </c>
      <c r="M549" s="106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5">
      <c r="A550" s="1" t="s">
        <v>71</v>
      </c>
      <c r="B550" s="12" t="s">
        <v>17</v>
      </c>
      <c r="C550" s="1" t="s">
        <v>22</v>
      </c>
      <c r="D550" s="85">
        <v>638495756</v>
      </c>
      <c r="E550" s="88">
        <v>2528922252</v>
      </c>
      <c r="F550" s="1" t="s">
        <v>12</v>
      </c>
      <c r="G550" s="108">
        <v>34950</v>
      </c>
      <c r="H550" s="67" t="str">
        <f t="shared" si="16"/>
        <v>Sep</v>
      </c>
      <c r="I550" s="9">
        <f t="shared" ca="1" si="17"/>
        <v>21</v>
      </c>
      <c r="J550" s="8"/>
      <c r="K550" s="7">
        <v>53660</v>
      </c>
      <c r="L550" s="6">
        <v>2</v>
      </c>
      <c r="M550" s="106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5">
      <c r="A551" s="1" t="s">
        <v>470</v>
      </c>
      <c r="B551" s="12" t="s">
        <v>17</v>
      </c>
      <c r="C551" s="1" t="s">
        <v>22</v>
      </c>
      <c r="D551" s="85">
        <v>548283920</v>
      </c>
      <c r="E551" s="88">
        <v>2524160215</v>
      </c>
      <c r="F551" s="1" t="s">
        <v>12</v>
      </c>
      <c r="G551" s="108">
        <v>37298</v>
      </c>
      <c r="H551" s="67" t="str">
        <f t="shared" si="16"/>
        <v>Feb</v>
      </c>
      <c r="I551" s="9">
        <f t="shared" ca="1" si="17"/>
        <v>14</v>
      </c>
      <c r="J551" s="8"/>
      <c r="K551" s="7">
        <v>69590</v>
      </c>
      <c r="L551" s="6">
        <v>5</v>
      </c>
      <c r="M551" s="106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25">
      <c r="A552" s="1" t="s">
        <v>150</v>
      </c>
      <c r="B552" s="12" t="s">
        <v>10</v>
      </c>
      <c r="C552" s="1" t="s">
        <v>22</v>
      </c>
      <c r="D552" s="85">
        <v>486016972</v>
      </c>
      <c r="E552" s="88">
        <v>9194532398</v>
      </c>
      <c r="F552" s="1" t="s">
        <v>15</v>
      </c>
      <c r="G552" s="108">
        <v>40729</v>
      </c>
      <c r="H552" s="67" t="str">
        <f t="shared" si="16"/>
        <v>Jul</v>
      </c>
      <c r="I552" s="9">
        <f t="shared" ca="1" si="17"/>
        <v>5</v>
      </c>
      <c r="J552" s="8" t="s">
        <v>32</v>
      </c>
      <c r="K552" s="7">
        <v>54680</v>
      </c>
      <c r="L552" s="6">
        <v>1</v>
      </c>
      <c r="M552" s="106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5">
      <c r="A553" s="1" t="s">
        <v>286</v>
      </c>
      <c r="B553" s="12" t="s">
        <v>17</v>
      </c>
      <c r="C553" s="1" t="s">
        <v>22</v>
      </c>
      <c r="D553" s="85">
        <v>867100310</v>
      </c>
      <c r="E553" s="88">
        <v>9191376854</v>
      </c>
      <c r="F553" s="1" t="s">
        <v>5</v>
      </c>
      <c r="G553" s="108">
        <v>37394</v>
      </c>
      <c r="H553" s="67" t="str">
        <f t="shared" si="16"/>
        <v>May</v>
      </c>
      <c r="I553" s="9">
        <f t="shared" ca="1" si="17"/>
        <v>14</v>
      </c>
      <c r="J553" s="8" t="s">
        <v>4</v>
      </c>
      <c r="K553" s="7">
        <v>79090</v>
      </c>
      <c r="L553" s="6">
        <v>5</v>
      </c>
      <c r="M553" s="106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5">
      <c r="A554" s="1" t="s">
        <v>461</v>
      </c>
      <c r="B554" s="12" t="s">
        <v>17</v>
      </c>
      <c r="C554" s="1" t="s">
        <v>22</v>
      </c>
      <c r="D554" s="85">
        <v>339488599</v>
      </c>
      <c r="E554" s="88">
        <v>9191267946</v>
      </c>
      <c r="F554" s="1" t="s">
        <v>12</v>
      </c>
      <c r="G554" s="108">
        <v>38405</v>
      </c>
      <c r="H554" s="67" t="str">
        <f t="shared" si="16"/>
        <v>Feb</v>
      </c>
      <c r="I554" s="9">
        <f t="shared" ca="1" si="17"/>
        <v>11</v>
      </c>
      <c r="J554" s="8"/>
      <c r="K554" s="7">
        <v>72080</v>
      </c>
      <c r="L554" s="6">
        <v>3</v>
      </c>
      <c r="M554" s="106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5">
      <c r="A555" s="1" t="s">
        <v>67</v>
      </c>
      <c r="B555" s="12" t="s">
        <v>10</v>
      </c>
      <c r="C555" s="1" t="s">
        <v>22</v>
      </c>
      <c r="D555" s="85">
        <v>422463024</v>
      </c>
      <c r="E555" s="88">
        <v>9193876146</v>
      </c>
      <c r="F555" s="1" t="s">
        <v>5</v>
      </c>
      <c r="G555" s="108">
        <v>35694</v>
      </c>
      <c r="H555" s="67" t="str">
        <f t="shared" si="16"/>
        <v>Sep</v>
      </c>
      <c r="I555" s="9">
        <f t="shared" ca="1" si="17"/>
        <v>19</v>
      </c>
      <c r="J555" s="8" t="s">
        <v>34</v>
      </c>
      <c r="K555" s="7">
        <v>106580</v>
      </c>
      <c r="L555" s="6">
        <v>2</v>
      </c>
      <c r="M555" s="106"/>
      <c r="N555" s="2"/>
      <c r="O555" s="1"/>
      <c r="P555" s="5"/>
      <c r="Q555" s="5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5">
      <c r="A556" s="1" t="s">
        <v>202</v>
      </c>
      <c r="B556" s="12" t="s">
        <v>39</v>
      </c>
      <c r="C556" s="1" t="s">
        <v>22</v>
      </c>
      <c r="D556" s="85">
        <v>484442635</v>
      </c>
      <c r="E556" s="88">
        <v>2527194901</v>
      </c>
      <c r="F556" s="1" t="s">
        <v>12</v>
      </c>
      <c r="G556" s="108">
        <v>34168</v>
      </c>
      <c r="H556" s="67" t="str">
        <f t="shared" si="16"/>
        <v>Jul</v>
      </c>
      <c r="I556" s="9">
        <f t="shared" ca="1" si="17"/>
        <v>23</v>
      </c>
      <c r="J556" s="8"/>
      <c r="K556" s="7">
        <v>27620</v>
      </c>
      <c r="L556" s="6">
        <v>4</v>
      </c>
      <c r="M556" s="106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25">
      <c r="A557" s="1" t="s">
        <v>266</v>
      </c>
      <c r="B557" s="12" t="s">
        <v>39</v>
      </c>
      <c r="C557" s="1" t="s">
        <v>22</v>
      </c>
      <c r="D557" s="85">
        <v>570756015</v>
      </c>
      <c r="E557" s="88">
        <v>2522238535</v>
      </c>
      <c r="F557" s="1" t="s">
        <v>15</v>
      </c>
      <c r="G557" s="108">
        <v>41422</v>
      </c>
      <c r="H557" s="67" t="str">
        <f t="shared" si="16"/>
        <v>May</v>
      </c>
      <c r="I557" s="9">
        <f t="shared" ca="1" si="17"/>
        <v>3</v>
      </c>
      <c r="J557" s="8" t="s">
        <v>34</v>
      </c>
      <c r="K557" s="7">
        <v>59230</v>
      </c>
      <c r="L557" s="6">
        <v>5</v>
      </c>
      <c r="M557" s="106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25">
      <c r="A558" s="1" t="s">
        <v>321</v>
      </c>
      <c r="B558" s="12" t="s">
        <v>17</v>
      </c>
      <c r="C558" s="1" t="s">
        <v>22</v>
      </c>
      <c r="D558" s="85">
        <v>456809622</v>
      </c>
      <c r="E558" s="88">
        <v>2523046338</v>
      </c>
      <c r="F558" s="1" t="s">
        <v>5</v>
      </c>
      <c r="G558" s="108">
        <v>34099</v>
      </c>
      <c r="H558" s="67" t="str">
        <f t="shared" si="16"/>
        <v>May</v>
      </c>
      <c r="I558" s="9">
        <f t="shared" ca="1" si="17"/>
        <v>23</v>
      </c>
      <c r="J558" s="8" t="s">
        <v>32</v>
      </c>
      <c r="K558" s="7">
        <v>57700</v>
      </c>
      <c r="L558" s="6">
        <v>2</v>
      </c>
      <c r="M558" s="106"/>
      <c r="N558" s="2"/>
      <c r="O558" s="1"/>
      <c r="P558" s="5"/>
      <c r="Q558" s="5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25">
      <c r="A559" s="1" t="s">
        <v>589</v>
      </c>
      <c r="B559" s="12" t="s">
        <v>2</v>
      </c>
      <c r="C559" s="1" t="s">
        <v>22</v>
      </c>
      <c r="D559" s="85">
        <v>546159785</v>
      </c>
      <c r="E559" s="88">
        <v>2522924678</v>
      </c>
      <c r="F559" s="1" t="s">
        <v>5</v>
      </c>
      <c r="G559" s="108">
        <v>39424</v>
      </c>
      <c r="H559" s="67" t="str">
        <f t="shared" si="16"/>
        <v>Dec</v>
      </c>
      <c r="I559" s="9">
        <f t="shared" ca="1" si="17"/>
        <v>8</v>
      </c>
      <c r="J559" s="8" t="s">
        <v>8</v>
      </c>
      <c r="K559" s="7">
        <v>73600</v>
      </c>
      <c r="L559" s="6">
        <v>2</v>
      </c>
      <c r="M559" s="106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25">
      <c r="A560" s="1" t="s">
        <v>33</v>
      </c>
      <c r="B560" s="12" t="s">
        <v>13</v>
      </c>
      <c r="C560" s="1" t="s">
        <v>22</v>
      </c>
      <c r="D560" s="85">
        <v>592519945</v>
      </c>
      <c r="E560" s="88">
        <v>9195990200</v>
      </c>
      <c r="F560" s="1" t="s">
        <v>5</v>
      </c>
      <c r="G560" s="108">
        <v>40447</v>
      </c>
      <c r="H560" s="67" t="str">
        <f t="shared" si="16"/>
        <v>Sep</v>
      </c>
      <c r="I560" s="9">
        <f t="shared" ca="1" si="17"/>
        <v>6</v>
      </c>
      <c r="J560" s="8" t="s">
        <v>32</v>
      </c>
      <c r="K560" s="7">
        <v>53580</v>
      </c>
      <c r="L560" s="6">
        <v>1</v>
      </c>
      <c r="M560" s="106"/>
      <c r="N560" s="2"/>
      <c r="O560" s="1"/>
      <c r="P560" s="5"/>
      <c r="Q560" s="5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25">
      <c r="A561" s="1" t="s">
        <v>751</v>
      </c>
      <c r="B561" s="12" t="s">
        <v>39</v>
      </c>
      <c r="C561" s="1" t="s">
        <v>22</v>
      </c>
      <c r="D561" s="85">
        <v>828715080</v>
      </c>
      <c r="E561" s="88">
        <v>2523613559</v>
      </c>
      <c r="F561" s="1" t="s">
        <v>5</v>
      </c>
      <c r="G561" s="108">
        <v>36095</v>
      </c>
      <c r="H561" s="67" t="str">
        <f t="shared" si="16"/>
        <v>Oct</v>
      </c>
      <c r="I561" s="9">
        <f t="shared" ca="1" si="17"/>
        <v>18</v>
      </c>
      <c r="J561" s="8" t="s">
        <v>34</v>
      </c>
      <c r="K561" s="7">
        <v>73380</v>
      </c>
      <c r="L561" s="6">
        <v>2</v>
      </c>
      <c r="M561" s="106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25">
      <c r="A562" s="1" t="s">
        <v>268</v>
      </c>
      <c r="B562" s="12" t="s">
        <v>17</v>
      </c>
      <c r="C562" s="1" t="s">
        <v>22</v>
      </c>
      <c r="D562" s="85">
        <v>278129861</v>
      </c>
      <c r="E562" s="88">
        <v>9198561246</v>
      </c>
      <c r="F562" s="1" t="s">
        <v>12</v>
      </c>
      <c r="G562" s="108">
        <v>41405</v>
      </c>
      <c r="H562" s="67" t="str">
        <f t="shared" si="16"/>
        <v>May</v>
      </c>
      <c r="I562" s="9">
        <f t="shared" ca="1" si="17"/>
        <v>3</v>
      </c>
      <c r="J562" s="8"/>
      <c r="K562" s="7">
        <v>47460</v>
      </c>
      <c r="L562" s="6">
        <v>5</v>
      </c>
      <c r="M562" s="106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25">
      <c r="A563" s="1" t="s">
        <v>315</v>
      </c>
      <c r="B563" s="12" t="s">
        <v>17</v>
      </c>
      <c r="C563" s="1" t="s">
        <v>22</v>
      </c>
      <c r="D563" s="85">
        <v>503036433</v>
      </c>
      <c r="E563" s="88">
        <v>9192453666</v>
      </c>
      <c r="F563" s="1" t="s">
        <v>5</v>
      </c>
      <c r="G563" s="108">
        <v>34461</v>
      </c>
      <c r="H563" s="67" t="str">
        <f t="shared" si="16"/>
        <v>May</v>
      </c>
      <c r="I563" s="9">
        <f t="shared" ca="1" si="17"/>
        <v>22</v>
      </c>
      <c r="J563" s="8" t="s">
        <v>19</v>
      </c>
      <c r="K563" s="7">
        <v>93290</v>
      </c>
      <c r="L563" s="6">
        <v>1</v>
      </c>
      <c r="M563" s="106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25">
      <c r="A564" s="1" t="s">
        <v>224</v>
      </c>
      <c r="B564" s="12" t="s">
        <v>17</v>
      </c>
      <c r="C564" s="1" t="s">
        <v>22</v>
      </c>
      <c r="D564" s="85">
        <v>505680981</v>
      </c>
      <c r="E564" s="88">
        <v>2527557761</v>
      </c>
      <c r="F564" s="1" t="s">
        <v>5</v>
      </c>
      <c r="G564" s="108">
        <v>38139</v>
      </c>
      <c r="H564" s="67" t="str">
        <f t="shared" si="16"/>
        <v>Jun</v>
      </c>
      <c r="I564" s="9">
        <f t="shared" ca="1" si="17"/>
        <v>12</v>
      </c>
      <c r="J564" s="8" t="s">
        <v>32</v>
      </c>
      <c r="K564" s="7">
        <v>34960</v>
      </c>
      <c r="L564" s="6">
        <v>1</v>
      </c>
      <c r="M564" s="106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25">
      <c r="A565" s="1" t="s">
        <v>79</v>
      </c>
      <c r="B565" s="12" t="s">
        <v>13</v>
      </c>
      <c r="C565" s="1" t="s">
        <v>22</v>
      </c>
      <c r="D565" s="85">
        <v>828395582</v>
      </c>
      <c r="E565" s="88">
        <v>9198591986</v>
      </c>
      <c r="F565" s="1" t="s">
        <v>5</v>
      </c>
      <c r="G565" s="108">
        <v>34574</v>
      </c>
      <c r="H565" s="67" t="str">
        <f t="shared" si="16"/>
        <v>Aug</v>
      </c>
      <c r="I565" s="9">
        <f t="shared" ca="1" si="17"/>
        <v>22</v>
      </c>
      <c r="J565" s="8" t="s">
        <v>8</v>
      </c>
      <c r="K565" s="7">
        <v>86020</v>
      </c>
      <c r="L565" s="6">
        <v>4</v>
      </c>
      <c r="M565" s="106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25">
      <c r="A566" s="1" t="s">
        <v>733</v>
      </c>
      <c r="B566" s="12" t="s">
        <v>13</v>
      </c>
      <c r="C566" s="1" t="s">
        <v>52</v>
      </c>
      <c r="D566" s="85">
        <v>337411408</v>
      </c>
      <c r="E566" s="88">
        <v>9194729409</v>
      </c>
      <c r="F566" s="1" t="s">
        <v>5</v>
      </c>
      <c r="G566" s="108">
        <v>37527</v>
      </c>
      <c r="H566" s="67" t="str">
        <f t="shared" si="16"/>
        <v>Sep</v>
      </c>
      <c r="I566" s="9">
        <f t="shared" ca="1" si="17"/>
        <v>14</v>
      </c>
      <c r="J566" s="8" t="s">
        <v>32</v>
      </c>
      <c r="K566" s="7">
        <v>35110</v>
      </c>
      <c r="L566" s="6">
        <v>4</v>
      </c>
      <c r="M566" s="106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25">
      <c r="A567" s="1" t="s">
        <v>686</v>
      </c>
      <c r="B567" s="12" t="s">
        <v>17</v>
      </c>
      <c r="C567" s="1" t="s">
        <v>52</v>
      </c>
      <c r="D567" s="85">
        <v>709234421</v>
      </c>
      <c r="E567" s="88">
        <v>2523838954</v>
      </c>
      <c r="F567" s="1" t="s">
        <v>5</v>
      </c>
      <c r="G567" s="108">
        <v>35755</v>
      </c>
      <c r="H567" s="67" t="str">
        <f t="shared" si="16"/>
        <v>Nov</v>
      </c>
      <c r="I567" s="9">
        <f t="shared" ca="1" si="17"/>
        <v>18</v>
      </c>
      <c r="J567" s="8" t="s">
        <v>32</v>
      </c>
      <c r="K567" s="7">
        <v>46800</v>
      </c>
      <c r="L567" s="6">
        <v>5</v>
      </c>
      <c r="M567" s="106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25">
      <c r="A568" s="1" t="s">
        <v>779</v>
      </c>
      <c r="B568" s="12" t="s">
        <v>13</v>
      </c>
      <c r="C568" s="1" t="s">
        <v>52</v>
      </c>
      <c r="D568" s="85">
        <v>420739404</v>
      </c>
      <c r="E568" s="88">
        <v>9197785583</v>
      </c>
      <c r="F568" s="1" t="s">
        <v>5</v>
      </c>
      <c r="G568" s="108">
        <v>34270</v>
      </c>
      <c r="H568" s="67" t="str">
        <f t="shared" si="16"/>
        <v>Oct</v>
      </c>
      <c r="I568" s="9">
        <f t="shared" ca="1" si="17"/>
        <v>23</v>
      </c>
      <c r="J568" s="8" t="s">
        <v>4</v>
      </c>
      <c r="K568" s="7">
        <v>29810</v>
      </c>
      <c r="L568" s="6">
        <v>1</v>
      </c>
      <c r="M568" s="106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25">
      <c r="A569" s="1" t="s">
        <v>472</v>
      </c>
      <c r="B569" s="12" t="s">
        <v>39</v>
      </c>
      <c r="C569" s="1" t="s">
        <v>52</v>
      </c>
      <c r="D569" s="85">
        <v>512404764</v>
      </c>
      <c r="E569" s="88">
        <v>9193976775</v>
      </c>
      <c r="F569" s="1" t="s">
        <v>5</v>
      </c>
      <c r="G569" s="108">
        <v>37291</v>
      </c>
      <c r="H569" s="67" t="str">
        <f t="shared" si="16"/>
        <v>Feb</v>
      </c>
      <c r="I569" s="9">
        <f t="shared" ca="1" si="17"/>
        <v>14</v>
      </c>
      <c r="J569" s="8" t="s">
        <v>4</v>
      </c>
      <c r="K569" s="7">
        <v>46800</v>
      </c>
      <c r="L569" s="6">
        <v>3</v>
      </c>
      <c r="M569" s="106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25">
      <c r="A570" s="1" t="s">
        <v>701</v>
      </c>
      <c r="B570" s="12" t="s">
        <v>56</v>
      </c>
      <c r="C570" s="1" t="s">
        <v>52</v>
      </c>
      <c r="D570" s="85">
        <v>265993407</v>
      </c>
      <c r="E570" s="88">
        <v>9193558443</v>
      </c>
      <c r="F570" s="1" t="s">
        <v>12</v>
      </c>
      <c r="G570" s="108">
        <v>34283</v>
      </c>
      <c r="H570" s="67" t="str">
        <f t="shared" si="16"/>
        <v>Nov</v>
      </c>
      <c r="I570" s="9">
        <f t="shared" ca="1" si="17"/>
        <v>22</v>
      </c>
      <c r="J570" s="8"/>
      <c r="K570" s="7">
        <v>107340</v>
      </c>
      <c r="L570" s="6">
        <v>2</v>
      </c>
      <c r="M570" s="106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25">
      <c r="A571" s="1" t="s">
        <v>64</v>
      </c>
      <c r="B571" s="12" t="s">
        <v>17</v>
      </c>
      <c r="C571" s="1" t="s">
        <v>52</v>
      </c>
      <c r="D571" s="85">
        <v>412159105</v>
      </c>
      <c r="E571" s="88">
        <v>9198252392</v>
      </c>
      <c r="F571" s="1" t="s">
        <v>0</v>
      </c>
      <c r="G571" s="108">
        <v>36403</v>
      </c>
      <c r="H571" s="67" t="str">
        <f t="shared" si="16"/>
        <v>Aug</v>
      </c>
      <c r="I571" s="9">
        <f t="shared" ca="1" si="17"/>
        <v>17</v>
      </c>
      <c r="J571" s="8"/>
      <c r="K571" s="7">
        <v>40210</v>
      </c>
      <c r="L571" s="6">
        <v>4</v>
      </c>
      <c r="M571" s="106"/>
      <c r="N571" s="2"/>
      <c r="O571" s="1"/>
      <c r="P571" s="5"/>
      <c r="Q571" s="5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25">
      <c r="A572" s="1" t="s">
        <v>53</v>
      </c>
      <c r="B572" s="12" t="s">
        <v>2</v>
      </c>
      <c r="C572" s="1" t="s">
        <v>52</v>
      </c>
      <c r="D572" s="85">
        <v>889210902</v>
      </c>
      <c r="E572" s="88">
        <v>2527422559</v>
      </c>
      <c r="F572" s="1" t="s">
        <v>5</v>
      </c>
      <c r="G572" s="108">
        <v>37515</v>
      </c>
      <c r="H572" s="67" t="str">
        <f t="shared" si="16"/>
        <v>Sep</v>
      </c>
      <c r="I572" s="9">
        <f t="shared" ca="1" si="17"/>
        <v>14</v>
      </c>
      <c r="J572" s="8" t="s">
        <v>4</v>
      </c>
      <c r="K572" s="7">
        <v>57900</v>
      </c>
      <c r="L572" s="6">
        <v>3</v>
      </c>
      <c r="M572" s="106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25">
      <c r="A573" s="1" t="s">
        <v>607</v>
      </c>
      <c r="B573" s="12" t="s">
        <v>17</v>
      </c>
      <c r="C573" s="1" t="s">
        <v>52</v>
      </c>
      <c r="D573" s="85">
        <v>843632637</v>
      </c>
      <c r="E573" s="88">
        <v>9198545681</v>
      </c>
      <c r="F573" s="1" t="s">
        <v>0</v>
      </c>
      <c r="G573" s="108">
        <v>36862</v>
      </c>
      <c r="H573" s="67" t="str">
        <f t="shared" si="16"/>
        <v>Dec</v>
      </c>
      <c r="I573" s="9">
        <f t="shared" ca="1" si="17"/>
        <v>15</v>
      </c>
      <c r="J573" s="8"/>
      <c r="K573" s="7">
        <v>15400</v>
      </c>
      <c r="L573" s="6">
        <v>5</v>
      </c>
      <c r="M573" s="106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25">
      <c r="A574" s="1" t="s">
        <v>724</v>
      </c>
      <c r="B574" s="12" t="s">
        <v>2</v>
      </c>
      <c r="C574" s="1" t="s">
        <v>52</v>
      </c>
      <c r="D574" s="85">
        <v>313648228</v>
      </c>
      <c r="E574" s="88">
        <v>2524998145</v>
      </c>
      <c r="F574" s="1" t="s">
        <v>5</v>
      </c>
      <c r="G574" s="108">
        <v>38626</v>
      </c>
      <c r="H574" s="67" t="str">
        <f t="shared" si="16"/>
        <v>Oct</v>
      </c>
      <c r="I574" s="9">
        <f t="shared" ca="1" si="17"/>
        <v>11</v>
      </c>
      <c r="J574" s="8" t="s">
        <v>4</v>
      </c>
      <c r="K574" s="7">
        <v>98990</v>
      </c>
      <c r="L574" s="6">
        <v>5</v>
      </c>
      <c r="M574" s="106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25">
      <c r="A575" s="1" t="s">
        <v>618</v>
      </c>
      <c r="B575" s="12" t="s">
        <v>13</v>
      </c>
      <c r="C575" s="1" t="s">
        <v>52</v>
      </c>
      <c r="D575" s="85">
        <v>110726520</v>
      </c>
      <c r="E575" s="88">
        <v>9197963782</v>
      </c>
      <c r="F575" s="1" t="s">
        <v>5</v>
      </c>
      <c r="G575" s="108">
        <v>36498</v>
      </c>
      <c r="H575" s="67" t="str">
        <f t="shared" si="16"/>
        <v>Dec</v>
      </c>
      <c r="I575" s="9">
        <f t="shared" ca="1" si="17"/>
        <v>16</v>
      </c>
      <c r="J575" s="8" t="s">
        <v>32</v>
      </c>
      <c r="K575" s="7">
        <v>94450</v>
      </c>
      <c r="L575" s="6">
        <v>4</v>
      </c>
      <c r="M575" s="106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25">
      <c r="A576" s="1" t="s">
        <v>211</v>
      </c>
      <c r="B576" s="12" t="s">
        <v>13</v>
      </c>
      <c r="C576" s="1" t="s">
        <v>52</v>
      </c>
      <c r="D576" s="85">
        <v>932553359</v>
      </c>
      <c r="E576" s="88">
        <v>9192376215</v>
      </c>
      <c r="F576" s="1" t="s">
        <v>12</v>
      </c>
      <c r="G576" s="108">
        <v>40721</v>
      </c>
      <c r="H576" s="67" t="str">
        <f t="shared" si="16"/>
        <v>Jun</v>
      </c>
      <c r="I576" s="9">
        <f t="shared" ca="1" si="17"/>
        <v>5</v>
      </c>
      <c r="J576" s="8"/>
      <c r="K576" s="7">
        <v>51980</v>
      </c>
      <c r="L576" s="6">
        <v>5</v>
      </c>
      <c r="M576" s="106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25">
      <c r="A577" s="1" t="s">
        <v>372</v>
      </c>
      <c r="B577" s="12" t="s">
        <v>17</v>
      </c>
      <c r="C577" s="1" t="s">
        <v>52</v>
      </c>
      <c r="D577" s="85">
        <v>705186668</v>
      </c>
      <c r="E577" s="88">
        <v>9193922813</v>
      </c>
      <c r="F577" s="1" t="s">
        <v>0</v>
      </c>
      <c r="G577" s="108">
        <v>35181</v>
      </c>
      <c r="H577" s="67" t="str">
        <f t="shared" si="16"/>
        <v>Apr</v>
      </c>
      <c r="I577" s="9">
        <f t="shared" ca="1" si="17"/>
        <v>20</v>
      </c>
      <c r="J577" s="8"/>
      <c r="K577" s="7">
        <v>31780</v>
      </c>
      <c r="L577" s="6">
        <v>5</v>
      </c>
      <c r="M577" s="106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25">
      <c r="A578" s="1" t="s">
        <v>663</v>
      </c>
      <c r="B578" s="12" t="s">
        <v>2</v>
      </c>
      <c r="C578" s="1" t="s">
        <v>52</v>
      </c>
      <c r="D578" s="85">
        <v>733881041</v>
      </c>
      <c r="E578" s="88">
        <v>2524072342</v>
      </c>
      <c r="F578" s="1" t="s">
        <v>0</v>
      </c>
      <c r="G578" s="108">
        <v>37558</v>
      </c>
      <c r="H578" s="67" t="str">
        <f t="shared" ref="H578:H641" si="18">CHOOSE(MONTH(G578),"Jan","Feb","Mar","Apr","May","Jun","Jul","Aug","Sep","Oct","Nov","Dec")</f>
        <v>Oct</v>
      </c>
      <c r="I578" s="9">
        <f t="shared" ref="I578:I641" ca="1" si="19">DATEDIF(G578,TODAY(),"Y")</f>
        <v>14</v>
      </c>
      <c r="J578" s="8"/>
      <c r="K578" s="7">
        <v>18660</v>
      </c>
      <c r="L578" s="6">
        <v>4</v>
      </c>
      <c r="M578" s="106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25">
      <c r="A579" s="1" t="s">
        <v>690</v>
      </c>
      <c r="B579" s="12" t="s">
        <v>56</v>
      </c>
      <c r="C579" s="1" t="s">
        <v>52</v>
      </c>
      <c r="D579" s="85">
        <v>462461365</v>
      </c>
      <c r="E579" s="88">
        <v>2527126482</v>
      </c>
      <c r="F579" s="1" t="s">
        <v>5</v>
      </c>
      <c r="G579" s="108">
        <v>35022</v>
      </c>
      <c r="H579" s="67" t="str">
        <f t="shared" si="18"/>
        <v>Nov</v>
      </c>
      <c r="I579" s="9">
        <f t="shared" ca="1" si="19"/>
        <v>20</v>
      </c>
      <c r="J579" s="8" t="s">
        <v>4</v>
      </c>
      <c r="K579" s="7">
        <v>54130</v>
      </c>
      <c r="L579" s="6">
        <v>2</v>
      </c>
      <c r="M579" s="106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25">
      <c r="A580" s="1" t="s">
        <v>586</v>
      </c>
      <c r="B580" s="12" t="s">
        <v>13</v>
      </c>
      <c r="C580" s="1" t="s">
        <v>52</v>
      </c>
      <c r="D580" s="85">
        <v>983047016</v>
      </c>
      <c r="E580" s="88">
        <v>9198451642</v>
      </c>
      <c r="F580" s="1" t="s">
        <v>12</v>
      </c>
      <c r="G580" s="108">
        <v>39794</v>
      </c>
      <c r="H580" s="67" t="str">
        <f t="shared" si="18"/>
        <v>Dec</v>
      </c>
      <c r="I580" s="9">
        <f t="shared" ca="1" si="19"/>
        <v>7</v>
      </c>
      <c r="J580" s="8"/>
      <c r="K580" s="7">
        <v>103120</v>
      </c>
      <c r="L580" s="6">
        <v>2</v>
      </c>
      <c r="M580" s="106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25">
      <c r="A581" s="1" t="s">
        <v>233</v>
      </c>
      <c r="B581" s="12" t="s">
        <v>13</v>
      </c>
      <c r="C581" s="1" t="s">
        <v>52</v>
      </c>
      <c r="D581" s="85">
        <v>489667166</v>
      </c>
      <c r="E581" s="88">
        <v>2522238881</v>
      </c>
      <c r="F581" s="1" t="s">
        <v>5</v>
      </c>
      <c r="G581" s="108">
        <v>37408</v>
      </c>
      <c r="H581" s="67" t="str">
        <f t="shared" si="18"/>
        <v>Jun</v>
      </c>
      <c r="I581" s="9">
        <f t="shared" ca="1" si="19"/>
        <v>14</v>
      </c>
      <c r="J581" s="8" t="s">
        <v>34</v>
      </c>
      <c r="K581" s="7">
        <v>55060</v>
      </c>
      <c r="L581" s="6">
        <v>5</v>
      </c>
      <c r="M581" s="106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25">
      <c r="A582" s="1" t="s">
        <v>147</v>
      </c>
      <c r="B582" s="12" t="s">
        <v>13</v>
      </c>
      <c r="C582" s="1" t="s">
        <v>52</v>
      </c>
      <c r="D582" s="85">
        <v>826508763</v>
      </c>
      <c r="E582" s="88">
        <v>2526801348</v>
      </c>
      <c r="F582" s="1" t="s">
        <v>5</v>
      </c>
      <c r="G582" s="108">
        <v>40746</v>
      </c>
      <c r="H582" s="67" t="str">
        <f t="shared" si="18"/>
        <v>Jul</v>
      </c>
      <c r="I582" s="9">
        <f t="shared" ca="1" si="19"/>
        <v>5</v>
      </c>
      <c r="J582" s="8" t="s">
        <v>4</v>
      </c>
      <c r="K582" s="7">
        <v>35200</v>
      </c>
      <c r="L582" s="6">
        <v>5</v>
      </c>
      <c r="M582" s="106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25">
      <c r="A583" s="1" t="s">
        <v>107</v>
      </c>
      <c r="B583" s="12" t="s">
        <v>13</v>
      </c>
      <c r="C583" s="1" t="s">
        <v>52</v>
      </c>
      <c r="D583" s="85">
        <v>135633006</v>
      </c>
      <c r="E583" s="88">
        <v>2526732103</v>
      </c>
      <c r="F583" s="1" t="s">
        <v>12</v>
      </c>
      <c r="G583" s="108">
        <v>37480</v>
      </c>
      <c r="H583" s="67" t="str">
        <f t="shared" si="18"/>
        <v>Aug</v>
      </c>
      <c r="I583" s="9">
        <f t="shared" ca="1" si="19"/>
        <v>14</v>
      </c>
      <c r="J583" s="8"/>
      <c r="K583" s="7">
        <v>65810</v>
      </c>
      <c r="L583" s="6">
        <v>4</v>
      </c>
      <c r="M583" s="106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25">
      <c r="A584" s="1" t="s">
        <v>234</v>
      </c>
      <c r="B584" s="12" t="s">
        <v>17</v>
      </c>
      <c r="C584" s="1" t="s">
        <v>52</v>
      </c>
      <c r="D584" s="85">
        <v>548704405</v>
      </c>
      <c r="E584" s="88">
        <v>2526458440</v>
      </c>
      <c r="F584" s="1" t="s">
        <v>12</v>
      </c>
      <c r="G584" s="108">
        <v>37407</v>
      </c>
      <c r="H584" s="67" t="str">
        <f t="shared" si="18"/>
        <v>May</v>
      </c>
      <c r="I584" s="9">
        <f t="shared" ca="1" si="19"/>
        <v>14</v>
      </c>
      <c r="J584" s="8"/>
      <c r="K584" s="7">
        <v>72960</v>
      </c>
      <c r="L584" s="6">
        <v>4</v>
      </c>
      <c r="M584" s="106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25">
      <c r="A585" s="1" t="s">
        <v>379</v>
      </c>
      <c r="B585" s="12" t="s">
        <v>13</v>
      </c>
      <c r="C585" s="1" t="s">
        <v>52</v>
      </c>
      <c r="D585" s="85">
        <v>100703382</v>
      </c>
      <c r="E585" s="88">
        <v>9195157047</v>
      </c>
      <c r="F585" s="1" t="s">
        <v>5</v>
      </c>
      <c r="G585" s="108">
        <v>35161</v>
      </c>
      <c r="H585" s="67" t="str">
        <f t="shared" si="18"/>
        <v>Apr</v>
      </c>
      <c r="I585" s="9">
        <f t="shared" ca="1" si="19"/>
        <v>20</v>
      </c>
      <c r="J585" s="8" t="s">
        <v>32</v>
      </c>
      <c r="K585" s="7">
        <v>65040</v>
      </c>
      <c r="L585" s="6">
        <v>4</v>
      </c>
      <c r="M585" s="106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25">
      <c r="A586" s="1" t="s">
        <v>637</v>
      </c>
      <c r="B586" s="12" t="s">
        <v>13</v>
      </c>
      <c r="C586" s="1" t="s">
        <v>52</v>
      </c>
      <c r="D586" s="85">
        <v>622200296</v>
      </c>
      <c r="E586" s="88">
        <v>2526306545</v>
      </c>
      <c r="F586" s="1" t="s">
        <v>5</v>
      </c>
      <c r="G586" s="108">
        <v>34686</v>
      </c>
      <c r="H586" s="67" t="str">
        <f t="shared" si="18"/>
        <v>Dec</v>
      </c>
      <c r="I586" s="9">
        <f t="shared" ca="1" si="19"/>
        <v>21</v>
      </c>
      <c r="J586" s="8" t="s">
        <v>32</v>
      </c>
      <c r="K586" s="7">
        <v>78690</v>
      </c>
      <c r="L586" s="6">
        <v>3</v>
      </c>
      <c r="M586" s="106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25">
      <c r="A587" s="1" t="s">
        <v>243</v>
      </c>
      <c r="B587" s="12" t="s">
        <v>17</v>
      </c>
      <c r="C587" s="1" t="s">
        <v>52</v>
      </c>
      <c r="D587" s="85">
        <v>863736129</v>
      </c>
      <c r="E587" s="88">
        <v>2522778445</v>
      </c>
      <c r="F587" s="1" t="s">
        <v>15</v>
      </c>
      <c r="G587" s="108">
        <v>36689</v>
      </c>
      <c r="H587" s="67" t="str">
        <f t="shared" si="18"/>
        <v>Jun</v>
      </c>
      <c r="I587" s="9">
        <f t="shared" ca="1" si="19"/>
        <v>16</v>
      </c>
      <c r="J587" s="8" t="s">
        <v>4</v>
      </c>
      <c r="K587" s="7">
        <v>51290</v>
      </c>
      <c r="L587" s="6">
        <v>2</v>
      </c>
      <c r="M587" s="106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25">
      <c r="A588" s="1" t="s">
        <v>776</v>
      </c>
      <c r="B588" s="12" t="s">
        <v>13</v>
      </c>
      <c r="C588" s="1" t="s">
        <v>52</v>
      </c>
      <c r="D588" s="85">
        <v>784064156</v>
      </c>
      <c r="E588" s="89">
        <v>9193355152</v>
      </c>
      <c r="F588" s="1" t="s">
        <v>5</v>
      </c>
      <c r="G588" s="108">
        <v>34605</v>
      </c>
      <c r="H588" s="67" t="str">
        <f t="shared" si="18"/>
        <v>Sep</v>
      </c>
      <c r="I588" s="9">
        <f t="shared" ca="1" si="19"/>
        <v>22</v>
      </c>
      <c r="J588" s="8" t="s">
        <v>32</v>
      </c>
      <c r="K588" s="7">
        <v>65800</v>
      </c>
      <c r="L588" s="6">
        <v>1</v>
      </c>
      <c r="M588" s="106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25">
      <c r="A589" s="1" t="s">
        <v>758</v>
      </c>
      <c r="B589" s="12" t="s">
        <v>17</v>
      </c>
      <c r="C589" s="1" t="s">
        <v>52</v>
      </c>
      <c r="D589" s="85">
        <v>102159909</v>
      </c>
      <c r="E589" s="88">
        <v>2521868104</v>
      </c>
      <c r="F589" s="1" t="s">
        <v>0</v>
      </c>
      <c r="G589" s="108">
        <v>35346</v>
      </c>
      <c r="H589" s="67" t="str">
        <f t="shared" si="18"/>
        <v>Oct</v>
      </c>
      <c r="I589" s="9">
        <f t="shared" ca="1" si="19"/>
        <v>20</v>
      </c>
      <c r="J589" s="8"/>
      <c r="K589" s="7">
        <v>44150</v>
      </c>
      <c r="L589" s="6">
        <v>4</v>
      </c>
      <c r="M589" s="106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25">
      <c r="A590" s="1" t="s">
        <v>424</v>
      </c>
      <c r="B590" s="12" t="s">
        <v>13</v>
      </c>
      <c r="C590" s="1" t="s">
        <v>52</v>
      </c>
      <c r="D590" s="85">
        <v>708082156</v>
      </c>
      <c r="E590" s="88">
        <v>9194919822</v>
      </c>
      <c r="F590" s="1" t="s">
        <v>5</v>
      </c>
      <c r="G590" s="108">
        <v>37313</v>
      </c>
      <c r="H590" s="67" t="str">
        <f t="shared" si="18"/>
        <v>Feb</v>
      </c>
      <c r="I590" s="9">
        <f t="shared" ca="1" si="19"/>
        <v>14</v>
      </c>
      <c r="J590" s="8" t="s">
        <v>32</v>
      </c>
      <c r="K590" s="7">
        <v>83040</v>
      </c>
      <c r="L590" s="6">
        <v>4</v>
      </c>
      <c r="M590" s="106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25">
      <c r="A591" s="1" t="s">
        <v>337</v>
      </c>
      <c r="B591" s="12" t="s">
        <v>10</v>
      </c>
      <c r="C591" s="1" t="s">
        <v>52</v>
      </c>
      <c r="D591" s="85">
        <v>614562070</v>
      </c>
      <c r="E591" s="88">
        <v>9192485673</v>
      </c>
      <c r="F591" s="1" t="s">
        <v>15</v>
      </c>
      <c r="G591" s="108">
        <v>38816</v>
      </c>
      <c r="H591" s="67" t="str">
        <f t="shared" si="18"/>
        <v>Apr</v>
      </c>
      <c r="I591" s="9">
        <f t="shared" ca="1" si="19"/>
        <v>10</v>
      </c>
      <c r="J591" s="8" t="s">
        <v>32</v>
      </c>
      <c r="K591" s="7">
        <v>58490</v>
      </c>
      <c r="L591" s="6">
        <v>1</v>
      </c>
      <c r="M591" s="106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25">
      <c r="A592" s="1" t="s">
        <v>527</v>
      </c>
      <c r="B592" s="12" t="s">
        <v>17</v>
      </c>
      <c r="C592" s="1" t="s">
        <v>52</v>
      </c>
      <c r="D592" s="85">
        <v>975857784</v>
      </c>
      <c r="E592" s="88">
        <v>9192390604</v>
      </c>
      <c r="F592" s="1" t="s">
        <v>12</v>
      </c>
      <c r="G592" s="108">
        <v>37643</v>
      </c>
      <c r="H592" s="67" t="str">
        <f t="shared" si="18"/>
        <v>Jan</v>
      </c>
      <c r="I592" s="9">
        <f t="shared" ca="1" si="19"/>
        <v>13</v>
      </c>
      <c r="J592" s="8"/>
      <c r="K592" s="7">
        <v>93310</v>
      </c>
      <c r="L592" s="6">
        <v>3</v>
      </c>
      <c r="M592" s="106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25">
      <c r="A593" s="1" t="s">
        <v>645</v>
      </c>
      <c r="B593" s="12" t="s">
        <v>13</v>
      </c>
      <c r="C593" s="1" t="s">
        <v>52</v>
      </c>
      <c r="D593" s="85">
        <v>323701315</v>
      </c>
      <c r="E593" s="88">
        <v>9194479196</v>
      </c>
      <c r="F593" s="1" t="s">
        <v>5</v>
      </c>
      <c r="G593" s="108">
        <v>41582</v>
      </c>
      <c r="H593" s="67" t="str">
        <f t="shared" si="18"/>
        <v>Nov</v>
      </c>
      <c r="I593" s="9">
        <f t="shared" ca="1" si="19"/>
        <v>2</v>
      </c>
      <c r="J593" s="8" t="s">
        <v>19</v>
      </c>
      <c r="K593" s="7">
        <v>96310</v>
      </c>
      <c r="L593" s="6">
        <v>3</v>
      </c>
      <c r="M593" s="106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25">
      <c r="A594" s="1" t="s">
        <v>194</v>
      </c>
      <c r="B594" s="12" t="s">
        <v>2</v>
      </c>
      <c r="C594" s="1" t="s">
        <v>52</v>
      </c>
      <c r="D594" s="85">
        <v>878902154</v>
      </c>
      <c r="E594" s="88">
        <v>9191155509</v>
      </c>
      <c r="F594" s="1" t="s">
        <v>15</v>
      </c>
      <c r="G594" s="108">
        <v>34891</v>
      </c>
      <c r="H594" s="67" t="str">
        <f t="shared" si="18"/>
        <v>Jul</v>
      </c>
      <c r="I594" s="9">
        <f t="shared" ca="1" si="19"/>
        <v>21</v>
      </c>
      <c r="J594" s="8" t="s">
        <v>4</v>
      </c>
      <c r="K594" s="7">
        <v>31060</v>
      </c>
      <c r="L594" s="6">
        <v>5</v>
      </c>
      <c r="M594" s="106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25">
      <c r="A595" s="1" t="s">
        <v>183</v>
      </c>
      <c r="B595" s="12" t="s">
        <v>17</v>
      </c>
      <c r="C595" s="1" t="s">
        <v>52</v>
      </c>
      <c r="D595" s="85">
        <v>562497973</v>
      </c>
      <c r="E595" s="88">
        <v>2524111882</v>
      </c>
      <c r="F595" s="1" t="s">
        <v>5</v>
      </c>
      <c r="G595" s="108">
        <v>36357</v>
      </c>
      <c r="H595" s="67" t="str">
        <f t="shared" si="18"/>
        <v>Jul</v>
      </c>
      <c r="I595" s="9">
        <f t="shared" ca="1" si="19"/>
        <v>17</v>
      </c>
      <c r="J595" s="8" t="s">
        <v>34</v>
      </c>
      <c r="K595" s="7">
        <v>75640</v>
      </c>
      <c r="L595" s="6">
        <v>1</v>
      </c>
      <c r="M595" s="106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25">
      <c r="A596" s="1" t="s">
        <v>539</v>
      </c>
      <c r="B596" s="12" t="s">
        <v>13</v>
      </c>
      <c r="C596" s="1" t="s">
        <v>52</v>
      </c>
      <c r="D596" s="85">
        <v>331251341</v>
      </c>
      <c r="E596" s="88">
        <v>2528678875</v>
      </c>
      <c r="F596" s="1" t="s">
        <v>5</v>
      </c>
      <c r="G596" s="108">
        <v>36897</v>
      </c>
      <c r="H596" s="67" t="str">
        <f t="shared" si="18"/>
        <v>Jan</v>
      </c>
      <c r="I596" s="9">
        <f t="shared" ca="1" si="19"/>
        <v>15</v>
      </c>
      <c r="J596" s="8" t="s">
        <v>4</v>
      </c>
      <c r="K596" s="7">
        <v>84340</v>
      </c>
      <c r="L596" s="6">
        <v>3</v>
      </c>
      <c r="M596" s="106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25">
      <c r="A597" s="1" t="s">
        <v>66</v>
      </c>
      <c r="B597" s="12" t="s">
        <v>2</v>
      </c>
      <c r="C597" s="1" t="s">
        <v>52</v>
      </c>
      <c r="D597" s="85">
        <v>687623890</v>
      </c>
      <c r="E597" s="88">
        <v>2522447501</v>
      </c>
      <c r="F597" s="1" t="s">
        <v>0</v>
      </c>
      <c r="G597" s="108">
        <v>36035</v>
      </c>
      <c r="H597" s="67" t="str">
        <f t="shared" si="18"/>
        <v>Aug</v>
      </c>
      <c r="I597" s="9">
        <f t="shared" ca="1" si="19"/>
        <v>18</v>
      </c>
      <c r="J597" s="8"/>
      <c r="K597" s="7">
        <v>28430</v>
      </c>
      <c r="L597" s="6">
        <v>4</v>
      </c>
      <c r="M597" s="106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25">
      <c r="A598" s="1" t="s">
        <v>666</v>
      </c>
      <c r="B598" s="12" t="s">
        <v>13</v>
      </c>
      <c r="C598" s="1" t="s">
        <v>52</v>
      </c>
      <c r="D598" s="85">
        <v>351003584</v>
      </c>
      <c r="E598" s="88">
        <v>2524269081</v>
      </c>
      <c r="F598" s="1" t="s">
        <v>12</v>
      </c>
      <c r="G598" s="108">
        <v>37215</v>
      </c>
      <c r="H598" s="67" t="str">
        <f t="shared" si="18"/>
        <v>Nov</v>
      </c>
      <c r="I598" s="9">
        <f t="shared" ca="1" si="19"/>
        <v>14</v>
      </c>
      <c r="J598" s="8"/>
      <c r="K598" s="7">
        <v>63970</v>
      </c>
      <c r="L598" s="6">
        <v>5</v>
      </c>
      <c r="M598" s="106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25">
      <c r="A599" s="1" t="s">
        <v>83</v>
      </c>
      <c r="B599" s="12" t="s">
        <v>13</v>
      </c>
      <c r="C599" s="1" t="s">
        <v>52</v>
      </c>
      <c r="D599" s="85">
        <v>693055639</v>
      </c>
      <c r="E599" s="88">
        <v>9195866887</v>
      </c>
      <c r="F599" s="1" t="s">
        <v>5</v>
      </c>
      <c r="G599" s="108">
        <v>34223</v>
      </c>
      <c r="H599" s="67" t="str">
        <f t="shared" si="18"/>
        <v>Sep</v>
      </c>
      <c r="I599" s="9">
        <f t="shared" ca="1" si="19"/>
        <v>23</v>
      </c>
      <c r="J599" s="8" t="s">
        <v>32</v>
      </c>
      <c r="K599" s="7">
        <v>64680</v>
      </c>
      <c r="L599" s="6">
        <v>5</v>
      </c>
      <c r="M599" s="106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25">
      <c r="A600" s="1" t="s">
        <v>120</v>
      </c>
      <c r="B600" s="12" t="s">
        <v>17</v>
      </c>
      <c r="C600" s="1" t="s">
        <v>52</v>
      </c>
      <c r="D600" s="85">
        <v>277925508</v>
      </c>
      <c r="E600" s="88">
        <v>2526584511</v>
      </c>
      <c r="F600" s="1" t="s">
        <v>5</v>
      </c>
      <c r="G600" s="108">
        <v>36374</v>
      </c>
      <c r="H600" s="67" t="str">
        <f t="shared" si="18"/>
        <v>Aug</v>
      </c>
      <c r="I600" s="9">
        <f t="shared" ca="1" si="19"/>
        <v>17</v>
      </c>
      <c r="J600" s="8" t="s">
        <v>4</v>
      </c>
      <c r="K600" s="7">
        <v>79730</v>
      </c>
      <c r="L600" s="6">
        <v>3</v>
      </c>
      <c r="M600" s="106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25">
      <c r="A601" s="1" t="s">
        <v>395</v>
      </c>
      <c r="B601" s="12" t="s">
        <v>17</v>
      </c>
      <c r="C601" s="1" t="s">
        <v>52</v>
      </c>
      <c r="D601" s="85">
        <v>750581894</v>
      </c>
      <c r="E601" s="88">
        <v>2528433766</v>
      </c>
      <c r="F601" s="1" t="s">
        <v>12</v>
      </c>
      <c r="G601" s="108">
        <v>41351</v>
      </c>
      <c r="H601" s="67" t="str">
        <f t="shared" si="18"/>
        <v>Mar</v>
      </c>
      <c r="I601" s="9">
        <f t="shared" ca="1" si="19"/>
        <v>3</v>
      </c>
      <c r="J601" s="8"/>
      <c r="K601" s="7">
        <v>25900</v>
      </c>
      <c r="L601" s="6">
        <v>3</v>
      </c>
      <c r="M601" s="106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25">
      <c r="A602" s="1" t="s">
        <v>210</v>
      </c>
      <c r="B602" s="12" t="s">
        <v>10</v>
      </c>
      <c r="C602" s="1" t="s">
        <v>52</v>
      </c>
      <c r="D602" s="85">
        <v>491830893</v>
      </c>
      <c r="E602" s="88">
        <v>2524713634</v>
      </c>
      <c r="F602" s="1" t="s">
        <v>5</v>
      </c>
      <c r="G602" s="108">
        <v>41079</v>
      </c>
      <c r="H602" s="67" t="str">
        <f t="shared" si="18"/>
        <v>Jun</v>
      </c>
      <c r="I602" s="9">
        <f t="shared" ca="1" si="19"/>
        <v>4</v>
      </c>
      <c r="J602" s="8" t="s">
        <v>4</v>
      </c>
      <c r="K602" s="7">
        <v>27830</v>
      </c>
      <c r="L602" s="6">
        <v>5</v>
      </c>
      <c r="M602" s="106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25">
      <c r="A603" s="1" t="s">
        <v>721</v>
      </c>
      <c r="B603" s="12" t="s">
        <v>10</v>
      </c>
      <c r="C603" s="1" t="s">
        <v>52</v>
      </c>
      <c r="D603" s="85">
        <v>666194498</v>
      </c>
      <c r="E603" s="88">
        <v>2526593848</v>
      </c>
      <c r="F603" s="1" t="s">
        <v>5</v>
      </c>
      <c r="G603" s="108">
        <v>39354</v>
      </c>
      <c r="H603" s="67" t="str">
        <f t="shared" si="18"/>
        <v>Sep</v>
      </c>
      <c r="I603" s="9">
        <f t="shared" ca="1" si="19"/>
        <v>9</v>
      </c>
      <c r="J603" s="8" t="s">
        <v>4</v>
      </c>
      <c r="K603" s="7">
        <v>100450</v>
      </c>
      <c r="L603" s="6">
        <v>3</v>
      </c>
      <c r="M603" s="106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25">
      <c r="A604" s="1" t="s">
        <v>782</v>
      </c>
      <c r="B604" s="12" t="s">
        <v>39</v>
      </c>
      <c r="C604" s="1" t="s">
        <v>52</v>
      </c>
      <c r="D604" s="85">
        <v>352371400</v>
      </c>
      <c r="E604" s="89">
        <v>2525441252</v>
      </c>
      <c r="F604" s="1" t="s">
        <v>0</v>
      </c>
      <c r="G604" s="108">
        <v>34257</v>
      </c>
      <c r="H604" s="67" t="str">
        <f t="shared" si="18"/>
        <v>Oct</v>
      </c>
      <c r="I604" s="9">
        <f t="shared" ca="1" si="19"/>
        <v>23</v>
      </c>
      <c r="J604" s="8"/>
      <c r="K604" s="7">
        <v>36560</v>
      </c>
      <c r="L604" s="6">
        <v>2</v>
      </c>
      <c r="M604" s="106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25">
      <c r="A605" s="1" t="s">
        <v>732</v>
      </c>
      <c r="B605" s="12" t="s">
        <v>17</v>
      </c>
      <c r="C605" s="1" t="s">
        <v>52</v>
      </c>
      <c r="D605" s="85">
        <v>836953739</v>
      </c>
      <c r="E605" s="88">
        <v>2526443692</v>
      </c>
      <c r="F605" s="1" t="s">
        <v>15</v>
      </c>
      <c r="G605" s="108">
        <v>37532</v>
      </c>
      <c r="H605" s="67" t="str">
        <f t="shared" si="18"/>
        <v>Oct</v>
      </c>
      <c r="I605" s="9">
        <f t="shared" ca="1" si="19"/>
        <v>14</v>
      </c>
      <c r="J605" s="8" t="s">
        <v>19</v>
      </c>
      <c r="K605" s="7">
        <v>25190</v>
      </c>
      <c r="L605" s="6">
        <v>4</v>
      </c>
      <c r="M605" s="106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25">
      <c r="A606" s="1" t="s">
        <v>390</v>
      </c>
      <c r="B606" s="12" t="s">
        <v>17</v>
      </c>
      <c r="C606" s="1" t="s">
        <v>52</v>
      </c>
      <c r="D606" s="85">
        <v>304024314</v>
      </c>
      <c r="E606" s="88">
        <v>9192244880</v>
      </c>
      <c r="F606" s="1" t="s">
        <v>12</v>
      </c>
      <c r="G606" s="108">
        <v>34422</v>
      </c>
      <c r="H606" s="67" t="str">
        <f t="shared" si="18"/>
        <v>Mar</v>
      </c>
      <c r="I606" s="9">
        <f t="shared" ca="1" si="19"/>
        <v>22</v>
      </c>
      <c r="J606" s="8"/>
      <c r="K606" s="7">
        <v>55980</v>
      </c>
      <c r="L606" s="6">
        <v>2</v>
      </c>
      <c r="M606" s="106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25">
      <c r="A607" s="1" t="s">
        <v>483</v>
      </c>
      <c r="B607" s="12" t="s">
        <v>13</v>
      </c>
      <c r="C607" s="1" t="s">
        <v>52</v>
      </c>
      <c r="D607" s="85">
        <v>750722934</v>
      </c>
      <c r="E607" s="88">
        <v>2523631883</v>
      </c>
      <c r="F607" s="1" t="s">
        <v>5</v>
      </c>
      <c r="G607" s="108">
        <v>36570</v>
      </c>
      <c r="H607" s="67" t="str">
        <f t="shared" si="18"/>
        <v>Feb</v>
      </c>
      <c r="I607" s="9">
        <f t="shared" ca="1" si="19"/>
        <v>16</v>
      </c>
      <c r="J607" s="8" t="s">
        <v>4</v>
      </c>
      <c r="K607" s="7">
        <v>45320</v>
      </c>
      <c r="L607" s="6">
        <v>5</v>
      </c>
      <c r="M607" s="106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25">
      <c r="A608" s="1" t="s">
        <v>689</v>
      </c>
      <c r="B608" s="12" t="s">
        <v>17</v>
      </c>
      <c r="C608" s="1" t="s">
        <v>52</v>
      </c>
      <c r="D608" s="85">
        <v>404589373</v>
      </c>
      <c r="E608" s="88">
        <v>9198407416</v>
      </c>
      <c r="F608" s="1" t="s">
        <v>5</v>
      </c>
      <c r="G608" s="108">
        <v>35029</v>
      </c>
      <c r="H608" s="67" t="str">
        <f t="shared" si="18"/>
        <v>Nov</v>
      </c>
      <c r="I608" s="9">
        <f t="shared" ca="1" si="19"/>
        <v>20</v>
      </c>
      <c r="J608" s="8" t="s">
        <v>4</v>
      </c>
      <c r="K608" s="7">
        <v>80190</v>
      </c>
      <c r="L608" s="6">
        <v>2</v>
      </c>
      <c r="M608" s="106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25">
      <c r="A609" s="1" t="s">
        <v>172</v>
      </c>
      <c r="B609" s="12" t="s">
        <v>39</v>
      </c>
      <c r="C609" s="1" t="s">
        <v>52</v>
      </c>
      <c r="D609" s="85">
        <v>291274360</v>
      </c>
      <c r="E609" s="88">
        <v>2524563177</v>
      </c>
      <c r="F609" s="1" t="s">
        <v>5</v>
      </c>
      <c r="G609" s="108">
        <v>37082</v>
      </c>
      <c r="H609" s="67" t="str">
        <f t="shared" si="18"/>
        <v>Jul</v>
      </c>
      <c r="I609" s="9">
        <f t="shared" ca="1" si="19"/>
        <v>15</v>
      </c>
      <c r="J609" s="8" t="s">
        <v>4</v>
      </c>
      <c r="K609" s="7">
        <v>80890</v>
      </c>
      <c r="L609" s="6">
        <v>5</v>
      </c>
      <c r="M609" s="106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25">
      <c r="A610" s="1" t="s">
        <v>176</v>
      </c>
      <c r="B610" s="12" t="s">
        <v>39</v>
      </c>
      <c r="C610" s="1" t="s">
        <v>52</v>
      </c>
      <c r="D610" s="85">
        <v>221347766</v>
      </c>
      <c r="E610" s="88">
        <v>2526853122</v>
      </c>
      <c r="F610" s="1" t="s">
        <v>12</v>
      </c>
      <c r="G610" s="108">
        <v>37071</v>
      </c>
      <c r="H610" s="67" t="str">
        <f t="shared" si="18"/>
        <v>Jun</v>
      </c>
      <c r="I610" s="9">
        <f t="shared" ca="1" si="19"/>
        <v>15</v>
      </c>
      <c r="J610" s="8"/>
      <c r="K610" s="7">
        <v>70860</v>
      </c>
      <c r="L610" s="6">
        <v>4</v>
      </c>
      <c r="M610" s="106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25">
      <c r="A611" s="1" t="s">
        <v>670</v>
      </c>
      <c r="B611" s="12" t="s">
        <v>17</v>
      </c>
      <c r="C611" s="1" t="s">
        <v>52</v>
      </c>
      <c r="D611" s="85">
        <v>718930584</v>
      </c>
      <c r="E611" s="88">
        <v>9195804771</v>
      </c>
      <c r="F611" s="1" t="s">
        <v>15</v>
      </c>
      <c r="G611" s="108">
        <v>37197</v>
      </c>
      <c r="H611" s="67" t="str">
        <f t="shared" si="18"/>
        <v>Nov</v>
      </c>
      <c r="I611" s="9">
        <f t="shared" ca="1" si="19"/>
        <v>15</v>
      </c>
      <c r="J611" s="8" t="s">
        <v>32</v>
      </c>
      <c r="K611" s="7">
        <v>41980</v>
      </c>
      <c r="L611" s="6">
        <v>2</v>
      </c>
      <c r="M611" s="106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25">
      <c r="A612" s="1" t="s">
        <v>293</v>
      </c>
      <c r="B612" s="12" t="s">
        <v>17</v>
      </c>
      <c r="C612" s="1" t="s">
        <v>52</v>
      </c>
      <c r="D612" s="85">
        <v>644489557</v>
      </c>
      <c r="E612" s="88">
        <v>2526532463</v>
      </c>
      <c r="F612" s="1" t="s">
        <v>5</v>
      </c>
      <c r="G612" s="108">
        <v>37013</v>
      </c>
      <c r="H612" s="67" t="str">
        <f t="shared" si="18"/>
        <v>May</v>
      </c>
      <c r="I612" s="9">
        <f t="shared" ca="1" si="19"/>
        <v>15</v>
      </c>
      <c r="J612" s="8" t="s">
        <v>34</v>
      </c>
      <c r="K612" s="7">
        <v>94740</v>
      </c>
      <c r="L612" s="6">
        <v>1</v>
      </c>
      <c r="M612" s="106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25">
      <c r="A613" s="1" t="s">
        <v>174</v>
      </c>
      <c r="B613" s="12" t="s">
        <v>17</v>
      </c>
      <c r="C613" s="1" t="s">
        <v>52</v>
      </c>
      <c r="D613" s="85">
        <v>180832423</v>
      </c>
      <c r="E613" s="88">
        <v>9198097539</v>
      </c>
      <c r="F613" s="1" t="s">
        <v>5</v>
      </c>
      <c r="G613" s="108">
        <v>37079</v>
      </c>
      <c r="H613" s="67" t="str">
        <f t="shared" si="18"/>
        <v>Jul</v>
      </c>
      <c r="I613" s="9">
        <f t="shared" ca="1" si="19"/>
        <v>15</v>
      </c>
      <c r="J613" s="8" t="s">
        <v>8</v>
      </c>
      <c r="K613" s="7">
        <v>95530</v>
      </c>
      <c r="L613" s="6">
        <v>2</v>
      </c>
      <c r="M613" s="106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25">
      <c r="A614" s="1" t="s">
        <v>135</v>
      </c>
      <c r="B614" s="12" t="s">
        <v>2</v>
      </c>
      <c r="C614" s="1" t="s">
        <v>52</v>
      </c>
      <c r="D614" s="85">
        <v>781472289</v>
      </c>
      <c r="E614" s="88">
        <v>2528502926</v>
      </c>
      <c r="F614" s="1" t="s">
        <v>5</v>
      </c>
      <c r="G614" s="108">
        <v>34549</v>
      </c>
      <c r="H614" s="67" t="str">
        <f t="shared" si="18"/>
        <v>Aug</v>
      </c>
      <c r="I614" s="9">
        <f t="shared" ca="1" si="19"/>
        <v>22</v>
      </c>
      <c r="J614" s="8" t="s">
        <v>4</v>
      </c>
      <c r="K614" s="7">
        <v>75660</v>
      </c>
      <c r="L614" s="6">
        <v>3</v>
      </c>
      <c r="M614" s="106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25">
      <c r="A615" s="1" t="s">
        <v>712</v>
      </c>
      <c r="B615" s="12" t="s">
        <v>39</v>
      </c>
      <c r="C615" s="1" t="s">
        <v>52</v>
      </c>
      <c r="D615" s="85">
        <v>855135948</v>
      </c>
      <c r="E615" s="88">
        <v>9196408497</v>
      </c>
      <c r="F615" s="1" t="s">
        <v>5</v>
      </c>
      <c r="G615" s="108">
        <v>40816</v>
      </c>
      <c r="H615" s="67" t="str">
        <f t="shared" si="18"/>
        <v>Sep</v>
      </c>
      <c r="I615" s="9">
        <f t="shared" ca="1" si="19"/>
        <v>5</v>
      </c>
      <c r="J615" s="8" t="s">
        <v>4</v>
      </c>
      <c r="K615" s="7">
        <v>86470</v>
      </c>
      <c r="L615" s="6">
        <v>2</v>
      </c>
      <c r="M615" s="106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25">
      <c r="A616" s="1" t="s">
        <v>406</v>
      </c>
      <c r="B616" s="12" t="s">
        <v>10</v>
      </c>
      <c r="C616" s="1" t="s">
        <v>52</v>
      </c>
      <c r="D616" s="85">
        <v>531654742</v>
      </c>
      <c r="E616" s="88">
        <v>9195770085</v>
      </c>
      <c r="F616" s="1" t="s">
        <v>5</v>
      </c>
      <c r="G616" s="108">
        <v>38794</v>
      </c>
      <c r="H616" s="67" t="str">
        <f t="shared" si="18"/>
        <v>Mar</v>
      </c>
      <c r="I616" s="9">
        <f t="shared" ca="1" si="19"/>
        <v>10</v>
      </c>
      <c r="J616" s="8" t="s">
        <v>32</v>
      </c>
      <c r="K616" s="7">
        <v>35050</v>
      </c>
      <c r="L616" s="6">
        <v>5</v>
      </c>
      <c r="M616" s="106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25">
      <c r="A617" s="1" t="s">
        <v>318</v>
      </c>
      <c r="B617" s="12" t="s">
        <v>56</v>
      </c>
      <c r="C617" s="1" t="s">
        <v>52</v>
      </c>
      <c r="D617" s="85">
        <v>593584018</v>
      </c>
      <c r="E617" s="88">
        <v>9194626281</v>
      </c>
      <c r="F617" s="1" t="s">
        <v>5</v>
      </c>
      <c r="G617" s="108">
        <v>34455</v>
      </c>
      <c r="H617" s="67" t="str">
        <f t="shared" si="18"/>
        <v>May</v>
      </c>
      <c r="I617" s="9">
        <f t="shared" ca="1" si="19"/>
        <v>22</v>
      </c>
      <c r="J617" s="8" t="s">
        <v>32</v>
      </c>
      <c r="K617" s="7">
        <v>81500</v>
      </c>
      <c r="L617" s="6">
        <v>4</v>
      </c>
      <c r="M617" s="106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25">
      <c r="A618" s="1" t="s">
        <v>132</v>
      </c>
      <c r="B618" s="12" t="s">
        <v>13</v>
      </c>
      <c r="C618" s="1" t="s">
        <v>52</v>
      </c>
      <c r="D618" s="85">
        <v>195772503</v>
      </c>
      <c r="E618" s="88">
        <v>9193123940</v>
      </c>
      <c r="F618" s="1" t="s">
        <v>12</v>
      </c>
      <c r="G618" s="108">
        <v>34915</v>
      </c>
      <c r="H618" s="67" t="str">
        <f t="shared" si="18"/>
        <v>Aug</v>
      </c>
      <c r="I618" s="9">
        <f t="shared" ca="1" si="19"/>
        <v>21</v>
      </c>
      <c r="J618" s="8"/>
      <c r="K618" s="7">
        <v>66830</v>
      </c>
      <c r="L618" s="6">
        <v>2</v>
      </c>
      <c r="M618" s="106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25">
      <c r="A619" s="1" t="s">
        <v>562</v>
      </c>
      <c r="B619" s="12" t="s">
        <v>13</v>
      </c>
      <c r="C619" s="1" t="s">
        <v>52</v>
      </c>
      <c r="D619" s="85">
        <v>693965055</v>
      </c>
      <c r="E619" s="88">
        <v>2527853314</v>
      </c>
      <c r="F619" s="1" t="s">
        <v>5</v>
      </c>
      <c r="G619" s="108">
        <v>34712</v>
      </c>
      <c r="H619" s="67" t="str">
        <f t="shared" si="18"/>
        <v>Jan</v>
      </c>
      <c r="I619" s="9">
        <f t="shared" ca="1" si="19"/>
        <v>21</v>
      </c>
      <c r="J619" s="8" t="s">
        <v>32</v>
      </c>
      <c r="K619" s="7">
        <v>82160</v>
      </c>
      <c r="L619" s="6">
        <v>4</v>
      </c>
      <c r="M619" s="106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25">
      <c r="A620" s="1" t="s">
        <v>216</v>
      </c>
      <c r="B620" s="12" t="s">
        <v>39</v>
      </c>
      <c r="C620" s="1" t="s">
        <v>52</v>
      </c>
      <c r="D620" s="85">
        <v>649292883</v>
      </c>
      <c r="E620" s="88">
        <v>9198413896</v>
      </c>
      <c r="F620" s="1" t="s">
        <v>5</v>
      </c>
      <c r="G620" s="108">
        <v>39238</v>
      </c>
      <c r="H620" s="67" t="str">
        <f t="shared" si="18"/>
        <v>Jun</v>
      </c>
      <c r="I620" s="9">
        <f t="shared" ca="1" si="19"/>
        <v>9</v>
      </c>
      <c r="J620" s="8" t="s">
        <v>4</v>
      </c>
      <c r="K620" s="7">
        <v>38290</v>
      </c>
      <c r="L620" s="6">
        <v>5</v>
      </c>
      <c r="M620" s="106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25">
      <c r="A621" s="1" t="s">
        <v>675</v>
      </c>
      <c r="B621" s="12" t="s">
        <v>10</v>
      </c>
      <c r="C621" s="1" t="s">
        <v>52</v>
      </c>
      <c r="D621" s="85">
        <v>619456809</v>
      </c>
      <c r="E621" s="88">
        <v>9196865606</v>
      </c>
      <c r="F621" s="1" t="s">
        <v>15</v>
      </c>
      <c r="G621" s="108">
        <v>36843</v>
      </c>
      <c r="H621" s="67" t="str">
        <f t="shared" si="18"/>
        <v>Nov</v>
      </c>
      <c r="I621" s="9">
        <f t="shared" ca="1" si="19"/>
        <v>15</v>
      </c>
      <c r="J621" s="8" t="s">
        <v>19</v>
      </c>
      <c r="K621" s="7">
        <v>47440</v>
      </c>
      <c r="L621" s="6">
        <v>5</v>
      </c>
      <c r="M621" s="106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25">
      <c r="A622" s="1" t="s">
        <v>746</v>
      </c>
      <c r="B622" s="12" t="s">
        <v>39</v>
      </c>
      <c r="C622" s="1" t="s">
        <v>52</v>
      </c>
      <c r="D622" s="85">
        <v>426014550</v>
      </c>
      <c r="E622" s="88">
        <v>2522889182</v>
      </c>
      <c r="F622" s="1" t="s">
        <v>5</v>
      </c>
      <c r="G622" s="108">
        <v>36452</v>
      </c>
      <c r="H622" s="67" t="str">
        <f t="shared" si="18"/>
        <v>Oct</v>
      </c>
      <c r="I622" s="9">
        <f t="shared" ca="1" si="19"/>
        <v>17</v>
      </c>
      <c r="J622" s="8" t="s">
        <v>8</v>
      </c>
      <c r="K622" s="7">
        <v>75560</v>
      </c>
      <c r="L622" s="6">
        <v>1</v>
      </c>
      <c r="M622" s="106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25">
      <c r="A623" s="1" t="s">
        <v>349</v>
      </c>
      <c r="B623" s="12" t="s">
        <v>39</v>
      </c>
      <c r="C623" s="1" t="s">
        <v>52</v>
      </c>
      <c r="D623" s="85">
        <v>288741910</v>
      </c>
      <c r="E623" s="88">
        <v>2522842668</v>
      </c>
      <c r="F623" s="1" t="s">
        <v>5</v>
      </c>
      <c r="G623" s="108">
        <v>37361</v>
      </c>
      <c r="H623" s="67" t="str">
        <f t="shared" si="18"/>
        <v>Apr</v>
      </c>
      <c r="I623" s="9">
        <f t="shared" ca="1" si="19"/>
        <v>14</v>
      </c>
      <c r="J623" s="8" t="s">
        <v>4</v>
      </c>
      <c r="K623" s="7">
        <v>80420</v>
      </c>
      <c r="L623" s="6">
        <v>1</v>
      </c>
      <c r="M623" s="106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25">
      <c r="A624" s="1" t="s">
        <v>409</v>
      </c>
      <c r="B624" s="12" t="s">
        <v>39</v>
      </c>
      <c r="C624" s="1" t="s">
        <v>52</v>
      </c>
      <c r="D624" s="85">
        <v>357568979</v>
      </c>
      <c r="E624" s="88">
        <v>2524316324</v>
      </c>
      <c r="F624" s="1" t="s">
        <v>15</v>
      </c>
      <c r="G624" s="108">
        <v>38776</v>
      </c>
      <c r="H624" s="67" t="str">
        <f t="shared" si="18"/>
        <v>Feb</v>
      </c>
      <c r="I624" s="9">
        <f t="shared" ca="1" si="19"/>
        <v>10</v>
      </c>
      <c r="J624" s="8" t="s">
        <v>34</v>
      </c>
      <c r="K624" s="7">
        <v>34230</v>
      </c>
      <c r="L624" s="6">
        <v>4</v>
      </c>
      <c r="M624" s="106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25">
      <c r="A625" s="1" t="s">
        <v>229</v>
      </c>
      <c r="B625" s="12" t="s">
        <v>13</v>
      </c>
      <c r="C625" s="1" t="s">
        <v>52</v>
      </c>
      <c r="D625" s="85">
        <v>393973492</v>
      </c>
      <c r="E625" s="88">
        <v>2522869792</v>
      </c>
      <c r="F625" s="1" t="s">
        <v>15</v>
      </c>
      <c r="G625" s="108">
        <v>37424</v>
      </c>
      <c r="H625" s="67" t="str">
        <f t="shared" si="18"/>
        <v>Jun</v>
      </c>
      <c r="I625" s="9">
        <f t="shared" ca="1" si="19"/>
        <v>14</v>
      </c>
      <c r="J625" s="8" t="s">
        <v>8</v>
      </c>
      <c r="K625" s="7">
        <v>56820</v>
      </c>
      <c r="L625" s="6">
        <v>1</v>
      </c>
      <c r="M625" s="106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25">
      <c r="A626" s="1" t="s">
        <v>550</v>
      </c>
      <c r="B626" s="12" t="s">
        <v>13</v>
      </c>
      <c r="C626" s="1" t="s">
        <v>52</v>
      </c>
      <c r="D626" s="85">
        <v>744830329</v>
      </c>
      <c r="E626" s="88">
        <v>9196098293</v>
      </c>
      <c r="F626" s="1" t="s">
        <v>5</v>
      </c>
      <c r="G626" s="108">
        <v>35801</v>
      </c>
      <c r="H626" s="67" t="str">
        <f t="shared" si="18"/>
        <v>Jan</v>
      </c>
      <c r="I626" s="9">
        <f t="shared" ca="1" si="19"/>
        <v>18</v>
      </c>
      <c r="J626" s="8" t="s">
        <v>34</v>
      </c>
      <c r="K626" s="7">
        <v>99240</v>
      </c>
      <c r="L626" s="6">
        <v>3</v>
      </c>
      <c r="M626" s="106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25">
      <c r="A627" s="1" t="s">
        <v>604</v>
      </c>
      <c r="B627" s="12" t="s">
        <v>13</v>
      </c>
      <c r="C627" s="1" t="s">
        <v>52</v>
      </c>
      <c r="D627" s="85">
        <v>125540405</v>
      </c>
      <c r="E627" s="88">
        <v>2524589262</v>
      </c>
      <c r="F627" s="1" t="s">
        <v>5</v>
      </c>
      <c r="G627" s="108">
        <v>37246</v>
      </c>
      <c r="H627" s="67" t="str">
        <f t="shared" si="18"/>
        <v>Dec</v>
      </c>
      <c r="I627" s="9">
        <f t="shared" ca="1" si="19"/>
        <v>14</v>
      </c>
      <c r="J627" s="8" t="s">
        <v>32</v>
      </c>
      <c r="K627" s="7">
        <v>70090</v>
      </c>
      <c r="L627" s="6">
        <v>5</v>
      </c>
      <c r="M627" s="106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25">
      <c r="A628" s="1" t="s">
        <v>656</v>
      </c>
      <c r="B628" s="12" t="s">
        <v>56</v>
      </c>
      <c r="C628" s="1" t="s">
        <v>52</v>
      </c>
      <c r="D628" s="85">
        <v>626501093</v>
      </c>
      <c r="E628" s="88">
        <v>9192822520</v>
      </c>
      <c r="F628" s="1" t="s">
        <v>12</v>
      </c>
      <c r="G628" s="108">
        <v>39028</v>
      </c>
      <c r="H628" s="67" t="str">
        <f t="shared" si="18"/>
        <v>Nov</v>
      </c>
      <c r="I628" s="9">
        <f t="shared" ca="1" si="19"/>
        <v>9</v>
      </c>
      <c r="J628" s="8"/>
      <c r="K628" s="7">
        <v>77510</v>
      </c>
      <c r="L628" s="6">
        <v>1</v>
      </c>
      <c r="M628" s="106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25">
      <c r="A629" s="1" t="s">
        <v>691</v>
      </c>
      <c r="B629" s="12" t="s">
        <v>39</v>
      </c>
      <c r="C629" s="1" t="s">
        <v>52</v>
      </c>
      <c r="D629" s="85">
        <v>186821354</v>
      </c>
      <c r="E629" s="88">
        <v>2528527032</v>
      </c>
      <c r="F629" s="1" t="s">
        <v>5</v>
      </c>
      <c r="G629" s="108">
        <v>35011</v>
      </c>
      <c r="H629" s="67" t="str">
        <f t="shared" si="18"/>
        <v>Nov</v>
      </c>
      <c r="I629" s="9">
        <f t="shared" ca="1" si="19"/>
        <v>20</v>
      </c>
      <c r="J629" s="8" t="s">
        <v>32</v>
      </c>
      <c r="K629" s="7">
        <v>65120</v>
      </c>
      <c r="L629" s="6">
        <v>3</v>
      </c>
      <c r="M629" s="106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25">
      <c r="A630" s="1" t="s">
        <v>178</v>
      </c>
      <c r="B630" s="12" t="s">
        <v>10</v>
      </c>
      <c r="C630" s="1" t="s">
        <v>52</v>
      </c>
      <c r="D630" s="85">
        <v>269873478</v>
      </c>
      <c r="E630" s="88">
        <v>9198244224</v>
      </c>
      <c r="F630" s="1" t="s">
        <v>5</v>
      </c>
      <c r="G630" s="108">
        <v>36716</v>
      </c>
      <c r="H630" s="67" t="str">
        <f t="shared" si="18"/>
        <v>Jul</v>
      </c>
      <c r="I630" s="9">
        <f t="shared" ca="1" si="19"/>
        <v>16</v>
      </c>
      <c r="J630" s="8" t="s">
        <v>4</v>
      </c>
      <c r="K630" s="7">
        <v>38540</v>
      </c>
      <c r="L630" s="6">
        <v>1</v>
      </c>
      <c r="M630" s="106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25">
      <c r="A631" s="1" t="s">
        <v>606</v>
      </c>
      <c r="B631" s="12" t="s">
        <v>39</v>
      </c>
      <c r="C631" s="1" t="s">
        <v>52</v>
      </c>
      <c r="D631" s="85">
        <v>518009092</v>
      </c>
      <c r="E631" s="88">
        <v>2528792521</v>
      </c>
      <c r="F631" s="1" t="s">
        <v>0</v>
      </c>
      <c r="G631" s="108">
        <v>36870</v>
      </c>
      <c r="H631" s="67" t="str">
        <f t="shared" si="18"/>
        <v>Dec</v>
      </c>
      <c r="I631" s="9">
        <f t="shared" ca="1" si="19"/>
        <v>15</v>
      </c>
      <c r="J631" s="8"/>
      <c r="K631" s="7">
        <v>21490</v>
      </c>
      <c r="L631" s="6">
        <v>5</v>
      </c>
      <c r="M631" s="106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25">
      <c r="A632" s="1" t="s">
        <v>582</v>
      </c>
      <c r="B632" s="12" t="s">
        <v>39</v>
      </c>
      <c r="C632" s="1" t="s">
        <v>52</v>
      </c>
      <c r="D632" s="85">
        <v>765836666</v>
      </c>
      <c r="E632" s="88">
        <v>2525013435</v>
      </c>
      <c r="F632" s="1" t="s">
        <v>5</v>
      </c>
      <c r="G632" s="108">
        <v>40154</v>
      </c>
      <c r="H632" s="67" t="str">
        <f t="shared" si="18"/>
        <v>Dec</v>
      </c>
      <c r="I632" s="9">
        <f t="shared" ca="1" si="19"/>
        <v>6</v>
      </c>
      <c r="J632" s="8" t="s">
        <v>4</v>
      </c>
      <c r="K632" s="7">
        <v>52320</v>
      </c>
      <c r="L632" s="6">
        <v>5</v>
      </c>
      <c r="M632" s="106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25">
      <c r="A633" s="1" t="s">
        <v>332</v>
      </c>
      <c r="B633" s="12" t="s">
        <v>13</v>
      </c>
      <c r="C633" s="1" t="s">
        <v>52</v>
      </c>
      <c r="D633" s="85">
        <v>647131956</v>
      </c>
      <c r="E633" s="88">
        <v>2521240785</v>
      </c>
      <c r="F633" s="1" t="s">
        <v>5</v>
      </c>
      <c r="G633" s="108">
        <v>39903</v>
      </c>
      <c r="H633" s="67" t="str">
        <f t="shared" si="18"/>
        <v>Mar</v>
      </c>
      <c r="I633" s="9">
        <f t="shared" ca="1" si="19"/>
        <v>7</v>
      </c>
      <c r="J633" s="8" t="s">
        <v>32</v>
      </c>
      <c r="K633" s="7">
        <v>88270</v>
      </c>
      <c r="L633" s="6">
        <v>3</v>
      </c>
      <c r="M633" s="106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25">
      <c r="A634" s="1" t="s">
        <v>63</v>
      </c>
      <c r="B634" s="12" t="s">
        <v>13</v>
      </c>
      <c r="C634" s="1" t="s">
        <v>52</v>
      </c>
      <c r="D634" s="85">
        <v>984881714</v>
      </c>
      <c r="E634" s="88">
        <v>9196973131</v>
      </c>
      <c r="F634" s="1" t="s">
        <v>5</v>
      </c>
      <c r="G634" s="108">
        <v>36409</v>
      </c>
      <c r="H634" s="67" t="str">
        <f t="shared" si="18"/>
        <v>Sep</v>
      </c>
      <c r="I634" s="9">
        <f t="shared" ca="1" si="19"/>
        <v>17</v>
      </c>
      <c r="J634" s="8" t="s">
        <v>4</v>
      </c>
      <c r="K634" s="7">
        <v>41200</v>
      </c>
      <c r="L634" s="6">
        <v>3</v>
      </c>
      <c r="M634" s="106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25">
      <c r="A635" s="1" t="s">
        <v>257</v>
      </c>
      <c r="B635" s="12" t="s">
        <v>17</v>
      </c>
      <c r="C635" s="1" t="s">
        <v>52</v>
      </c>
      <c r="D635" s="85">
        <v>627977314</v>
      </c>
      <c r="E635" s="88">
        <v>2521525844</v>
      </c>
      <c r="F635" s="1" t="s">
        <v>5</v>
      </c>
      <c r="G635" s="108">
        <v>34853</v>
      </c>
      <c r="H635" s="67" t="str">
        <f t="shared" si="18"/>
        <v>Jun</v>
      </c>
      <c r="I635" s="9">
        <f t="shared" ca="1" si="19"/>
        <v>21</v>
      </c>
      <c r="J635" s="8" t="s">
        <v>8</v>
      </c>
      <c r="K635" s="7">
        <v>103490</v>
      </c>
      <c r="L635" s="6">
        <v>1</v>
      </c>
      <c r="M635" s="106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25">
      <c r="A636" s="1" t="s">
        <v>342</v>
      </c>
      <c r="B636" s="12" t="s">
        <v>56</v>
      </c>
      <c r="C636" s="1" t="s">
        <v>52</v>
      </c>
      <c r="D636" s="85">
        <v>368385341</v>
      </c>
      <c r="E636" s="88">
        <v>9195526537</v>
      </c>
      <c r="F636" s="1" t="s">
        <v>12</v>
      </c>
      <c r="G636" s="108">
        <v>38083</v>
      </c>
      <c r="H636" s="67" t="str">
        <f t="shared" si="18"/>
        <v>Apr</v>
      </c>
      <c r="I636" s="9">
        <f t="shared" ca="1" si="19"/>
        <v>12</v>
      </c>
      <c r="J636" s="8"/>
      <c r="K636" s="7">
        <v>56140</v>
      </c>
      <c r="L636" s="6">
        <v>2</v>
      </c>
      <c r="M636" s="106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x14ac:dyDescent="0.25">
      <c r="A637" s="1" t="s">
        <v>743</v>
      </c>
      <c r="B637" s="12" t="s">
        <v>17</v>
      </c>
      <c r="C637" s="1" t="s">
        <v>52</v>
      </c>
      <c r="D637" s="85">
        <v>668708287</v>
      </c>
      <c r="E637" s="88">
        <v>9191952821</v>
      </c>
      <c r="F637" s="1" t="s">
        <v>12</v>
      </c>
      <c r="G637" s="108">
        <v>36807</v>
      </c>
      <c r="H637" s="67" t="str">
        <f t="shared" si="18"/>
        <v>Oct</v>
      </c>
      <c r="I637" s="9">
        <f t="shared" ca="1" si="19"/>
        <v>16</v>
      </c>
      <c r="J637" s="8"/>
      <c r="K637" s="7">
        <v>103320</v>
      </c>
      <c r="L637" s="6">
        <v>4</v>
      </c>
      <c r="M637" s="106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x14ac:dyDescent="0.25">
      <c r="A638" s="1" t="s">
        <v>128</v>
      </c>
      <c r="B638" s="12" t="s">
        <v>17</v>
      </c>
      <c r="C638" s="1" t="s">
        <v>52</v>
      </c>
      <c r="D638" s="85">
        <v>272659955</v>
      </c>
      <c r="E638" s="88">
        <v>9194127875</v>
      </c>
      <c r="F638" s="1" t="s">
        <v>5</v>
      </c>
      <c r="G638" s="108">
        <v>35286</v>
      </c>
      <c r="H638" s="67" t="str">
        <f t="shared" si="18"/>
        <v>Aug</v>
      </c>
      <c r="I638" s="9">
        <f t="shared" ca="1" si="19"/>
        <v>20</v>
      </c>
      <c r="J638" s="8" t="s">
        <v>19</v>
      </c>
      <c r="K638" s="7">
        <v>58190</v>
      </c>
      <c r="L638" s="6">
        <v>2</v>
      </c>
      <c r="M638" s="106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x14ac:dyDescent="0.25">
      <c r="A639" s="1" t="s">
        <v>739</v>
      </c>
      <c r="B639" s="12" t="s">
        <v>13</v>
      </c>
      <c r="C639" s="1" t="s">
        <v>6</v>
      </c>
      <c r="D639" s="85">
        <v>695198896</v>
      </c>
      <c r="E639" s="88">
        <v>2523533906</v>
      </c>
      <c r="F639" s="1" t="s">
        <v>12</v>
      </c>
      <c r="G639" s="108">
        <v>36827</v>
      </c>
      <c r="H639" s="67" t="str">
        <f t="shared" si="18"/>
        <v>Oct</v>
      </c>
      <c r="I639" s="9">
        <f t="shared" ca="1" si="19"/>
        <v>16</v>
      </c>
      <c r="J639" s="8"/>
      <c r="K639" s="7">
        <v>54040</v>
      </c>
      <c r="L639" s="6">
        <v>3</v>
      </c>
      <c r="M639" s="106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25">
      <c r="A640" s="1" t="s">
        <v>729</v>
      </c>
      <c r="B640" s="12" t="s">
        <v>13</v>
      </c>
      <c r="C640" s="1" t="s">
        <v>6</v>
      </c>
      <c r="D640" s="85">
        <v>380304349</v>
      </c>
      <c r="E640" s="88">
        <v>2526129939</v>
      </c>
      <c r="F640" s="1" t="s">
        <v>5</v>
      </c>
      <c r="G640" s="108">
        <v>37550</v>
      </c>
      <c r="H640" s="67" t="str">
        <f t="shared" si="18"/>
        <v>Oct</v>
      </c>
      <c r="I640" s="9">
        <f t="shared" ca="1" si="19"/>
        <v>14</v>
      </c>
      <c r="J640" s="8" t="s">
        <v>4</v>
      </c>
      <c r="K640" s="7">
        <v>42550</v>
      </c>
      <c r="L640" s="6">
        <v>1</v>
      </c>
      <c r="M640" s="106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25">
      <c r="A641" s="1" t="s">
        <v>300</v>
      </c>
      <c r="B641" s="12" t="s">
        <v>2</v>
      </c>
      <c r="C641" s="1" t="s">
        <v>6</v>
      </c>
      <c r="D641" s="85">
        <v>758001890</v>
      </c>
      <c r="E641" s="88">
        <v>2521202348</v>
      </c>
      <c r="F641" s="1" t="s">
        <v>15</v>
      </c>
      <c r="G641" s="108">
        <v>36298</v>
      </c>
      <c r="H641" s="67" t="str">
        <f t="shared" si="18"/>
        <v>May</v>
      </c>
      <c r="I641" s="9">
        <f t="shared" ca="1" si="19"/>
        <v>17</v>
      </c>
      <c r="J641" s="8" t="s">
        <v>4</v>
      </c>
      <c r="K641" s="7">
        <v>45730</v>
      </c>
      <c r="L641" s="6">
        <v>2</v>
      </c>
      <c r="M641" s="106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25">
      <c r="A642" s="1" t="s">
        <v>467</v>
      </c>
      <c r="B642" s="12" t="s">
        <v>13</v>
      </c>
      <c r="C642" s="1" t="s">
        <v>6</v>
      </c>
      <c r="D642" s="85">
        <v>163350417</v>
      </c>
      <c r="E642" s="88">
        <v>2526466230</v>
      </c>
      <c r="F642" s="1" t="s">
        <v>5</v>
      </c>
      <c r="G642" s="108">
        <v>37673</v>
      </c>
      <c r="H642" s="67" t="str">
        <f t="shared" ref="H642:H705" si="20">CHOOSE(MONTH(G642),"Jan","Feb","Mar","Apr","May","Jun","Jul","Aug","Sep","Oct","Nov","Dec")</f>
        <v>Feb</v>
      </c>
      <c r="I642" s="9">
        <f t="shared" ref="I642:I705" ca="1" si="21">DATEDIF(G642,TODAY(),"Y")</f>
        <v>13</v>
      </c>
      <c r="J642" s="8" t="s">
        <v>34</v>
      </c>
      <c r="K642" s="7">
        <v>78380</v>
      </c>
      <c r="L642" s="6">
        <v>5</v>
      </c>
      <c r="M642" s="106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25">
      <c r="A643" s="1" t="s">
        <v>672</v>
      </c>
      <c r="B643" s="12" t="s">
        <v>39</v>
      </c>
      <c r="C643" s="1" t="s">
        <v>6</v>
      </c>
      <c r="D643" s="85">
        <v>247422007</v>
      </c>
      <c r="E643" s="88">
        <v>2528012440</v>
      </c>
      <c r="F643" s="1" t="s">
        <v>12</v>
      </c>
      <c r="G643" s="108">
        <v>37194</v>
      </c>
      <c r="H643" s="67" t="str">
        <f t="shared" si="20"/>
        <v>Oct</v>
      </c>
      <c r="I643" s="9">
        <f t="shared" ca="1" si="21"/>
        <v>15</v>
      </c>
      <c r="J643" s="8"/>
      <c r="K643" s="7">
        <v>69900</v>
      </c>
      <c r="L643" s="6">
        <v>2</v>
      </c>
      <c r="M643" s="106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25">
      <c r="A644" s="1" t="s">
        <v>380</v>
      </c>
      <c r="B644" s="12" t="s">
        <v>10</v>
      </c>
      <c r="C644" s="1" t="s">
        <v>6</v>
      </c>
      <c r="D644" s="85">
        <v>426812736</v>
      </c>
      <c r="E644" s="88">
        <v>9198399625</v>
      </c>
      <c r="F644" s="1" t="s">
        <v>12</v>
      </c>
      <c r="G644" s="108">
        <v>35160</v>
      </c>
      <c r="H644" s="67" t="str">
        <f t="shared" si="20"/>
        <v>Apr</v>
      </c>
      <c r="I644" s="9">
        <f t="shared" ca="1" si="21"/>
        <v>20</v>
      </c>
      <c r="J644" s="8"/>
      <c r="K644" s="7">
        <v>42290</v>
      </c>
      <c r="L644" s="6">
        <v>3</v>
      </c>
      <c r="M644" s="106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25">
      <c r="A645" s="1" t="s">
        <v>385</v>
      </c>
      <c r="B645" s="12" t="s">
        <v>39</v>
      </c>
      <c r="C645" s="1" t="s">
        <v>6</v>
      </c>
      <c r="D645" s="85">
        <v>741258203</v>
      </c>
      <c r="E645" s="88">
        <v>9195157707</v>
      </c>
      <c r="F645" s="1" t="s">
        <v>12</v>
      </c>
      <c r="G645" s="108">
        <v>34790</v>
      </c>
      <c r="H645" s="67" t="str">
        <f t="shared" si="20"/>
        <v>Apr</v>
      </c>
      <c r="I645" s="9">
        <f t="shared" ca="1" si="21"/>
        <v>21</v>
      </c>
      <c r="J645" s="8"/>
      <c r="K645" s="7">
        <v>70950</v>
      </c>
      <c r="L645" s="6">
        <v>4</v>
      </c>
      <c r="M645" s="106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25">
      <c r="A646" s="1" t="s">
        <v>366</v>
      </c>
      <c r="B646" s="12" t="s">
        <v>13</v>
      </c>
      <c r="C646" s="1" t="s">
        <v>6</v>
      </c>
      <c r="D646" s="85">
        <v>101829876</v>
      </c>
      <c r="E646" s="88">
        <v>2522552565</v>
      </c>
      <c r="F646" s="1" t="s">
        <v>0</v>
      </c>
      <c r="G646" s="108">
        <v>36248</v>
      </c>
      <c r="H646" s="67" t="str">
        <f t="shared" si="20"/>
        <v>Mar</v>
      </c>
      <c r="I646" s="9">
        <f t="shared" ca="1" si="21"/>
        <v>17</v>
      </c>
      <c r="J646" s="8"/>
      <c r="K646" s="7">
        <v>40500</v>
      </c>
      <c r="L646" s="6">
        <v>3</v>
      </c>
      <c r="M646" s="106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25">
      <c r="A647" s="1" t="s">
        <v>370</v>
      </c>
      <c r="B647" s="12" t="s">
        <v>13</v>
      </c>
      <c r="C647" s="1" t="s">
        <v>6</v>
      </c>
      <c r="D647" s="85">
        <v>324069262</v>
      </c>
      <c r="E647" s="88">
        <v>2525459665</v>
      </c>
      <c r="F647" s="1" t="s">
        <v>12</v>
      </c>
      <c r="G647" s="108">
        <v>35535</v>
      </c>
      <c r="H647" s="67" t="str">
        <f t="shared" si="20"/>
        <v>Apr</v>
      </c>
      <c r="I647" s="9">
        <f t="shared" ca="1" si="21"/>
        <v>19</v>
      </c>
      <c r="J647" s="8"/>
      <c r="K647" s="7">
        <v>54130</v>
      </c>
      <c r="L647" s="6">
        <v>1</v>
      </c>
      <c r="M647" s="106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25">
      <c r="A648" s="1" t="s">
        <v>506</v>
      </c>
      <c r="B648" s="12" t="s">
        <v>56</v>
      </c>
      <c r="C648" s="1" t="s">
        <v>6</v>
      </c>
      <c r="D648" s="85">
        <v>995590510</v>
      </c>
      <c r="E648" s="88">
        <v>9191838930</v>
      </c>
      <c r="F648" s="1" t="s">
        <v>12</v>
      </c>
      <c r="G648" s="108">
        <v>41639</v>
      </c>
      <c r="H648" s="67" t="str">
        <f t="shared" si="20"/>
        <v>Dec</v>
      </c>
      <c r="I648" s="9">
        <f t="shared" ca="1" si="21"/>
        <v>2</v>
      </c>
      <c r="J648" s="8"/>
      <c r="K648" s="7">
        <v>51590</v>
      </c>
      <c r="L648" s="6">
        <v>4</v>
      </c>
      <c r="M648" s="106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25">
      <c r="A649" s="1" t="s">
        <v>328</v>
      </c>
      <c r="B649" s="12" t="s">
        <v>13</v>
      </c>
      <c r="C649" s="1" t="s">
        <v>6</v>
      </c>
      <c r="D649" s="85">
        <v>771110153</v>
      </c>
      <c r="E649" s="88">
        <v>9196799516</v>
      </c>
      <c r="F649" s="1" t="s">
        <v>5</v>
      </c>
      <c r="G649" s="108">
        <v>40284</v>
      </c>
      <c r="H649" s="67" t="str">
        <f t="shared" si="20"/>
        <v>Apr</v>
      </c>
      <c r="I649" s="9">
        <f t="shared" ca="1" si="21"/>
        <v>6</v>
      </c>
      <c r="J649" s="8" t="s">
        <v>32</v>
      </c>
      <c r="K649" s="7">
        <v>29980</v>
      </c>
      <c r="L649" s="6">
        <v>3</v>
      </c>
      <c r="M649" s="106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25">
      <c r="A650" s="1" t="s">
        <v>396</v>
      </c>
      <c r="B650" s="12" t="s">
        <v>2</v>
      </c>
      <c r="C650" s="1" t="s">
        <v>6</v>
      </c>
      <c r="D650" s="85">
        <v>147683641</v>
      </c>
      <c r="E650" s="88">
        <v>9191657646</v>
      </c>
      <c r="F650" s="1" t="s">
        <v>12</v>
      </c>
      <c r="G650" s="108">
        <v>41335</v>
      </c>
      <c r="H650" s="67" t="str">
        <f t="shared" si="20"/>
        <v>Mar</v>
      </c>
      <c r="I650" s="9">
        <f t="shared" ca="1" si="21"/>
        <v>3</v>
      </c>
      <c r="J650" s="8"/>
      <c r="K650" s="7">
        <v>56740</v>
      </c>
      <c r="L650" s="6">
        <v>1</v>
      </c>
      <c r="M650" s="106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25">
      <c r="A651" s="1" t="s">
        <v>136</v>
      </c>
      <c r="B651" s="12" t="s">
        <v>17</v>
      </c>
      <c r="C651" s="1" t="s">
        <v>6</v>
      </c>
      <c r="D651" s="85">
        <v>918436287</v>
      </c>
      <c r="E651" s="88">
        <v>2528238755</v>
      </c>
      <c r="F651" s="1" t="s">
        <v>12</v>
      </c>
      <c r="G651" s="108">
        <v>34194</v>
      </c>
      <c r="H651" s="67" t="str">
        <f t="shared" si="20"/>
        <v>Aug</v>
      </c>
      <c r="I651" s="9">
        <f t="shared" ca="1" si="21"/>
        <v>23</v>
      </c>
      <c r="J651" s="8"/>
      <c r="K651" s="7">
        <v>76330</v>
      </c>
      <c r="L651" s="6">
        <v>5</v>
      </c>
      <c r="M651" s="106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25">
      <c r="A652" s="1" t="s">
        <v>292</v>
      </c>
      <c r="B652" s="12" t="s">
        <v>13</v>
      </c>
      <c r="C652" s="1" t="s">
        <v>6</v>
      </c>
      <c r="D652" s="85">
        <v>249416723</v>
      </c>
      <c r="E652" s="88">
        <v>2521628807</v>
      </c>
      <c r="F652" s="1" t="s">
        <v>5</v>
      </c>
      <c r="G652" s="108">
        <v>37026</v>
      </c>
      <c r="H652" s="67" t="str">
        <f t="shared" si="20"/>
        <v>May</v>
      </c>
      <c r="I652" s="9">
        <f t="shared" ca="1" si="21"/>
        <v>15</v>
      </c>
      <c r="J652" s="8" t="s">
        <v>34</v>
      </c>
      <c r="K652" s="7">
        <v>77360</v>
      </c>
      <c r="L652" s="6">
        <v>5</v>
      </c>
      <c r="M652" s="106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25">
      <c r="A653" s="1" t="s">
        <v>237</v>
      </c>
      <c r="B653" s="12" t="s">
        <v>10</v>
      </c>
      <c r="C653" s="1" t="s">
        <v>6</v>
      </c>
      <c r="D653" s="85">
        <v>658842625</v>
      </c>
      <c r="E653" s="88">
        <v>9193788281</v>
      </c>
      <c r="F653" s="1" t="s">
        <v>15</v>
      </c>
      <c r="G653" s="108">
        <v>37054</v>
      </c>
      <c r="H653" s="67" t="str">
        <f t="shared" si="20"/>
        <v>Jun</v>
      </c>
      <c r="I653" s="9">
        <f t="shared" ca="1" si="21"/>
        <v>15</v>
      </c>
      <c r="J653" s="8" t="s">
        <v>8</v>
      </c>
      <c r="K653" s="7">
        <v>55330</v>
      </c>
      <c r="L653" s="6">
        <v>5</v>
      </c>
      <c r="M653" s="106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25">
      <c r="A654" s="1" t="s">
        <v>599</v>
      </c>
      <c r="B654" s="12" t="s">
        <v>13</v>
      </c>
      <c r="C654" s="1" t="s">
        <v>6</v>
      </c>
      <c r="D654" s="85">
        <v>800685434</v>
      </c>
      <c r="E654" s="88">
        <v>2525821616</v>
      </c>
      <c r="F654" s="1" t="s">
        <v>5</v>
      </c>
      <c r="G654" s="108">
        <v>37957</v>
      </c>
      <c r="H654" s="67" t="str">
        <f t="shared" si="20"/>
        <v>Dec</v>
      </c>
      <c r="I654" s="9">
        <f t="shared" ca="1" si="21"/>
        <v>12</v>
      </c>
      <c r="J654" s="8" t="s">
        <v>8</v>
      </c>
      <c r="K654" s="7">
        <v>59920</v>
      </c>
      <c r="L654" s="6">
        <v>1</v>
      </c>
      <c r="M654" s="106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25">
      <c r="A655" s="1" t="s">
        <v>338</v>
      </c>
      <c r="B655" s="12" t="s">
        <v>13</v>
      </c>
      <c r="C655" s="1" t="s">
        <v>6</v>
      </c>
      <c r="D655" s="85">
        <v>177324163</v>
      </c>
      <c r="E655" s="88">
        <v>2527091949</v>
      </c>
      <c r="F655" s="1" t="s">
        <v>5</v>
      </c>
      <c r="G655" s="108">
        <v>38811</v>
      </c>
      <c r="H655" s="67" t="str">
        <f t="shared" si="20"/>
        <v>Apr</v>
      </c>
      <c r="I655" s="9">
        <f t="shared" ca="1" si="21"/>
        <v>10</v>
      </c>
      <c r="J655" s="8" t="s">
        <v>4</v>
      </c>
      <c r="K655" s="7">
        <v>57610</v>
      </c>
      <c r="L655" s="6">
        <v>3</v>
      </c>
      <c r="M655" s="106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25">
      <c r="A656" s="1" t="s">
        <v>384</v>
      </c>
      <c r="B656" s="12" t="s">
        <v>17</v>
      </c>
      <c r="C656" s="1" t="s">
        <v>6</v>
      </c>
      <c r="D656" s="85">
        <v>693214759</v>
      </c>
      <c r="E656" s="88">
        <v>9192683895</v>
      </c>
      <c r="F656" s="1" t="s">
        <v>5</v>
      </c>
      <c r="G656" s="108">
        <v>34807</v>
      </c>
      <c r="H656" s="67" t="str">
        <f t="shared" si="20"/>
        <v>Apr</v>
      </c>
      <c r="I656" s="9">
        <f t="shared" ca="1" si="21"/>
        <v>21</v>
      </c>
      <c r="J656" s="8" t="s">
        <v>34</v>
      </c>
      <c r="K656" s="7">
        <v>75340</v>
      </c>
      <c r="L656" s="6">
        <v>3</v>
      </c>
      <c r="M656" s="106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25">
      <c r="A657" s="1" t="s">
        <v>440</v>
      </c>
      <c r="B657" s="12" t="s">
        <v>13</v>
      </c>
      <c r="C657" s="1" t="s">
        <v>6</v>
      </c>
      <c r="D657" s="85">
        <v>891224981</v>
      </c>
      <c r="E657" s="88">
        <v>2526391402</v>
      </c>
      <c r="F657" s="1" t="s">
        <v>15</v>
      </c>
      <c r="G657" s="108">
        <v>35141</v>
      </c>
      <c r="H657" s="67" t="str">
        <f t="shared" si="20"/>
        <v>Mar</v>
      </c>
      <c r="I657" s="9">
        <f t="shared" ca="1" si="21"/>
        <v>20</v>
      </c>
      <c r="J657" s="8" t="s">
        <v>8</v>
      </c>
      <c r="K657" s="7">
        <v>13480</v>
      </c>
      <c r="L657" s="6">
        <v>4</v>
      </c>
      <c r="M657" s="106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25">
      <c r="A658" s="1" t="s">
        <v>649</v>
      </c>
      <c r="B658" s="12" t="s">
        <v>13</v>
      </c>
      <c r="C658" s="1" t="s">
        <v>6</v>
      </c>
      <c r="D658" s="85">
        <v>794814501</v>
      </c>
      <c r="E658" s="88">
        <v>2525604891</v>
      </c>
      <c r="F658" s="1" t="s">
        <v>12</v>
      </c>
      <c r="G658" s="108">
        <v>41236</v>
      </c>
      <c r="H658" s="67" t="str">
        <f t="shared" si="20"/>
        <v>Nov</v>
      </c>
      <c r="I658" s="9">
        <f t="shared" ca="1" si="21"/>
        <v>3</v>
      </c>
      <c r="J658" s="8"/>
      <c r="K658" s="7">
        <v>96870</v>
      </c>
      <c r="L658" s="6">
        <v>3</v>
      </c>
      <c r="M658" s="106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25">
      <c r="A659" s="1" t="s">
        <v>70</v>
      </c>
      <c r="B659" s="12" t="s">
        <v>17</v>
      </c>
      <c r="C659" s="1" t="s">
        <v>6</v>
      </c>
      <c r="D659" s="85">
        <v>595022550</v>
      </c>
      <c r="E659" s="88">
        <v>9195621928</v>
      </c>
      <c r="F659" s="1" t="s">
        <v>5</v>
      </c>
      <c r="G659" s="108">
        <v>34958</v>
      </c>
      <c r="H659" s="67" t="str">
        <f t="shared" si="20"/>
        <v>Sep</v>
      </c>
      <c r="I659" s="9">
        <f t="shared" ca="1" si="21"/>
        <v>21</v>
      </c>
      <c r="J659" s="8" t="s">
        <v>34</v>
      </c>
      <c r="K659" s="7">
        <v>71390</v>
      </c>
      <c r="L659" s="6">
        <v>3</v>
      </c>
      <c r="M659" s="106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25">
      <c r="A660" s="1" t="s">
        <v>399</v>
      </c>
      <c r="B660" s="12" t="s">
        <v>39</v>
      </c>
      <c r="C660" s="1" t="s">
        <v>6</v>
      </c>
      <c r="D660" s="85">
        <v>210491464</v>
      </c>
      <c r="E660" s="88">
        <v>9198405552</v>
      </c>
      <c r="F660" s="1" t="s">
        <v>5</v>
      </c>
      <c r="G660" s="108">
        <v>40603</v>
      </c>
      <c r="H660" s="67" t="str">
        <f t="shared" si="20"/>
        <v>Mar</v>
      </c>
      <c r="I660" s="9">
        <f t="shared" ca="1" si="21"/>
        <v>5</v>
      </c>
      <c r="J660" s="8" t="s">
        <v>32</v>
      </c>
      <c r="K660" s="7">
        <v>95260</v>
      </c>
      <c r="L660" s="6">
        <v>5</v>
      </c>
      <c r="M660" s="106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25">
      <c r="A661" s="1" t="s">
        <v>765</v>
      </c>
      <c r="B661" s="12" t="s">
        <v>13</v>
      </c>
      <c r="C661" s="1" t="s">
        <v>6</v>
      </c>
      <c r="D661" s="85">
        <v>656572514</v>
      </c>
      <c r="E661" s="88">
        <v>9193679666</v>
      </c>
      <c r="F661" s="1" t="s">
        <v>12</v>
      </c>
      <c r="G661" s="108">
        <v>34975</v>
      </c>
      <c r="H661" s="67" t="str">
        <f t="shared" si="20"/>
        <v>Oct</v>
      </c>
      <c r="I661" s="9">
        <f t="shared" ca="1" si="21"/>
        <v>21</v>
      </c>
      <c r="J661" s="8"/>
      <c r="K661" s="7">
        <v>84180</v>
      </c>
      <c r="L661" s="6">
        <v>2</v>
      </c>
      <c r="M661" s="106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25">
      <c r="A662" s="1" t="s">
        <v>263</v>
      </c>
      <c r="B662" s="12" t="s">
        <v>13</v>
      </c>
      <c r="C662" s="1" t="s">
        <v>6</v>
      </c>
      <c r="D662" s="85">
        <v>904497673</v>
      </c>
      <c r="E662" s="88">
        <v>2521277028</v>
      </c>
      <c r="F662" s="1" t="s">
        <v>12</v>
      </c>
      <c r="G662" s="108">
        <v>34145</v>
      </c>
      <c r="H662" s="67" t="str">
        <f t="shared" si="20"/>
        <v>Jun</v>
      </c>
      <c r="I662" s="9">
        <f t="shared" ca="1" si="21"/>
        <v>23</v>
      </c>
      <c r="J662" s="8"/>
      <c r="K662" s="7">
        <v>28010</v>
      </c>
      <c r="L662" s="6">
        <v>4</v>
      </c>
      <c r="M662" s="106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25">
      <c r="A663" s="1" t="s">
        <v>763</v>
      </c>
      <c r="B663" s="12" t="s">
        <v>10</v>
      </c>
      <c r="C663" s="1" t="s">
        <v>6</v>
      </c>
      <c r="D663" s="85">
        <v>364525917</v>
      </c>
      <c r="E663" s="88">
        <v>2522787318</v>
      </c>
      <c r="F663" s="1" t="s">
        <v>5</v>
      </c>
      <c r="G663" s="108">
        <v>34979</v>
      </c>
      <c r="H663" s="67" t="str">
        <f t="shared" si="20"/>
        <v>Oct</v>
      </c>
      <c r="I663" s="9">
        <f t="shared" ca="1" si="21"/>
        <v>21</v>
      </c>
      <c r="J663" s="8" t="s">
        <v>4</v>
      </c>
      <c r="K663" s="7">
        <v>55690</v>
      </c>
      <c r="L663" s="6">
        <v>2</v>
      </c>
      <c r="M663" s="106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25">
      <c r="A664" s="1" t="s">
        <v>105</v>
      </c>
      <c r="B664" s="12" t="s">
        <v>56</v>
      </c>
      <c r="C664" s="1" t="s">
        <v>6</v>
      </c>
      <c r="D664" s="85">
        <v>635240617</v>
      </c>
      <c r="E664" s="88">
        <v>9192259651</v>
      </c>
      <c r="F664" s="1" t="s">
        <v>5</v>
      </c>
      <c r="G664" s="108">
        <v>37844</v>
      </c>
      <c r="H664" s="67" t="str">
        <f t="shared" si="20"/>
        <v>Aug</v>
      </c>
      <c r="I664" s="9">
        <f t="shared" ca="1" si="21"/>
        <v>13</v>
      </c>
      <c r="J664" s="8" t="s">
        <v>4</v>
      </c>
      <c r="K664" s="7">
        <v>57160</v>
      </c>
      <c r="L664" s="6">
        <v>3</v>
      </c>
      <c r="M664" s="106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25">
      <c r="A665" s="1" t="s">
        <v>159</v>
      </c>
      <c r="B665" s="12" t="s">
        <v>13</v>
      </c>
      <c r="C665" s="1" t="s">
        <v>6</v>
      </c>
      <c r="D665" s="85">
        <v>546546374</v>
      </c>
      <c r="E665" s="88">
        <v>9192727944</v>
      </c>
      <c r="F665" s="1" t="s">
        <v>15</v>
      </c>
      <c r="G665" s="108">
        <v>37463</v>
      </c>
      <c r="H665" s="67" t="str">
        <f t="shared" si="20"/>
        <v>Jul</v>
      </c>
      <c r="I665" s="9">
        <f t="shared" ca="1" si="21"/>
        <v>14</v>
      </c>
      <c r="J665" s="8" t="s">
        <v>4</v>
      </c>
      <c r="K665" s="7">
        <v>31420</v>
      </c>
      <c r="L665" s="6">
        <v>5</v>
      </c>
      <c r="M665" s="106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x14ac:dyDescent="0.25">
      <c r="A666" s="1" t="s">
        <v>261</v>
      </c>
      <c r="B666" s="12" t="s">
        <v>13</v>
      </c>
      <c r="C666" s="1" t="s">
        <v>6</v>
      </c>
      <c r="D666" s="85">
        <v>970466937</v>
      </c>
      <c r="E666" s="88">
        <v>9192042331</v>
      </c>
      <c r="F666" s="1" t="s">
        <v>12</v>
      </c>
      <c r="G666" s="108">
        <v>34496</v>
      </c>
      <c r="H666" s="67" t="str">
        <f t="shared" si="20"/>
        <v>Jun</v>
      </c>
      <c r="I666" s="9">
        <f t="shared" ca="1" si="21"/>
        <v>22</v>
      </c>
      <c r="J666" s="8"/>
      <c r="K666" s="7">
        <v>74980</v>
      </c>
      <c r="L666" s="6">
        <v>5</v>
      </c>
      <c r="M666" s="106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25">
      <c r="A667" s="1" t="s">
        <v>598</v>
      </c>
      <c r="B667" s="12" t="s">
        <v>13</v>
      </c>
      <c r="C667" s="1" t="s">
        <v>6</v>
      </c>
      <c r="D667" s="85">
        <v>212558012</v>
      </c>
      <c r="E667" s="88">
        <v>2526860208</v>
      </c>
      <c r="F667" s="1" t="s">
        <v>5</v>
      </c>
      <c r="G667" s="108">
        <v>37968</v>
      </c>
      <c r="H667" s="67" t="str">
        <f t="shared" si="20"/>
        <v>Dec</v>
      </c>
      <c r="I667" s="9">
        <f t="shared" ca="1" si="21"/>
        <v>12</v>
      </c>
      <c r="J667" s="8" t="s">
        <v>32</v>
      </c>
      <c r="K667" s="7">
        <v>75670</v>
      </c>
      <c r="L667" s="6">
        <v>4</v>
      </c>
      <c r="M667" s="106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25">
      <c r="A668" s="1" t="s">
        <v>153</v>
      </c>
      <c r="B668" s="12" t="s">
        <v>56</v>
      </c>
      <c r="C668" s="1" t="s">
        <v>6</v>
      </c>
      <c r="D668" s="85">
        <v>688769770</v>
      </c>
      <c r="E668" s="88">
        <v>9192416398</v>
      </c>
      <c r="F668" s="1" t="s">
        <v>5</v>
      </c>
      <c r="G668" s="108">
        <v>39627</v>
      </c>
      <c r="H668" s="67" t="str">
        <f t="shared" si="20"/>
        <v>Jun</v>
      </c>
      <c r="I668" s="9">
        <f t="shared" ca="1" si="21"/>
        <v>8</v>
      </c>
      <c r="J668" s="8" t="s">
        <v>32</v>
      </c>
      <c r="K668" s="7">
        <v>53440</v>
      </c>
      <c r="L668" s="6">
        <v>2</v>
      </c>
      <c r="M668" s="106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25">
      <c r="A669" s="1" t="s">
        <v>495</v>
      </c>
      <c r="B669" s="12" t="s">
        <v>13</v>
      </c>
      <c r="C669" s="1" t="s">
        <v>6</v>
      </c>
      <c r="D669" s="85">
        <v>471064761</v>
      </c>
      <c r="E669" s="88">
        <v>9191800673</v>
      </c>
      <c r="F669" s="1" t="s">
        <v>0</v>
      </c>
      <c r="G669" s="108">
        <v>35826</v>
      </c>
      <c r="H669" s="67" t="str">
        <f t="shared" si="20"/>
        <v>Jan</v>
      </c>
      <c r="I669" s="9">
        <f t="shared" ca="1" si="21"/>
        <v>18</v>
      </c>
      <c r="J669" s="8"/>
      <c r="K669" s="7">
        <v>32330</v>
      </c>
      <c r="L669" s="6">
        <v>4</v>
      </c>
      <c r="M669" s="106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x14ac:dyDescent="0.25">
      <c r="A670" s="1" t="s">
        <v>246</v>
      </c>
      <c r="B670" s="12" t="s">
        <v>10</v>
      </c>
      <c r="C670" s="1" t="s">
        <v>6</v>
      </c>
      <c r="D670" s="85">
        <v>733358713</v>
      </c>
      <c r="E670" s="88">
        <v>9196648050</v>
      </c>
      <c r="F670" s="1" t="s">
        <v>12</v>
      </c>
      <c r="G670" s="108">
        <v>36339</v>
      </c>
      <c r="H670" s="67" t="str">
        <f t="shared" si="20"/>
        <v>Jun</v>
      </c>
      <c r="I670" s="9">
        <f t="shared" ca="1" si="21"/>
        <v>17</v>
      </c>
      <c r="J670" s="8"/>
      <c r="K670" s="7">
        <v>105400</v>
      </c>
      <c r="L670" s="6">
        <v>2</v>
      </c>
      <c r="M670" s="106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x14ac:dyDescent="0.25">
      <c r="A671" s="1" t="s">
        <v>450</v>
      </c>
      <c r="B671" s="12" t="s">
        <v>13</v>
      </c>
      <c r="C671" s="1" t="s">
        <v>6</v>
      </c>
      <c r="D671" s="85">
        <v>277423593</v>
      </c>
      <c r="E671" s="88">
        <v>9195790921</v>
      </c>
      <c r="F671" s="1" t="s">
        <v>15</v>
      </c>
      <c r="G671" s="108">
        <v>34392</v>
      </c>
      <c r="H671" s="67" t="str">
        <f t="shared" si="20"/>
        <v>Feb</v>
      </c>
      <c r="I671" s="9">
        <f t="shared" ca="1" si="21"/>
        <v>22</v>
      </c>
      <c r="J671" s="8" t="s">
        <v>4</v>
      </c>
      <c r="K671" s="7">
        <v>16150</v>
      </c>
      <c r="L671" s="6">
        <v>2</v>
      </c>
      <c r="M671" s="106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25">
      <c r="A672" s="1" t="s">
        <v>59</v>
      </c>
      <c r="B672" s="12" t="s">
        <v>2</v>
      </c>
      <c r="C672" s="1" t="s">
        <v>6</v>
      </c>
      <c r="D672" s="85">
        <v>941937371</v>
      </c>
      <c r="E672" s="88">
        <v>9195060466</v>
      </c>
      <c r="F672" s="1" t="s">
        <v>5</v>
      </c>
      <c r="G672" s="108">
        <v>36777</v>
      </c>
      <c r="H672" s="67" t="str">
        <f t="shared" si="20"/>
        <v>Sep</v>
      </c>
      <c r="I672" s="9">
        <f t="shared" ca="1" si="21"/>
        <v>16</v>
      </c>
      <c r="J672" s="8" t="s">
        <v>32</v>
      </c>
      <c r="K672" s="7">
        <v>103580</v>
      </c>
      <c r="L672" s="6">
        <v>4</v>
      </c>
      <c r="M672" s="106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x14ac:dyDescent="0.25">
      <c r="A673" s="1" t="s">
        <v>362</v>
      </c>
      <c r="B673" s="12" t="s">
        <v>13</v>
      </c>
      <c r="C673" s="1" t="s">
        <v>6</v>
      </c>
      <c r="D673" s="85">
        <v>627494412</v>
      </c>
      <c r="E673" s="88">
        <v>2528249735</v>
      </c>
      <c r="F673" s="1" t="s">
        <v>5</v>
      </c>
      <c r="G673" s="108">
        <v>36277</v>
      </c>
      <c r="H673" s="67" t="str">
        <f t="shared" si="20"/>
        <v>Apr</v>
      </c>
      <c r="I673" s="9">
        <f t="shared" ca="1" si="21"/>
        <v>17</v>
      </c>
      <c r="J673" s="8" t="s">
        <v>32</v>
      </c>
      <c r="K673" s="7">
        <v>70040</v>
      </c>
      <c r="L673" s="6">
        <v>5</v>
      </c>
      <c r="M673" s="106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25">
      <c r="A674" s="1" t="s">
        <v>35</v>
      </c>
      <c r="B674" s="12" t="s">
        <v>10</v>
      </c>
      <c r="C674" s="1" t="s">
        <v>6</v>
      </c>
      <c r="D674" s="85">
        <v>230192897</v>
      </c>
      <c r="E674" s="88">
        <v>2525261239</v>
      </c>
      <c r="F674" s="1" t="s">
        <v>5</v>
      </c>
      <c r="G674" s="108">
        <v>40442</v>
      </c>
      <c r="H674" s="67" t="str">
        <f t="shared" si="20"/>
        <v>Sep</v>
      </c>
      <c r="I674" s="9">
        <f t="shared" ca="1" si="21"/>
        <v>6</v>
      </c>
      <c r="J674" s="8" t="s">
        <v>34</v>
      </c>
      <c r="K674" s="7">
        <v>82630</v>
      </c>
      <c r="L674" s="6">
        <v>2</v>
      </c>
      <c r="M674" s="106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25">
      <c r="A675" s="1" t="s">
        <v>681</v>
      </c>
      <c r="B675" s="12" t="s">
        <v>13</v>
      </c>
      <c r="C675" s="1" t="s">
        <v>6</v>
      </c>
      <c r="D675" s="85">
        <v>894855096</v>
      </c>
      <c r="E675" s="88">
        <v>9193936198</v>
      </c>
      <c r="F675" s="1" t="s">
        <v>15</v>
      </c>
      <c r="G675" s="108">
        <v>36467</v>
      </c>
      <c r="H675" s="67" t="str">
        <f t="shared" si="20"/>
        <v>Nov</v>
      </c>
      <c r="I675" s="9">
        <f t="shared" ca="1" si="21"/>
        <v>16</v>
      </c>
      <c r="J675" s="8" t="s">
        <v>34</v>
      </c>
      <c r="K675" s="7">
        <v>45190</v>
      </c>
      <c r="L675" s="6">
        <v>4</v>
      </c>
      <c r="M675" s="106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25">
      <c r="A676" s="1" t="s">
        <v>588</v>
      </c>
      <c r="B676" s="12" t="s">
        <v>10</v>
      </c>
      <c r="C676" s="1" t="s">
        <v>6</v>
      </c>
      <c r="D676" s="85">
        <v>723066626</v>
      </c>
      <c r="E676" s="88">
        <v>2525399385</v>
      </c>
      <c r="F676" s="1" t="s">
        <v>12</v>
      </c>
      <c r="G676" s="108">
        <v>39439</v>
      </c>
      <c r="H676" s="67" t="str">
        <f t="shared" si="20"/>
        <v>Dec</v>
      </c>
      <c r="I676" s="9">
        <f t="shared" ca="1" si="21"/>
        <v>8</v>
      </c>
      <c r="J676" s="8"/>
      <c r="K676" s="7">
        <v>39460</v>
      </c>
      <c r="L676" s="6">
        <v>3</v>
      </c>
      <c r="M676" s="106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25">
      <c r="A677" s="1" t="s">
        <v>133</v>
      </c>
      <c r="B677" s="12" t="s">
        <v>13</v>
      </c>
      <c r="C677" s="1" t="s">
        <v>6</v>
      </c>
      <c r="D677" s="85">
        <v>144722757</v>
      </c>
      <c r="E677" s="88">
        <v>9196060038</v>
      </c>
      <c r="F677" s="1" t="s">
        <v>12</v>
      </c>
      <c r="G677" s="108">
        <v>34563</v>
      </c>
      <c r="H677" s="67" t="str">
        <f t="shared" si="20"/>
        <v>Aug</v>
      </c>
      <c r="I677" s="9">
        <f t="shared" ca="1" si="21"/>
        <v>22</v>
      </c>
      <c r="J677" s="8"/>
      <c r="K677" s="7">
        <v>69000</v>
      </c>
      <c r="L677" s="6">
        <v>1</v>
      </c>
      <c r="M677" s="106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25">
      <c r="A678" s="1" t="s">
        <v>381</v>
      </c>
      <c r="B678" s="12" t="s">
        <v>17</v>
      </c>
      <c r="C678" s="1" t="s">
        <v>6</v>
      </c>
      <c r="D678" s="85">
        <v>418701946</v>
      </c>
      <c r="E678" s="88">
        <v>2524141191</v>
      </c>
      <c r="F678" s="1" t="s">
        <v>15</v>
      </c>
      <c r="G678" s="108">
        <v>35155</v>
      </c>
      <c r="H678" s="67" t="str">
        <f t="shared" si="20"/>
        <v>Mar</v>
      </c>
      <c r="I678" s="9">
        <f t="shared" ca="1" si="21"/>
        <v>20</v>
      </c>
      <c r="J678" s="8" t="s">
        <v>32</v>
      </c>
      <c r="K678" s="7">
        <v>59450</v>
      </c>
      <c r="L678" s="6">
        <v>2</v>
      </c>
      <c r="M678" s="106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25">
      <c r="A679" s="1" t="s">
        <v>507</v>
      </c>
      <c r="B679" s="12" t="s">
        <v>17</v>
      </c>
      <c r="C679" s="1" t="s">
        <v>6</v>
      </c>
      <c r="D679" s="85">
        <v>671823263</v>
      </c>
      <c r="E679" s="88">
        <v>2526718651</v>
      </c>
      <c r="F679" s="1" t="s">
        <v>5</v>
      </c>
      <c r="G679" s="108">
        <v>41638</v>
      </c>
      <c r="H679" s="67" t="str">
        <f t="shared" si="20"/>
        <v>Dec</v>
      </c>
      <c r="I679" s="9">
        <f t="shared" ca="1" si="21"/>
        <v>2</v>
      </c>
      <c r="J679" s="8" t="s">
        <v>32</v>
      </c>
      <c r="K679" s="7">
        <v>103970</v>
      </c>
      <c r="L679" s="6">
        <v>3</v>
      </c>
      <c r="M679" s="106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25">
      <c r="A680" s="1" t="s">
        <v>222</v>
      </c>
      <c r="B680" s="12" t="s">
        <v>2</v>
      </c>
      <c r="C680" s="1" t="s">
        <v>6</v>
      </c>
      <c r="D680" s="85">
        <v>971128623</v>
      </c>
      <c r="E680" s="88">
        <v>9194375399</v>
      </c>
      <c r="F680" s="1" t="s">
        <v>12</v>
      </c>
      <c r="G680" s="108">
        <v>38142</v>
      </c>
      <c r="H680" s="67" t="str">
        <f t="shared" si="20"/>
        <v>Jun</v>
      </c>
      <c r="I680" s="9">
        <f t="shared" ca="1" si="21"/>
        <v>12</v>
      </c>
      <c r="J680" s="8"/>
      <c r="K680" s="7">
        <v>30640</v>
      </c>
      <c r="L680" s="6">
        <v>3</v>
      </c>
      <c r="M680" s="106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25">
      <c r="A681" s="1" t="s">
        <v>412</v>
      </c>
      <c r="B681" s="12" t="s">
        <v>2</v>
      </c>
      <c r="C681" s="1" t="s">
        <v>6</v>
      </c>
      <c r="D681" s="85">
        <v>592709648</v>
      </c>
      <c r="E681" s="88">
        <v>9191797370</v>
      </c>
      <c r="F681" s="1" t="s">
        <v>12</v>
      </c>
      <c r="G681" s="108">
        <v>38066</v>
      </c>
      <c r="H681" s="67" t="str">
        <f t="shared" si="20"/>
        <v>Mar</v>
      </c>
      <c r="I681" s="9">
        <f t="shared" ca="1" si="21"/>
        <v>12</v>
      </c>
      <c r="J681" s="8"/>
      <c r="K681" s="7">
        <v>92560</v>
      </c>
      <c r="L681" s="6">
        <v>5</v>
      </c>
      <c r="M681" s="106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25">
      <c r="A682" s="1" t="s">
        <v>707</v>
      </c>
      <c r="B682" s="12" t="s">
        <v>13</v>
      </c>
      <c r="C682" s="1" t="s">
        <v>6</v>
      </c>
      <c r="D682" s="85">
        <v>151532569</v>
      </c>
      <c r="E682" s="88">
        <v>2525202015</v>
      </c>
      <c r="F682" s="1" t="s">
        <v>12</v>
      </c>
      <c r="G682" s="108">
        <v>41564</v>
      </c>
      <c r="H682" s="67" t="str">
        <f t="shared" si="20"/>
        <v>Oct</v>
      </c>
      <c r="I682" s="9">
        <f t="shared" ca="1" si="21"/>
        <v>3</v>
      </c>
      <c r="J682" s="8"/>
      <c r="K682" s="7">
        <v>66610</v>
      </c>
      <c r="L682" s="6">
        <v>3</v>
      </c>
      <c r="M682" s="106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25">
      <c r="A683" s="1" t="s">
        <v>756</v>
      </c>
      <c r="B683" s="12" t="s">
        <v>17</v>
      </c>
      <c r="C683" s="1" t="s">
        <v>6</v>
      </c>
      <c r="D683" s="85">
        <v>375875723</v>
      </c>
      <c r="E683" s="88">
        <v>2526026842</v>
      </c>
      <c r="F683" s="1" t="s">
        <v>12</v>
      </c>
      <c r="G683" s="108">
        <v>35724</v>
      </c>
      <c r="H683" s="67" t="str">
        <f t="shared" si="20"/>
        <v>Oct</v>
      </c>
      <c r="I683" s="9">
        <f t="shared" ca="1" si="21"/>
        <v>19</v>
      </c>
      <c r="J683" s="8"/>
      <c r="K683" s="7">
        <v>77120</v>
      </c>
      <c r="L683" s="6">
        <v>3</v>
      </c>
      <c r="M683" s="106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25">
      <c r="A684" s="1" t="s">
        <v>341</v>
      </c>
      <c r="B684" s="12" t="s">
        <v>17</v>
      </c>
      <c r="C684" s="1" t="s">
        <v>6</v>
      </c>
      <c r="D684" s="85">
        <v>916944119</v>
      </c>
      <c r="E684" s="88">
        <v>2524907564</v>
      </c>
      <c r="F684" s="1" t="s">
        <v>12</v>
      </c>
      <c r="G684" s="108">
        <v>38100</v>
      </c>
      <c r="H684" s="67" t="str">
        <f t="shared" si="20"/>
        <v>Apr</v>
      </c>
      <c r="I684" s="9">
        <f t="shared" ca="1" si="21"/>
        <v>12</v>
      </c>
      <c r="J684" s="8"/>
      <c r="K684" s="7">
        <v>33920</v>
      </c>
      <c r="L684" s="6">
        <v>5</v>
      </c>
      <c r="M684" s="106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25">
      <c r="A685" s="1" t="s">
        <v>69</v>
      </c>
      <c r="B685" s="12" t="s">
        <v>17</v>
      </c>
      <c r="C685" s="1" t="s">
        <v>6</v>
      </c>
      <c r="D685" s="85">
        <v>855663308</v>
      </c>
      <c r="E685" s="88">
        <v>9195797109</v>
      </c>
      <c r="F685" s="1" t="s">
        <v>5</v>
      </c>
      <c r="G685" s="108">
        <v>35671</v>
      </c>
      <c r="H685" s="67" t="str">
        <f t="shared" si="20"/>
        <v>Aug</v>
      </c>
      <c r="I685" s="9">
        <f t="shared" ca="1" si="21"/>
        <v>19</v>
      </c>
      <c r="J685" s="8" t="s">
        <v>32</v>
      </c>
      <c r="K685" s="7">
        <v>83410</v>
      </c>
      <c r="L685" s="6">
        <v>5</v>
      </c>
      <c r="M685" s="106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25">
      <c r="A686" s="1" t="s">
        <v>611</v>
      </c>
      <c r="B686" s="12" t="s">
        <v>39</v>
      </c>
      <c r="C686" s="1" t="s">
        <v>6</v>
      </c>
      <c r="D686" s="85">
        <v>262585858</v>
      </c>
      <c r="E686" s="88">
        <v>2528566597</v>
      </c>
      <c r="F686" s="1" t="s">
        <v>15</v>
      </c>
      <c r="G686" s="108">
        <v>36519</v>
      </c>
      <c r="H686" s="67" t="str">
        <f t="shared" si="20"/>
        <v>Dec</v>
      </c>
      <c r="I686" s="9">
        <f t="shared" ca="1" si="21"/>
        <v>16</v>
      </c>
      <c r="J686" s="8" t="s">
        <v>34</v>
      </c>
      <c r="K686" s="7">
        <v>16430</v>
      </c>
      <c r="L686" s="6">
        <v>5</v>
      </c>
      <c r="M686" s="106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25">
      <c r="A687" s="1" t="s">
        <v>703</v>
      </c>
      <c r="B687" s="12" t="s">
        <v>17</v>
      </c>
      <c r="C687" s="1" t="s">
        <v>6</v>
      </c>
      <c r="D687" s="85">
        <v>657835603</v>
      </c>
      <c r="E687" s="88">
        <v>2526609693</v>
      </c>
      <c r="F687" s="1" t="s">
        <v>5</v>
      </c>
      <c r="G687" s="108">
        <v>34280</v>
      </c>
      <c r="H687" s="67" t="str">
        <f t="shared" si="20"/>
        <v>Nov</v>
      </c>
      <c r="I687" s="9">
        <f t="shared" ca="1" si="21"/>
        <v>22</v>
      </c>
      <c r="J687" s="8" t="s">
        <v>32</v>
      </c>
      <c r="K687" s="7">
        <v>29040</v>
      </c>
      <c r="L687" s="6">
        <v>5</v>
      </c>
      <c r="M687" s="106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x14ac:dyDescent="0.25">
      <c r="A688" s="1" t="s">
        <v>160</v>
      </c>
      <c r="B688" s="12" t="s">
        <v>2</v>
      </c>
      <c r="C688" s="1" t="s">
        <v>6</v>
      </c>
      <c r="D688" s="85">
        <v>120224342</v>
      </c>
      <c r="E688" s="88">
        <v>9198986390</v>
      </c>
      <c r="F688" s="1" t="s">
        <v>0</v>
      </c>
      <c r="G688" s="108">
        <v>37459</v>
      </c>
      <c r="H688" s="67" t="str">
        <f t="shared" si="20"/>
        <v>Jul</v>
      </c>
      <c r="I688" s="9">
        <f t="shared" ca="1" si="21"/>
        <v>14</v>
      </c>
      <c r="J688" s="8"/>
      <c r="K688" s="7">
        <v>39040</v>
      </c>
      <c r="L688" s="6">
        <v>2</v>
      </c>
      <c r="M688" s="106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25">
      <c r="A689" s="1" t="s">
        <v>638</v>
      </c>
      <c r="B689" s="12" t="s">
        <v>13</v>
      </c>
      <c r="C689" s="1" t="s">
        <v>6</v>
      </c>
      <c r="D689" s="85">
        <v>283476654</v>
      </c>
      <c r="E689" s="88">
        <v>9197049910</v>
      </c>
      <c r="F689" s="1" t="s">
        <v>5</v>
      </c>
      <c r="G689" s="108">
        <v>34682</v>
      </c>
      <c r="H689" s="67" t="str">
        <f t="shared" si="20"/>
        <v>Dec</v>
      </c>
      <c r="I689" s="9">
        <f t="shared" ca="1" si="21"/>
        <v>21</v>
      </c>
      <c r="J689" s="8" t="s">
        <v>34</v>
      </c>
      <c r="K689" s="7">
        <v>55860</v>
      </c>
      <c r="L689" s="6">
        <v>4</v>
      </c>
      <c r="M689" s="106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25">
      <c r="A690" s="1" t="s">
        <v>14</v>
      </c>
      <c r="B690" s="12" t="s">
        <v>13</v>
      </c>
      <c r="C690" s="1" t="s">
        <v>6</v>
      </c>
      <c r="D690" s="85">
        <v>717503282</v>
      </c>
      <c r="E690" s="88">
        <v>2522400087</v>
      </c>
      <c r="F690" s="1" t="s">
        <v>12</v>
      </c>
      <c r="G690" s="108">
        <v>41524</v>
      </c>
      <c r="H690" s="67" t="str">
        <f t="shared" si="20"/>
        <v>Sep</v>
      </c>
      <c r="I690" s="9">
        <f t="shared" ca="1" si="21"/>
        <v>3</v>
      </c>
      <c r="J690" s="8"/>
      <c r="K690" s="7">
        <v>55880</v>
      </c>
      <c r="L690" s="6">
        <v>4</v>
      </c>
      <c r="M690" s="106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25">
      <c r="A691" s="1" t="s">
        <v>40</v>
      </c>
      <c r="B691" s="12" t="s">
        <v>39</v>
      </c>
      <c r="C691" s="1" t="s">
        <v>6</v>
      </c>
      <c r="D691" s="85">
        <v>683670378</v>
      </c>
      <c r="E691" s="88">
        <v>9196259106</v>
      </c>
      <c r="F691" s="1" t="s">
        <v>5</v>
      </c>
      <c r="G691" s="108">
        <v>39348</v>
      </c>
      <c r="H691" s="67" t="str">
        <f t="shared" si="20"/>
        <v>Sep</v>
      </c>
      <c r="I691" s="9">
        <f t="shared" ca="1" si="21"/>
        <v>9</v>
      </c>
      <c r="J691" s="8" t="s">
        <v>4</v>
      </c>
      <c r="K691" s="7">
        <v>97610</v>
      </c>
      <c r="L691" s="6">
        <v>2</v>
      </c>
      <c r="M691" s="106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25">
      <c r="A692" s="1" t="s">
        <v>259</v>
      </c>
      <c r="B692" s="12" t="s">
        <v>17</v>
      </c>
      <c r="C692" s="1" t="s">
        <v>6</v>
      </c>
      <c r="D692" s="85">
        <v>111616346</v>
      </c>
      <c r="E692" s="88">
        <v>2525717431</v>
      </c>
      <c r="F692" s="1" t="s">
        <v>12</v>
      </c>
      <c r="G692" s="108">
        <v>34507</v>
      </c>
      <c r="H692" s="67" t="str">
        <f t="shared" si="20"/>
        <v>Jun</v>
      </c>
      <c r="I692" s="9">
        <f t="shared" ca="1" si="21"/>
        <v>22</v>
      </c>
      <c r="J692" s="8"/>
      <c r="K692" s="7">
        <v>73360</v>
      </c>
      <c r="L692" s="6">
        <v>4</v>
      </c>
      <c r="M692" s="106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25">
      <c r="A693" s="1" t="s">
        <v>149</v>
      </c>
      <c r="B693" s="12" t="s">
        <v>13</v>
      </c>
      <c r="C693" s="1" t="s">
        <v>6</v>
      </c>
      <c r="D693" s="85">
        <v>458734969</v>
      </c>
      <c r="E693" s="88">
        <v>9196354278</v>
      </c>
      <c r="F693" s="1" t="s">
        <v>5</v>
      </c>
      <c r="G693" s="108">
        <v>40729</v>
      </c>
      <c r="H693" s="67" t="str">
        <f t="shared" si="20"/>
        <v>Jul</v>
      </c>
      <c r="I693" s="9">
        <f t="shared" ca="1" si="21"/>
        <v>5</v>
      </c>
      <c r="J693" s="8" t="s">
        <v>32</v>
      </c>
      <c r="K693" s="7">
        <v>98840</v>
      </c>
      <c r="L693" s="6">
        <v>5</v>
      </c>
      <c r="M693" s="106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25">
      <c r="A694" s="1" t="s">
        <v>148</v>
      </c>
      <c r="B694" s="12" t="s">
        <v>39</v>
      </c>
      <c r="C694" s="1" t="s">
        <v>6</v>
      </c>
      <c r="D694" s="85">
        <v>667745362</v>
      </c>
      <c r="E694" s="88">
        <v>2522952173</v>
      </c>
      <c r="F694" s="1" t="s">
        <v>12</v>
      </c>
      <c r="G694" s="108">
        <v>40729</v>
      </c>
      <c r="H694" s="67" t="str">
        <f t="shared" si="20"/>
        <v>Jul</v>
      </c>
      <c r="I694" s="9">
        <f t="shared" ca="1" si="21"/>
        <v>5</v>
      </c>
      <c r="J694" s="8"/>
      <c r="K694" s="7">
        <v>103250</v>
      </c>
      <c r="L694" s="6">
        <v>5</v>
      </c>
      <c r="M694" s="106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25">
      <c r="A695" s="1" t="s">
        <v>41</v>
      </c>
      <c r="B695" s="12" t="s">
        <v>13</v>
      </c>
      <c r="C695" s="1" t="s">
        <v>6</v>
      </c>
      <c r="D695" s="85">
        <v>862698919</v>
      </c>
      <c r="E695" s="88">
        <v>2522780847</v>
      </c>
      <c r="F695" s="1" t="s">
        <v>5</v>
      </c>
      <c r="G695" s="108">
        <v>39329</v>
      </c>
      <c r="H695" s="67" t="str">
        <f t="shared" si="20"/>
        <v>Sep</v>
      </c>
      <c r="I695" s="9">
        <f t="shared" ca="1" si="21"/>
        <v>9</v>
      </c>
      <c r="J695" s="8" t="s">
        <v>34</v>
      </c>
      <c r="K695" s="7">
        <v>57940</v>
      </c>
      <c r="L695" s="6">
        <v>4</v>
      </c>
      <c r="M695" s="106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25">
      <c r="A696" s="1" t="s">
        <v>634</v>
      </c>
      <c r="B696" s="12" t="s">
        <v>17</v>
      </c>
      <c r="C696" s="1" t="s">
        <v>6</v>
      </c>
      <c r="D696" s="85">
        <v>750006979</v>
      </c>
      <c r="E696" s="88">
        <v>2528444054</v>
      </c>
      <c r="F696" s="1" t="s">
        <v>15</v>
      </c>
      <c r="G696" s="108">
        <v>35043</v>
      </c>
      <c r="H696" s="67" t="str">
        <f t="shared" si="20"/>
        <v>Dec</v>
      </c>
      <c r="I696" s="9">
        <f t="shared" ca="1" si="21"/>
        <v>20</v>
      </c>
      <c r="J696" s="8" t="s">
        <v>19</v>
      </c>
      <c r="K696" s="7">
        <v>33250</v>
      </c>
      <c r="L696" s="6">
        <v>3</v>
      </c>
      <c r="M696" s="106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25">
      <c r="A697" s="1" t="s">
        <v>442</v>
      </c>
      <c r="B697" s="12" t="s">
        <v>13</v>
      </c>
      <c r="C697" s="1" t="s">
        <v>6</v>
      </c>
      <c r="D697" s="85">
        <v>763182349</v>
      </c>
      <c r="E697" s="88">
        <v>2527780776</v>
      </c>
      <c r="F697" s="1" t="s">
        <v>12</v>
      </c>
      <c r="G697" s="108">
        <v>35127</v>
      </c>
      <c r="H697" s="67" t="str">
        <f t="shared" si="20"/>
        <v>Mar</v>
      </c>
      <c r="I697" s="9">
        <f t="shared" ca="1" si="21"/>
        <v>20</v>
      </c>
      <c r="J697" s="8"/>
      <c r="K697" s="7">
        <v>90660</v>
      </c>
      <c r="L697" s="6">
        <v>3</v>
      </c>
      <c r="M697" s="106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25">
      <c r="A698" s="1" t="s">
        <v>449</v>
      </c>
      <c r="B698" s="12" t="s">
        <v>39</v>
      </c>
      <c r="C698" s="1" t="s">
        <v>6</v>
      </c>
      <c r="D698" s="85">
        <v>877574472</v>
      </c>
      <c r="E698" s="88">
        <v>2524100997</v>
      </c>
      <c r="F698" s="1" t="s">
        <v>12</v>
      </c>
      <c r="G698" s="108">
        <v>34402</v>
      </c>
      <c r="H698" s="67" t="str">
        <f t="shared" si="20"/>
        <v>Mar</v>
      </c>
      <c r="I698" s="9">
        <f t="shared" ca="1" si="21"/>
        <v>22</v>
      </c>
      <c r="J698" s="8"/>
      <c r="K698" s="7">
        <v>41620</v>
      </c>
      <c r="L698" s="6">
        <v>5</v>
      </c>
      <c r="M698" s="106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25">
      <c r="A699" s="1" t="s">
        <v>452</v>
      </c>
      <c r="B699" s="12" t="s">
        <v>17</v>
      </c>
      <c r="C699" s="1" t="s">
        <v>6</v>
      </c>
      <c r="D699" s="85">
        <v>308317457</v>
      </c>
      <c r="E699" s="88">
        <v>9192729524</v>
      </c>
      <c r="F699" s="1" t="s">
        <v>5</v>
      </c>
      <c r="G699" s="108">
        <v>41681</v>
      </c>
      <c r="H699" s="67" t="str">
        <f t="shared" si="20"/>
        <v>Feb</v>
      </c>
      <c r="I699" s="9">
        <f t="shared" ca="1" si="21"/>
        <v>2</v>
      </c>
      <c r="J699" s="8" t="s">
        <v>32</v>
      </c>
      <c r="K699" s="7">
        <v>27640</v>
      </c>
      <c r="L699" s="6">
        <v>4</v>
      </c>
      <c r="M699" s="106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25">
      <c r="A700" s="1" t="s">
        <v>281</v>
      </c>
      <c r="B700" s="12" t="s">
        <v>56</v>
      </c>
      <c r="C700" s="1" t="s">
        <v>6</v>
      </c>
      <c r="D700" s="85">
        <v>120361975</v>
      </c>
      <c r="E700" s="88">
        <v>2521789943</v>
      </c>
      <c r="F700" s="1" t="s">
        <v>5</v>
      </c>
      <c r="G700" s="108">
        <v>38496</v>
      </c>
      <c r="H700" s="67" t="str">
        <f t="shared" si="20"/>
        <v>May</v>
      </c>
      <c r="I700" s="9">
        <f t="shared" ca="1" si="21"/>
        <v>11</v>
      </c>
      <c r="J700" s="8" t="s">
        <v>8</v>
      </c>
      <c r="K700" s="7">
        <v>72360</v>
      </c>
      <c r="L700" s="6">
        <v>2</v>
      </c>
      <c r="M700" s="106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25">
      <c r="A701" s="1" t="s">
        <v>303</v>
      </c>
      <c r="B701" s="12" t="s">
        <v>10</v>
      </c>
      <c r="C701" s="1" t="s">
        <v>6</v>
      </c>
      <c r="D701" s="85">
        <v>749768847</v>
      </c>
      <c r="E701" s="88">
        <v>2528552110</v>
      </c>
      <c r="F701" s="1" t="s">
        <v>12</v>
      </c>
      <c r="G701" s="108">
        <v>36281</v>
      </c>
      <c r="H701" s="67" t="str">
        <f t="shared" si="20"/>
        <v>May</v>
      </c>
      <c r="I701" s="9">
        <f t="shared" ca="1" si="21"/>
        <v>17</v>
      </c>
      <c r="J701" s="8"/>
      <c r="K701" s="7">
        <v>50120</v>
      </c>
      <c r="L701" s="6">
        <v>5</v>
      </c>
      <c r="M701" s="106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25">
      <c r="A702" s="1" t="s">
        <v>580</v>
      </c>
      <c r="B702" s="12" t="s">
        <v>10</v>
      </c>
      <c r="C702" s="1" t="s">
        <v>6</v>
      </c>
      <c r="D702" s="85">
        <v>276873359</v>
      </c>
      <c r="E702" s="88">
        <v>2522304625</v>
      </c>
      <c r="F702" s="1" t="s">
        <v>5</v>
      </c>
      <c r="G702" s="108">
        <v>40172</v>
      </c>
      <c r="H702" s="67" t="str">
        <f t="shared" si="20"/>
        <v>Dec</v>
      </c>
      <c r="I702" s="9">
        <f t="shared" ca="1" si="21"/>
        <v>6</v>
      </c>
      <c r="J702" s="8" t="s">
        <v>19</v>
      </c>
      <c r="K702" s="7">
        <v>30830</v>
      </c>
      <c r="L702" s="6">
        <v>2</v>
      </c>
      <c r="M702" s="106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25">
      <c r="A703" s="1" t="s">
        <v>445</v>
      </c>
      <c r="B703" s="12" t="s">
        <v>10</v>
      </c>
      <c r="C703" s="1" t="s">
        <v>6</v>
      </c>
      <c r="D703" s="85">
        <v>643984096</v>
      </c>
      <c r="E703" s="88">
        <v>9191630739</v>
      </c>
      <c r="F703" s="1" t="s">
        <v>12</v>
      </c>
      <c r="G703" s="108">
        <v>34414</v>
      </c>
      <c r="H703" s="67" t="str">
        <f t="shared" si="20"/>
        <v>Mar</v>
      </c>
      <c r="I703" s="9">
        <f t="shared" ca="1" si="21"/>
        <v>22</v>
      </c>
      <c r="J703" s="8"/>
      <c r="K703" s="7">
        <v>31220</v>
      </c>
      <c r="L703" s="6">
        <v>5</v>
      </c>
      <c r="M703" s="106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25">
      <c r="A704" s="1" t="s">
        <v>251</v>
      </c>
      <c r="B704" s="12" t="s">
        <v>39</v>
      </c>
      <c r="C704" s="1" t="s">
        <v>6</v>
      </c>
      <c r="D704" s="85">
        <v>145495793</v>
      </c>
      <c r="E704" s="88">
        <v>2521603964</v>
      </c>
      <c r="F704" s="1" t="s">
        <v>15</v>
      </c>
      <c r="G704" s="108">
        <v>35961</v>
      </c>
      <c r="H704" s="67" t="str">
        <f t="shared" si="20"/>
        <v>Jun</v>
      </c>
      <c r="I704" s="9">
        <f t="shared" ca="1" si="21"/>
        <v>18</v>
      </c>
      <c r="J704" s="8" t="s">
        <v>8</v>
      </c>
      <c r="K704" s="7">
        <v>27600</v>
      </c>
      <c r="L704" s="6">
        <v>4</v>
      </c>
      <c r="M704" s="106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25">
      <c r="A705" s="1" t="s">
        <v>605</v>
      </c>
      <c r="B705" s="12" t="s">
        <v>10</v>
      </c>
      <c r="C705" s="1" t="s">
        <v>6</v>
      </c>
      <c r="D705" s="85">
        <v>311309049</v>
      </c>
      <c r="E705" s="88">
        <v>2527560634</v>
      </c>
      <c r="F705" s="1" t="s">
        <v>5</v>
      </c>
      <c r="G705" s="108">
        <v>37244</v>
      </c>
      <c r="H705" s="67" t="str">
        <f t="shared" si="20"/>
        <v>Dec</v>
      </c>
      <c r="I705" s="9">
        <f t="shared" ca="1" si="21"/>
        <v>14</v>
      </c>
      <c r="J705" s="8" t="s">
        <v>8</v>
      </c>
      <c r="K705" s="7">
        <v>93220</v>
      </c>
      <c r="L705" s="6">
        <v>3</v>
      </c>
      <c r="M705" s="106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25">
      <c r="A706" s="1" t="s">
        <v>348</v>
      </c>
      <c r="B706" s="12" t="s">
        <v>56</v>
      </c>
      <c r="C706" s="1" t="s">
        <v>6</v>
      </c>
      <c r="D706" s="85">
        <v>900160539</v>
      </c>
      <c r="E706" s="88">
        <v>2522749909</v>
      </c>
      <c r="F706" s="1" t="s">
        <v>15</v>
      </c>
      <c r="G706" s="108">
        <v>37366</v>
      </c>
      <c r="H706" s="67" t="str">
        <f t="shared" ref="H706:H742" si="22">CHOOSE(MONTH(G706),"Jan","Feb","Mar","Apr","May","Jun","Jul","Aug","Sep","Oct","Nov","Dec")</f>
        <v>Apr</v>
      </c>
      <c r="I706" s="9">
        <f t="shared" ref="I706:I742" ca="1" si="23">DATEDIF(G706,TODAY(),"Y")</f>
        <v>14</v>
      </c>
      <c r="J706" s="8" t="s">
        <v>19</v>
      </c>
      <c r="K706" s="7">
        <v>23790</v>
      </c>
      <c r="L706" s="6">
        <v>2</v>
      </c>
      <c r="M706" s="106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25">
      <c r="A707" s="1" t="s">
        <v>523</v>
      </c>
      <c r="B707" s="12" t="s">
        <v>56</v>
      </c>
      <c r="C707" s="1" t="s">
        <v>6</v>
      </c>
      <c r="D707" s="85">
        <v>759471070</v>
      </c>
      <c r="E707" s="88">
        <v>2525402828</v>
      </c>
      <c r="F707" s="1" t="s">
        <v>5</v>
      </c>
      <c r="G707" s="108">
        <v>38010</v>
      </c>
      <c r="H707" s="67" t="str">
        <f t="shared" si="22"/>
        <v>Jan</v>
      </c>
      <c r="I707" s="9">
        <f t="shared" ca="1" si="23"/>
        <v>12</v>
      </c>
      <c r="J707" s="8" t="s">
        <v>4</v>
      </c>
      <c r="K707" s="7">
        <v>94450</v>
      </c>
      <c r="L707" s="6">
        <v>2</v>
      </c>
      <c r="M707" s="106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25">
      <c r="A708" s="1" t="s">
        <v>725</v>
      </c>
      <c r="B708" s="12" t="s">
        <v>13</v>
      </c>
      <c r="C708" s="1" t="s">
        <v>6</v>
      </c>
      <c r="D708" s="85">
        <v>879114558</v>
      </c>
      <c r="E708" s="88">
        <v>9194557504</v>
      </c>
      <c r="F708" s="1" t="s">
        <v>15</v>
      </c>
      <c r="G708" s="108">
        <v>37919</v>
      </c>
      <c r="H708" s="67" t="str">
        <f t="shared" si="22"/>
        <v>Oct</v>
      </c>
      <c r="I708" s="9">
        <f t="shared" ca="1" si="23"/>
        <v>13</v>
      </c>
      <c r="J708" s="8" t="s">
        <v>32</v>
      </c>
      <c r="K708" s="7">
        <v>20650</v>
      </c>
      <c r="L708" s="6">
        <v>5</v>
      </c>
      <c r="M708" s="106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25">
      <c r="A709" s="1" t="s">
        <v>624</v>
      </c>
      <c r="B709" s="12" t="s">
        <v>13</v>
      </c>
      <c r="C709" s="1" t="s">
        <v>6</v>
      </c>
      <c r="D709" s="85">
        <v>483483618</v>
      </c>
      <c r="E709" s="88">
        <v>2526459263</v>
      </c>
      <c r="F709" s="1" t="s">
        <v>5</v>
      </c>
      <c r="G709" s="108">
        <v>36138</v>
      </c>
      <c r="H709" s="67" t="str">
        <f t="shared" si="22"/>
        <v>Dec</v>
      </c>
      <c r="I709" s="9">
        <f t="shared" ca="1" si="23"/>
        <v>17</v>
      </c>
      <c r="J709" s="8" t="s">
        <v>4</v>
      </c>
      <c r="K709" s="7">
        <v>40310</v>
      </c>
      <c r="L709" s="6">
        <v>5</v>
      </c>
      <c r="M709" s="106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25">
      <c r="A710" s="1" t="s">
        <v>274</v>
      </c>
      <c r="B710" s="12" t="s">
        <v>10</v>
      </c>
      <c r="C710" s="1" t="s">
        <v>6</v>
      </c>
      <c r="D710" s="85">
        <v>651999482</v>
      </c>
      <c r="E710" s="88">
        <v>2523014821</v>
      </c>
      <c r="F710" s="1" t="s">
        <v>5</v>
      </c>
      <c r="G710" s="108">
        <v>40680</v>
      </c>
      <c r="H710" s="67" t="str">
        <f t="shared" si="22"/>
        <v>May</v>
      </c>
      <c r="I710" s="9">
        <f t="shared" ca="1" si="23"/>
        <v>5</v>
      </c>
      <c r="J710" s="8" t="s">
        <v>32</v>
      </c>
      <c r="K710" s="7">
        <v>27380</v>
      </c>
      <c r="L710" s="6">
        <v>5</v>
      </c>
      <c r="M710" s="106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25">
      <c r="A711" s="1" t="s">
        <v>764</v>
      </c>
      <c r="B711" s="12" t="s">
        <v>17</v>
      </c>
      <c r="C711" s="1" t="s">
        <v>6</v>
      </c>
      <c r="D711" s="85">
        <v>317749924</v>
      </c>
      <c r="E711" s="88">
        <v>9193441810</v>
      </c>
      <c r="F711" s="1" t="s">
        <v>12</v>
      </c>
      <c r="G711" s="108">
        <v>34978</v>
      </c>
      <c r="H711" s="67" t="str">
        <f t="shared" si="22"/>
        <v>Oct</v>
      </c>
      <c r="I711" s="9">
        <f t="shared" ca="1" si="23"/>
        <v>21</v>
      </c>
      <c r="J711" s="8"/>
      <c r="K711" s="7">
        <v>75950</v>
      </c>
      <c r="L711" s="6">
        <v>5</v>
      </c>
      <c r="M711" s="106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25">
      <c r="A712" s="1" t="s">
        <v>131</v>
      </c>
      <c r="B712" s="12" t="s">
        <v>2</v>
      </c>
      <c r="C712" s="1" t="s">
        <v>6</v>
      </c>
      <c r="D712" s="85">
        <v>616055292</v>
      </c>
      <c r="E712" s="88">
        <v>9192913490</v>
      </c>
      <c r="F712" s="1" t="s">
        <v>5</v>
      </c>
      <c r="G712" s="108">
        <v>34922</v>
      </c>
      <c r="H712" s="67" t="str">
        <f t="shared" si="22"/>
        <v>Aug</v>
      </c>
      <c r="I712" s="9">
        <f t="shared" ca="1" si="23"/>
        <v>21</v>
      </c>
      <c r="J712" s="8" t="s">
        <v>19</v>
      </c>
      <c r="K712" s="7">
        <v>38590</v>
      </c>
      <c r="L712" s="6">
        <v>3</v>
      </c>
      <c r="M712" s="106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25">
      <c r="A713" s="1" t="s">
        <v>552</v>
      </c>
      <c r="B713" s="12" t="s">
        <v>17</v>
      </c>
      <c r="C713" s="1" t="s">
        <v>6</v>
      </c>
      <c r="D713" s="85">
        <v>318723704</v>
      </c>
      <c r="E713" s="88">
        <v>9196526117</v>
      </c>
      <c r="F713" s="1" t="s">
        <v>5</v>
      </c>
      <c r="G713" s="108">
        <v>35426</v>
      </c>
      <c r="H713" s="67" t="str">
        <f t="shared" si="22"/>
        <v>Dec</v>
      </c>
      <c r="I713" s="9">
        <f t="shared" ca="1" si="23"/>
        <v>19</v>
      </c>
      <c r="J713" s="8" t="s">
        <v>4</v>
      </c>
      <c r="K713" s="7">
        <v>88620</v>
      </c>
      <c r="L713" s="6">
        <v>2</v>
      </c>
      <c r="M713" s="106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25">
      <c r="A714" s="1" t="s">
        <v>340</v>
      </c>
      <c r="B714" s="12" t="s">
        <v>2</v>
      </c>
      <c r="C714" s="1" t="s">
        <v>6</v>
      </c>
      <c r="D714" s="85">
        <v>626648632</v>
      </c>
      <c r="E714" s="88">
        <v>2526412482</v>
      </c>
      <c r="F714" s="1" t="s">
        <v>12</v>
      </c>
      <c r="G714" s="108">
        <v>38454</v>
      </c>
      <c r="H714" s="67" t="str">
        <f t="shared" si="22"/>
        <v>Apr</v>
      </c>
      <c r="I714" s="9">
        <f t="shared" ca="1" si="23"/>
        <v>11</v>
      </c>
      <c r="J714" s="8"/>
      <c r="K714" s="7">
        <v>58910</v>
      </c>
      <c r="L714" s="6">
        <v>4</v>
      </c>
      <c r="M714" s="106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25">
      <c r="A715" s="1" t="s">
        <v>127</v>
      </c>
      <c r="B715" s="12" t="s">
        <v>13</v>
      </c>
      <c r="C715" s="1" t="s">
        <v>6</v>
      </c>
      <c r="D715" s="85">
        <v>892040187</v>
      </c>
      <c r="E715" s="88">
        <v>2524877123</v>
      </c>
      <c r="F715" s="1" t="s">
        <v>5</v>
      </c>
      <c r="G715" s="108">
        <v>35287</v>
      </c>
      <c r="H715" s="67" t="str">
        <f t="shared" si="22"/>
        <v>Aug</v>
      </c>
      <c r="I715" s="9">
        <f t="shared" ca="1" si="23"/>
        <v>20</v>
      </c>
      <c r="J715" s="8" t="s">
        <v>4</v>
      </c>
      <c r="K715" s="7">
        <v>104660</v>
      </c>
      <c r="L715" s="6">
        <v>1</v>
      </c>
      <c r="M715" s="106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25">
      <c r="A716" s="1" t="s">
        <v>180</v>
      </c>
      <c r="B716" s="12" t="s">
        <v>17</v>
      </c>
      <c r="C716" s="1" t="s">
        <v>6</v>
      </c>
      <c r="D716" s="85">
        <v>793256568</v>
      </c>
      <c r="E716" s="88">
        <v>9196999991</v>
      </c>
      <c r="F716" s="1" t="s">
        <v>5</v>
      </c>
      <c r="G716" s="108">
        <v>36365</v>
      </c>
      <c r="H716" s="67" t="str">
        <f t="shared" si="22"/>
        <v>Jul</v>
      </c>
      <c r="I716" s="9">
        <f t="shared" ca="1" si="23"/>
        <v>17</v>
      </c>
      <c r="J716" s="8" t="s">
        <v>32</v>
      </c>
      <c r="K716" s="7">
        <v>32560</v>
      </c>
      <c r="L716" s="6">
        <v>5</v>
      </c>
      <c r="M716" s="106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25">
      <c r="A717" s="1" t="s">
        <v>482</v>
      </c>
      <c r="B717" s="12" t="s">
        <v>13</v>
      </c>
      <c r="C717" s="1" t="s">
        <v>6</v>
      </c>
      <c r="D717" s="85">
        <v>240241467</v>
      </c>
      <c r="E717" s="88">
        <v>2524914916</v>
      </c>
      <c r="F717" s="1" t="s">
        <v>0</v>
      </c>
      <c r="G717" s="108">
        <v>36577</v>
      </c>
      <c r="H717" s="67" t="str">
        <f t="shared" si="22"/>
        <v>Feb</v>
      </c>
      <c r="I717" s="9">
        <f t="shared" ca="1" si="23"/>
        <v>16</v>
      </c>
      <c r="J717" s="8"/>
      <c r="K717" s="7">
        <v>34520</v>
      </c>
      <c r="L717" s="6">
        <v>3</v>
      </c>
      <c r="M717" s="106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25">
      <c r="A718" s="1" t="s">
        <v>451</v>
      </c>
      <c r="B718" s="12" t="s">
        <v>17</v>
      </c>
      <c r="C718" s="1" t="s">
        <v>6</v>
      </c>
      <c r="D718" s="85">
        <v>159594851</v>
      </c>
      <c r="E718" s="88">
        <v>9194084456</v>
      </c>
      <c r="F718" s="1" t="s">
        <v>5</v>
      </c>
      <c r="G718" s="108">
        <v>41681</v>
      </c>
      <c r="H718" s="67" t="str">
        <f t="shared" si="22"/>
        <v>Feb</v>
      </c>
      <c r="I718" s="9">
        <f t="shared" ca="1" si="23"/>
        <v>2</v>
      </c>
      <c r="J718" s="8" t="s">
        <v>8</v>
      </c>
      <c r="K718" s="7">
        <v>48310</v>
      </c>
      <c r="L718" s="6">
        <v>5</v>
      </c>
      <c r="M718" s="106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25">
      <c r="A719" s="1" t="s">
        <v>421</v>
      </c>
      <c r="B719" s="12" t="s">
        <v>17</v>
      </c>
      <c r="C719" s="1" t="s">
        <v>6</v>
      </c>
      <c r="D719" s="85">
        <v>876082195</v>
      </c>
      <c r="E719" s="88">
        <v>2526049607</v>
      </c>
      <c r="F719" s="1" t="s">
        <v>5</v>
      </c>
      <c r="G719" s="108">
        <v>37331</v>
      </c>
      <c r="H719" s="67" t="str">
        <f t="shared" si="22"/>
        <v>Mar</v>
      </c>
      <c r="I719" s="9">
        <f t="shared" ca="1" si="23"/>
        <v>14</v>
      </c>
      <c r="J719" s="8" t="s">
        <v>8</v>
      </c>
      <c r="K719" s="7">
        <v>74220</v>
      </c>
      <c r="L719" s="6">
        <v>2</v>
      </c>
      <c r="M719" s="106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25">
      <c r="A720" s="1" t="s">
        <v>152</v>
      </c>
      <c r="B720" s="12" t="s">
        <v>39</v>
      </c>
      <c r="C720" s="1" t="s">
        <v>6</v>
      </c>
      <c r="D720" s="85">
        <v>502580266</v>
      </c>
      <c r="E720" s="88">
        <v>9197103200</v>
      </c>
      <c r="F720" s="1" t="s">
        <v>0</v>
      </c>
      <c r="G720" s="108">
        <v>39647</v>
      </c>
      <c r="H720" s="67" t="str">
        <f t="shared" si="22"/>
        <v>Jul</v>
      </c>
      <c r="I720" s="9">
        <f t="shared" ca="1" si="23"/>
        <v>8</v>
      </c>
      <c r="J720" s="8"/>
      <c r="K720" s="7">
        <v>44810</v>
      </c>
      <c r="L720" s="6">
        <v>2</v>
      </c>
      <c r="M720" s="106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25">
      <c r="A721" s="1" t="s">
        <v>692</v>
      </c>
      <c r="B721" s="12" t="s">
        <v>13</v>
      </c>
      <c r="C721" s="1" t="s">
        <v>6</v>
      </c>
      <c r="D721" s="85">
        <v>287476507</v>
      </c>
      <c r="E721" s="88">
        <v>9191509619</v>
      </c>
      <c r="F721" s="1" t="s">
        <v>15</v>
      </c>
      <c r="G721" s="108">
        <v>35006</v>
      </c>
      <c r="H721" s="67" t="str">
        <f t="shared" si="22"/>
        <v>Nov</v>
      </c>
      <c r="I721" s="9">
        <f t="shared" ca="1" si="23"/>
        <v>20</v>
      </c>
      <c r="J721" s="8" t="s">
        <v>32</v>
      </c>
      <c r="K721" s="7">
        <v>23920</v>
      </c>
      <c r="L721" s="6">
        <v>1</v>
      </c>
      <c r="M721" s="106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25">
      <c r="A722" s="1" t="s">
        <v>311</v>
      </c>
      <c r="B722" s="12" t="s">
        <v>39</v>
      </c>
      <c r="C722" s="1" t="s">
        <v>6</v>
      </c>
      <c r="D722" s="85">
        <v>610340294</v>
      </c>
      <c r="E722" s="88">
        <v>9198443818</v>
      </c>
      <c r="F722" s="1" t="s">
        <v>12</v>
      </c>
      <c r="G722" s="108">
        <v>34821</v>
      </c>
      <c r="H722" s="67" t="str">
        <f t="shared" si="22"/>
        <v>May</v>
      </c>
      <c r="I722" s="9">
        <f t="shared" ca="1" si="23"/>
        <v>21</v>
      </c>
      <c r="J722" s="8"/>
      <c r="K722" s="7">
        <v>84360</v>
      </c>
      <c r="L722" s="6">
        <v>3</v>
      </c>
      <c r="M722" s="106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25">
      <c r="A723" s="1" t="s">
        <v>706</v>
      </c>
      <c r="B723" s="12" t="s">
        <v>13</v>
      </c>
      <c r="C723" s="1" t="s">
        <v>6</v>
      </c>
      <c r="D723" s="85">
        <v>121173068</v>
      </c>
      <c r="E723" s="88">
        <v>9196778600</v>
      </c>
      <c r="F723" s="1" t="s">
        <v>5</v>
      </c>
      <c r="G723" s="108">
        <v>41569</v>
      </c>
      <c r="H723" s="67" t="str">
        <f t="shared" si="22"/>
        <v>Oct</v>
      </c>
      <c r="I723" s="9">
        <f t="shared" ca="1" si="23"/>
        <v>3</v>
      </c>
      <c r="J723" s="8" t="s">
        <v>32</v>
      </c>
      <c r="K723" s="7">
        <v>55670</v>
      </c>
      <c r="L723" s="6">
        <v>5</v>
      </c>
      <c r="M723" s="106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25">
      <c r="A724" s="1" t="s">
        <v>441</v>
      </c>
      <c r="B724" s="12" t="s">
        <v>10</v>
      </c>
      <c r="C724" s="1" t="s">
        <v>6</v>
      </c>
      <c r="D724" s="85">
        <v>641962645</v>
      </c>
      <c r="E724" s="88">
        <v>9196965088</v>
      </c>
      <c r="F724" s="1" t="s">
        <v>12</v>
      </c>
      <c r="G724" s="108">
        <v>35136</v>
      </c>
      <c r="H724" s="67" t="str">
        <f t="shared" si="22"/>
        <v>Mar</v>
      </c>
      <c r="I724" s="9">
        <f t="shared" ca="1" si="23"/>
        <v>20</v>
      </c>
      <c r="J724" s="8"/>
      <c r="K724" s="7">
        <v>94310</v>
      </c>
      <c r="L724" s="6">
        <v>1</v>
      </c>
      <c r="M724" s="106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25">
      <c r="A725" s="1" t="s">
        <v>65</v>
      </c>
      <c r="B725" s="12" t="s">
        <v>13</v>
      </c>
      <c r="C725" s="1" t="s">
        <v>6</v>
      </c>
      <c r="D725" s="85">
        <v>992674973</v>
      </c>
      <c r="E725" s="88">
        <v>2526088101</v>
      </c>
      <c r="F725" s="1" t="s">
        <v>5</v>
      </c>
      <c r="G725" s="108">
        <v>36053</v>
      </c>
      <c r="H725" s="67" t="str">
        <f t="shared" si="22"/>
        <v>Sep</v>
      </c>
      <c r="I725" s="9">
        <f t="shared" ca="1" si="23"/>
        <v>18</v>
      </c>
      <c r="J725" s="8" t="s">
        <v>19</v>
      </c>
      <c r="K725" s="7">
        <v>77740</v>
      </c>
      <c r="L725" s="6">
        <v>5</v>
      </c>
      <c r="M725" s="106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x14ac:dyDescent="0.25">
      <c r="A726" s="1" t="s">
        <v>173</v>
      </c>
      <c r="B726" s="12" t="s">
        <v>56</v>
      </c>
      <c r="C726" s="1" t="s">
        <v>6</v>
      </c>
      <c r="D726" s="85">
        <v>332494481</v>
      </c>
      <c r="E726" s="88">
        <v>9192094386</v>
      </c>
      <c r="F726" s="1" t="s">
        <v>5</v>
      </c>
      <c r="G726" s="108">
        <v>37081</v>
      </c>
      <c r="H726" s="67" t="str">
        <f t="shared" si="22"/>
        <v>Jul</v>
      </c>
      <c r="I726" s="9">
        <f t="shared" ca="1" si="23"/>
        <v>15</v>
      </c>
      <c r="J726" s="8" t="s">
        <v>4</v>
      </c>
      <c r="K726" s="7">
        <v>58090</v>
      </c>
      <c r="L726" s="6">
        <v>5</v>
      </c>
      <c r="M726" s="106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x14ac:dyDescent="0.25">
      <c r="A727" s="1" t="s">
        <v>360</v>
      </c>
      <c r="B727" s="12" t="s">
        <v>13</v>
      </c>
      <c r="C727" s="1" t="s">
        <v>6</v>
      </c>
      <c r="D727" s="85">
        <v>296641985</v>
      </c>
      <c r="E727" s="88">
        <v>2528217409</v>
      </c>
      <c r="F727" s="1" t="s">
        <v>5</v>
      </c>
      <c r="G727" s="108">
        <v>36628</v>
      </c>
      <c r="H727" s="67" t="str">
        <f t="shared" si="22"/>
        <v>Apr</v>
      </c>
      <c r="I727" s="9">
        <f t="shared" ca="1" si="23"/>
        <v>16</v>
      </c>
      <c r="J727" s="8" t="s">
        <v>4</v>
      </c>
      <c r="K727" s="7">
        <v>49660</v>
      </c>
      <c r="L727" s="6">
        <v>2</v>
      </c>
      <c r="M727" s="106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x14ac:dyDescent="0.25">
      <c r="A728" s="1" t="s">
        <v>7</v>
      </c>
      <c r="B728" s="12" t="s">
        <v>2</v>
      </c>
      <c r="C728" s="1" t="s">
        <v>6</v>
      </c>
      <c r="D728" s="85">
        <v>929694686</v>
      </c>
      <c r="E728" s="88">
        <v>9194483888</v>
      </c>
      <c r="F728" s="1" t="s">
        <v>5</v>
      </c>
      <c r="G728" s="108">
        <v>41537</v>
      </c>
      <c r="H728" s="67" t="str">
        <f t="shared" si="22"/>
        <v>Sep</v>
      </c>
      <c r="I728" s="9">
        <f t="shared" ca="1" si="23"/>
        <v>3</v>
      </c>
      <c r="J728" s="8" t="s">
        <v>4</v>
      </c>
      <c r="K728" s="7">
        <v>84880</v>
      </c>
      <c r="L728" s="6">
        <v>1</v>
      </c>
      <c r="M728" s="106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x14ac:dyDescent="0.25">
      <c r="A729" s="1" t="s">
        <v>530</v>
      </c>
      <c r="B729" s="12" t="s">
        <v>13</v>
      </c>
      <c r="C729" s="1" t="s">
        <v>6</v>
      </c>
      <c r="D729" s="85">
        <v>186346711</v>
      </c>
      <c r="E729" s="88">
        <v>9194900514</v>
      </c>
      <c r="F729" s="1" t="s">
        <v>5</v>
      </c>
      <c r="G729" s="108">
        <v>37620</v>
      </c>
      <c r="H729" s="67" t="str">
        <f t="shared" si="22"/>
        <v>Dec</v>
      </c>
      <c r="I729" s="9">
        <f t="shared" ca="1" si="23"/>
        <v>13</v>
      </c>
      <c r="J729" s="8" t="s">
        <v>34</v>
      </c>
      <c r="K729" s="7">
        <v>86360</v>
      </c>
      <c r="L729" s="6">
        <v>4</v>
      </c>
      <c r="M729" s="106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x14ac:dyDescent="0.25">
      <c r="A730" s="1" t="s">
        <v>326</v>
      </c>
      <c r="B730" s="12" t="s">
        <v>17</v>
      </c>
      <c r="C730" s="1" t="s">
        <v>6</v>
      </c>
      <c r="D730" s="85">
        <v>964255290</v>
      </c>
      <c r="E730" s="88">
        <v>9197446192</v>
      </c>
      <c r="F730" s="1" t="s">
        <v>5</v>
      </c>
      <c r="G730" s="108">
        <v>41019</v>
      </c>
      <c r="H730" s="67" t="str">
        <f t="shared" si="22"/>
        <v>Apr</v>
      </c>
      <c r="I730" s="9">
        <f t="shared" ca="1" si="23"/>
        <v>4</v>
      </c>
      <c r="J730" s="8" t="s">
        <v>4</v>
      </c>
      <c r="K730" s="7">
        <v>41990</v>
      </c>
      <c r="L730" s="6">
        <v>3</v>
      </c>
      <c r="M730" s="106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x14ac:dyDescent="0.25">
      <c r="A731" s="1" t="s">
        <v>298</v>
      </c>
      <c r="B731" s="12" t="s">
        <v>56</v>
      </c>
      <c r="C731" s="1" t="s">
        <v>6</v>
      </c>
      <c r="D731" s="85">
        <v>799754905</v>
      </c>
      <c r="E731" s="88">
        <v>2526757210</v>
      </c>
      <c r="F731" s="1" t="s">
        <v>5</v>
      </c>
      <c r="G731" s="108">
        <v>36308</v>
      </c>
      <c r="H731" s="67" t="str">
        <f t="shared" si="22"/>
        <v>May</v>
      </c>
      <c r="I731" s="9">
        <f t="shared" ca="1" si="23"/>
        <v>17</v>
      </c>
      <c r="J731" s="8" t="s">
        <v>32</v>
      </c>
      <c r="K731" s="7">
        <v>38030</v>
      </c>
      <c r="L731" s="6">
        <v>4</v>
      </c>
      <c r="M731" s="106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x14ac:dyDescent="0.25">
      <c r="A732" s="1" t="s">
        <v>578</v>
      </c>
      <c r="B732" s="12" t="s">
        <v>10</v>
      </c>
      <c r="C732" s="1" t="s">
        <v>6</v>
      </c>
      <c r="D732" s="85">
        <v>843299208</v>
      </c>
      <c r="E732" s="88">
        <v>9198631557</v>
      </c>
      <c r="F732" s="1" t="s">
        <v>15</v>
      </c>
      <c r="G732" s="108">
        <v>40536</v>
      </c>
      <c r="H732" s="67" t="str">
        <f t="shared" si="22"/>
        <v>Dec</v>
      </c>
      <c r="I732" s="9">
        <f t="shared" ca="1" si="23"/>
        <v>5</v>
      </c>
      <c r="J732" s="8" t="s">
        <v>8</v>
      </c>
      <c r="K732" s="7">
        <v>58900</v>
      </c>
      <c r="L732" s="6">
        <v>5</v>
      </c>
      <c r="M732" s="106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x14ac:dyDescent="0.25">
      <c r="A733" s="1" t="s">
        <v>594</v>
      </c>
      <c r="B733" s="12" t="s">
        <v>2</v>
      </c>
      <c r="C733" s="1" t="s">
        <v>343</v>
      </c>
      <c r="D733" s="85">
        <v>443926890</v>
      </c>
      <c r="E733" s="88">
        <v>2524411859</v>
      </c>
      <c r="F733" s="1" t="s">
        <v>5</v>
      </c>
      <c r="G733" s="108">
        <v>38685</v>
      </c>
      <c r="H733" s="67" t="str">
        <f t="shared" si="22"/>
        <v>Nov</v>
      </c>
      <c r="I733" s="9">
        <f t="shared" ca="1" si="23"/>
        <v>10</v>
      </c>
      <c r="J733" s="8" t="s">
        <v>4</v>
      </c>
      <c r="K733" s="7">
        <v>51360</v>
      </c>
      <c r="L733" s="6">
        <v>5</v>
      </c>
      <c r="M733" s="106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x14ac:dyDescent="0.25">
      <c r="A734" s="1" t="s">
        <v>503</v>
      </c>
      <c r="B734" s="12" t="s">
        <v>39</v>
      </c>
      <c r="C734" s="1" t="s">
        <v>343</v>
      </c>
      <c r="D734" s="85">
        <v>776823797</v>
      </c>
      <c r="E734" s="88">
        <v>9193482736</v>
      </c>
      <c r="F734" s="1" t="s">
        <v>12</v>
      </c>
      <c r="G734" s="108">
        <v>34388</v>
      </c>
      <c r="H734" s="67" t="str">
        <f t="shared" si="22"/>
        <v>Feb</v>
      </c>
      <c r="I734" s="9">
        <f t="shared" ca="1" si="23"/>
        <v>22</v>
      </c>
      <c r="J734" s="8"/>
      <c r="K734" s="7">
        <v>102610</v>
      </c>
      <c r="L734" s="6">
        <v>4</v>
      </c>
      <c r="M734" s="106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x14ac:dyDescent="0.25">
      <c r="A735" s="1" t="s">
        <v>344</v>
      </c>
      <c r="B735" s="12" t="s">
        <v>39</v>
      </c>
      <c r="C735" s="1" t="s">
        <v>343</v>
      </c>
      <c r="D735" s="85">
        <v>797985708</v>
      </c>
      <c r="E735" s="88">
        <v>9193578185</v>
      </c>
      <c r="F735" s="1" t="s">
        <v>5</v>
      </c>
      <c r="G735" s="108">
        <v>38074</v>
      </c>
      <c r="H735" s="67" t="str">
        <f t="shared" si="22"/>
        <v>Mar</v>
      </c>
      <c r="I735" s="9">
        <f t="shared" ca="1" si="23"/>
        <v>12</v>
      </c>
      <c r="J735" s="8" t="s">
        <v>8</v>
      </c>
      <c r="K735" s="7">
        <v>48820</v>
      </c>
      <c r="L735" s="6">
        <v>5</v>
      </c>
      <c r="M735" s="106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x14ac:dyDescent="0.25">
      <c r="A736" s="1" t="s">
        <v>525</v>
      </c>
      <c r="B736" s="12" t="s">
        <v>17</v>
      </c>
      <c r="C736" s="1" t="s">
        <v>343</v>
      </c>
      <c r="D736" s="85">
        <v>510700395</v>
      </c>
      <c r="E736" s="88">
        <v>9196690862</v>
      </c>
      <c r="F736" s="1" t="s">
        <v>5</v>
      </c>
      <c r="G736" s="108">
        <v>37992</v>
      </c>
      <c r="H736" s="67" t="str">
        <f t="shared" si="22"/>
        <v>Jan</v>
      </c>
      <c r="I736" s="9">
        <f t="shared" ca="1" si="23"/>
        <v>12</v>
      </c>
      <c r="J736" s="8" t="s">
        <v>32</v>
      </c>
      <c r="K736" s="7">
        <v>76400</v>
      </c>
      <c r="L736" s="6">
        <v>5</v>
      </c>
      <c r="M736" s="106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x14ac:dyDescent="0.25">
      <c r="A737" s="1" t="s">
        <v>393</v>
      </c>
      <c r="B737" s="12" t="s">
        <v>17</v>
      </c>
      <c r="C737" s="1" t="s">
        <v>343</v>
      </c>
      <c r="D737" s="85">
        <v>106099892</v>
      </c>
      <c r="E737" s="88">
        <v>9194436681</v>
      </c>
      <c r="F737" s="1" t="s">
        <v>12</v>
      </c>
      <c r="G737" s="108">
        <v>41720</v>
      </c>
      <c r="H737" s="67" t="str">
        <f t="shared" si="22"/>
        <v>Mar</v>
      </c>
      <c r="I737" s="9">
        <f t="shared" ca="1" si="23"/>
        <v>2</v>
      </c>
      <c r="J737" s="8"/>
      <c r="K737" s="7">
        <v>79360</v>
      </c>
      <c r="L737" s="6">
        <v>4</v>
      </c>
      <c r="M737" s="106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x14ac:dyDescent="0.25">
      <c r="A738" s="1" t="s">
        <v>371</v>
      </c>
      <c r="B738" s="12" t="s">
        <v>13</v>
      </c>
      <c r="C738" s="1" t="s">
        <v>1</v>
      </c>
      <c r="D738" s="85">
        <v>978092408</v>
      </c>
      <c r="E738" s="88">
        <v>9191888279</v>
      </c>
      <c r="F738" s="1" t="s">
        <v>12</v>
      </c>
      <c r="G738" s="108">
        <v>35526</v>
      </c>
      <c r="H738" s="67" t="str">
        <f t="shared" si="22"/>
        <v>Apr</v>
      </c>
      <c r="I738" s="9">
        <f t="shared" ca="1" si="23"/>
        <v>19</v>
      </c>
      <c r="J738" s="8"/>
      <c r="K738" s="7">
        <v>77660</v>
      </c>
      <c r="L738" s="6">
        <v>5</v>
      </c>
      <c r="M738" s="106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x14ac:dyDescent="0.25">
      <c r="A739" s="1" t="s">
        <v>3</v>
      </c>
      <c r="B739" s="12" t="s">
        <v>2</v>
      </c>
      <c r="C739" s="1" t="s">
        <v>1</v>
      </c>
      <c r="D739" s="85">
        <v>827277063</v>
      </c>
      <c r="E739" s="88">
        <v>2528873234</v>
      </c>
      <c r="F739" s="1" t="s">
        <v>0</v>
      </c>
      <c r="G739" s="108">
        <v>41544</v>
      </c>
      <c r="H739" s="67" t="str">
        <f t="shared" si="22"/>
        <v>Sep</v>
      </c>
      <c r="I739" s="9">
        <f t="shared" ca="1" si="23"/>
        <v>3</v>
      </c>
      <c r="J739" s="8"/>
      <c r="K739" s="7">
        <v>22850</v>
      </c>
      <c r="L739" s="6">
        <v>1</v>
      </c>
      <c r="M739" s="106"/>
      <c r="N739" s="2"/>
      <c r="O739" s="5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x14ac:dyDescent="0.25">
      <c r="A740" s="1" t="s">
        <v>662</v>
      </c>
      <c r="B740" s="12" t="s">
        <v>2</v>
      </c>
      <c r="C740" s="1" t="s">
        <v>1</v>
      </c>
      <c r="D740" s="85">
        <v>495372474</v>
      </c>
      <c r="E740" s="88">
        <v>9194137278</v>
      </c>
      <c r="F740" s="1" t="s">
        <v>15</v>
      </c>
      <c r="G740" s="108">
        <v>37558</v>
      </c>
      <c r="H740" s="67" t="str">
        <f t="shared" si="22"/>
        <v>Oct</v>
      </c>
      <c r="I740" s="9">
        <f t="shared" ca="1" si="23"/>
        <v>14</v>
      </c>
      <c r="J740" s="8" t="s">
        <v>32</v>
      </c>
      <c r="K740" s="7">
        <v>37500</v>
      </c>
      <c r="L740" s="6">
        <v>2</v>
      </c>
      <c r="M740" s="106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x14ac:dyDescent="0.25">
      <c r="A741" s="1" t="s">
        <v>693</v>
      </c>
      <c r="B741" s="12" t="s">
        <v>13</v>
      </c>
      <c r="C741" s="1" t="s">
        <v>1</v>
      </c>
      <c r="D741" s="85">
        <v>183135788</v>
      </c>
      <c r="E741" s="88">
        <v>2521198851</v>
      </c>
      <c r="F741" s="1" t="s">
        <v>12</v>
      </c>
      <c r="G741" s="108">
        <v>35004</v>
      </c>
      <c r="H741" s="67" t="str">
        <f t="shared" si="22"/>
        <v>Nov</v>
      </c>
      <c r="I741" s="9">
        <f t="shared" ca="1" si="23"/>
        <v>21</v>
      </c>
      <c r="J741" s="8"/>
      <c r="K741" s="7">
        <v>72910</v>
      </c>
      <c r="L741" s="6">
        <v>2</v>
      </c>
      <c r="M741" s="106"/>
      <c r="N741" s="2"/>
      <c r="O741" s="5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x14ac:dyDescent="0.25">
      <c r="A742" s="1" t="s">
        <v>322</v>
      </c>
      <c r="B742" s="12" t="s">
        <v>56</v>
      </c>
      <c r="C742" s="1" t="s">
        <v>1</v>
      </c>
      <c r="D742" s="85">
        <v>383616821</v>
      </c>
      <c r="E742" s="88">
        <v>2524989537</v>
      </c>
      <c r="F742" s="1" t="s">
        <v>5</v>
      </c>
      <c r="G742" s="108">
        <v>41385</v>
      </c>
      <c r="H742" s="67" t="str">
        <f t="shared" si="22"/>
        <v>Apr</v>
      </c>
      <c r="I742" s="9">
        <f t="shared" ca="1" si="23"/>
        <v>3</v>
      </c>
      <c r="J742" s="8" t="s">
        <v>32</v>
      </c>
      <c r="K742" s="7">
        <v>56020</v>
      </c>
      <c r="L742" s="6">
        <v>1</v>
      </c>
      <c r="M742" s="106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</sheetData>
  <sortState ref="A2:O742">
    <sortCondition ref="C65"/>
  </sortState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FF"/>
  </sheetPr>
  <dimension ref="A1:I785"/>
  <sheetViews>
    <sheetView zoomScale="145" zoomScaleNormal="145" workbookViewId="0">
      <selection activeCell="A16" sqref="A16"/>
    </sheetView>
  </sheetViews>
  <sheetFormatPr defaultRowHeight="15" customHeight="1" x14ac:dyDescent="0.25"/>
  <cols>
    <col min="1" max="1" width="37.7109375" bestFit="1" customWidth="1"/>
    <col min="2" max="2" width="8.7109375" bestFit="1" customWidth="1"/>
    <col min="3" max="3" width="27.7109375" bestFit="1" customWidth="1"/>
    <col min="4" max="4" width="9.42578125" bestFit="1" customWidth="1"/>
    <col min="5" max="5" width="9.5703125" bestFit="1" customWidth="1"/>
    <col min="6" max="6" width="6.140625" bestFit="1" customWidth="1"/>
    <col min="7" max="7" width="8.140625" bestFit="1" customWidth="1"/>
    <col min="8" max="8" width="9.5703125" bestFit="1" customWidth="1"/>
    <col min="9" max="9" width="10.85546875" bestFit="1" customWidth="1"/>
  </cols>
  <sheetData>
    <row r="1" spans="1:9" x14ac:dyDescent="0.25">
      <c r="A1" s="64" t="s">
        <v>811</v>
      </c>
      <c r="B1" s="60" t="s">
        <v>810</v>
      </c>
      <c r="C1" s="62" t="s">
        <v>809</v>
      </c>
      <c r="D1" s="62" t="s">
        <v>806</v>
      </c>
      <c r="E1" s="63" t="s">
        <v>805</v>
      </c>
      <c r="F1" s="63" t="s">
        <v>803</v>
      </c>
      <c r="G1" s="62" t="s">
        <v>802</v>
      </c>
      <c r="H1" s="61" t="s">
        <v>801</v>
      </c>
      <c r="I1" s="60" t="s">
        <v>800</v>
      </c>
    </row>
    <row r="2" spans="1:9" x14ac:dyDescent="0.25">
      <c r="A2" s="56" t="s">
        <v>289</v>
      </c>
      <c r="B2" s="58" t="s">
        <v>39</v>
      </c>
      <c r="C2" s="56" t="s">
        <v>30</v>
      </c>
      <c r="D2" s="56" t="s">
        <v>5</v>
      </c>
      <c r="E2" s="55">
        <v>34861</v>
      </c>
      <c r="F2" s="54">
        <f t="shared" ref="F2:F7" ca="1" si="0">DATEDIF(E2,TODAY(),"Y")</f>
        <v>21</v>
      </c>
      <c r="G2" s="53" t="s">
        <v>32</v>
      </c>
      <c r="H2" s="52">
        <v>24550</v>
      </c>
      <c r="I2" s="51">
        <v>1</v>
      </c>
    </row>
    <row r="3" spans="1:9" x14ac:dyDescent="0.25">
      <c r="A3" s="56" t="s">
        <v>594</v>
      </c>
      <c r="B3" s="58" t="s">
        <v>39</v>
      </c>
      <c r="C3" s="56" t="s">
        <v>30</v>
      </c>
      <c r="D3" s="56" t="s">
        <v>12</v>
      </c>
      <c r="E3" s="55">
        <v>37107</v>
      </c>
      <c r="F3" s="54">
        <f t="shared" ca="1" si="0"/>
        <v>15</v>
      </c>
      <c r="G3" s="53"/>
      <c r="H3" s="52">
        <v>42540</v>
      </c>
      <c r="I3" s="51">
        <v>5</v>
      </c>
    </row>
    <row r="4" spans="1:9" x14ac:dyDescent="0.25">
      <c r="A4" s="56" t="s">
        <v>720</v>
      </c>
      <c r="B4" s="58" t="s">
        <v>2</v>
      </c>
      <c r="C4" s="56" t="s">
        <v>30</v>
      </c>
      <c r="D4" s="56" t="s">
        <v>5</v>
      </c>
      <c r="E4" s="55">
        <v>38137</v>
      </c>
      <c r="F4" s="54">
        <f t="shared" ca="1" si="0"/>
        <v>12</v>
      </c>
      <c r="G4" s="53" t="s">
        <v>19</v>
      </c>
      <c r="H4" s="52">
        <v>72830</v>
      </c>
      <c r="I4" s="51">
        <v>2</v>
      </c>
    </row>
    <row r="5" spans="1:9" x14ac:dyDescent="0.25">
      <c r="A5" s="56" t="s">
        <v>720</v>
      </c>
      <c r="B5" s="58" t="s">
        <v>2</v>
      </c>
      <c r="C5" s="56" t="s">
        <v>30</v>
      </c>
      <c r="D5" s="56" t="s">
        <v>5</v>
      </c>
      <c r="E5" s="55">
        <v>38137</v>
      </c>
      <c r="F5" s="54">
        <f t="shared" ca="1" si="0"/>
        <v>12</v>
      </c>
      <c r="G5" s="53" t="s">
        <v>19</v>
      </c>
      <c r="H5" s="52">
        <v>72830</v>
      </c>
      <c r="I5" s="51">
        <v>2</v>
      </c>
    </row>
    <row r="6" spans="1:9" x14ac:dyDescent="0.25">
      <c r="A6" s="56" t="s">
        <v>308</v>
      </c>
      <c r="B6" s="58" t="s">
        <v>39</v>
      </c>
      <c r="C6" s="56" t="s">
        <v>30</v>
      </c>
      <c r="D6" s="56" t="s">
        <v>15</v>
      </c>
      <c r="E6" s="55">
        <v>31980</v>
      </c>
      <c r="F6" s="54">
        <f t="shared" ca="1" si="0"/>
        <v>29</v>
      </c>
      <c r="G6" s="53" t="s">
        <v>34</v>
      </c>
      <c r="H6" s="52">
        <v>26795</v>
      </c>
      <c r="I6" s="51">
        <v>4</v>
      </c>
    </row>
    <row r="7" spans="1:9" x14ac:dyDescent="0.25">
      <c r="A7" s="56" t="s">
        <v>628</v>
      </c>
      <c r="B7" s="58" t="s">
        <v>56</v>
      </c>
      <c r="C7" s="56" t="s">
        <v>30</v>
      </c>
      <c r="D7" s="56" t="s">
        <v>0</v>
      </c>
      <c r="E7" s="55">
        <v>32536</v>
      </c>
      <c r="F7" s="54">
        <f t="shared" ca="1" si="0"/>
        <v>27</v>
      </c>
      <c r="G7" s="53"/>
      <c r="H7" s="52">
        <v>35680</v>
      </c>
      <c r="I7" s="51">
        <v>2</v>
      </c>
    </row>
    <row r="8" spans="1:9" x14ac:dyDescent="0.25">
      <c r="A8" s="57" t="s">
        <v>834</v>
      </c>
      <c r="B8" s="58"/>
      <c r="C8" s="57"/>
      <c r="D8" s="56"/>
      <c r="E8" s="55"/>
      <c r="F8" s="54"/>
      <c r="G8" s="53"/>
      <c r="H8" s="52"/>
      <c r="I8" s="51"/>
    </row>
    <row r="9" spans="1:9" x14ac:dyDescent="0.25">
      <c r="A9" s="56" t="s">
        <v>37</v>
      </c>
      <c r="B9" s="58" t="s">
        <v>17</v>
      </c>
      <c r="C9" s="56" t="s">
        <v>37</v>
      </c>
      <c r="D9" s="56" t="s">
        <v>15</v>
      </c>
      <c r="E9" s="55">
        <v>32164</v>
      </c>
      <c r="F9" s="54">
        <f t="shared" ref="F9:F25" ca="1" si="1">DATEDIF(E9,TODAY(),"Y")</f>
        <v>28</v>
      </c>
      <c r="G9" s="53" t="s">
        <v>34</v>
      </c>
      <c r="H9" s="52">
        <v>30445</v>
      </c>
      <c r="I9" s="51">
        <v>1</v>
      </c>
    </row>
    <row r="10" spans="1:9" x14ac:dyDescent="0.25">
      <c r="A10" s="56" t="s">
        <v>37</v>
      </c>
      <c r="B10" s="58" t="s">
        <v>10</v>
      </c>
      <c r="C10" s="56" t="s">
        <v>37</v>
      </c>
      <c r="D10" s="56" t="s">
        <v>0</v>
      </c>
      <c r="E10" s="55">
        <v>32172</v>
      </c>
      <c r="F10" s="54">
        <f t="shared" ca="1" si="1"/>
        <v>28</v>
      </c>
      <c r="G10" s="53" t="s">
        <v>32</v>
      </c>
      <c r="H10" s="52">
        <v>29070</v>
      </c>
      <c r="I10" s="51">
        <v>3</v>
      </c>
    </row>
    <row r="11" spans="1:9" x14ac:dyDescent="0.25">
      <c r="A11" s="56" t="s">
        <v>37</v>
      </c>
      <c r="B11" s="58" t="s">
        <v>13</v>
      </c>
      <c r="C11" s="56" t="s">
        <v>37</v>
      </c>
      <c r="D11" s="56" t="s">
        <v>5</v>
      </c>
      <c r="E11" s="55">
        <v>32521</v>
      </c>
      <c r="F11" s="54">
        <f t="shared" ca="1" si="1"/>
        <v>27</v>
      </c>
      <c r="G11" s="53" t="s">
        <v>32</v>
      </c>
      <c r="H11" s="52">
        <v>79760</v>
      </c>
      <c r="I11" s="51">
        <v>5</v>
      </c>
    </row>
    <row r="12" spans="1:9" x14ac:dyDescent="0.25">
      <c r="A12" s="56" t="s">
        <v>37</v>
      </c>
      <c r="B12" s="58" t="s">
        <v>17</v>
      </c>
      <c r="C12" s="56" t="s">
        <v>37</v>
      </c>
      <c r="D12" s="56" t="s">
        <v>12</v>
      </c>
      <c r="E12" s="55">
        <v>32766</v>
      </c>
      <c r="F12" s="54">
        <f t="shared" ca="1" si="1"/>
        <v>27</v>
      </c>
      <c r="G12" s="53"/>
      <c r="H12" s="52">
        <v>66580</v>
      </c>
      <c r="I12" s="51">
        <v>5</v>
      </c>
    </row>
    <row r="13" spans="1:9" x14ac:dyDescent="0.25">
      <c r="A13" s="56" t="s">
        <v>37</v>
      </c>
      <c r="B13" s="58" t="s">
        <v>13</v>
      </c>
      <c r="C13" s="56" t="s">
        <v>37</v>
      </c>
      <c r="D13" s="56" t="s">
        <v>5</v>
      </c>
      <c r="E13" s="55">
        <v>34154</v>
      </c>
      <c r="F13" s="54">
        <f t="shared" ca="1" si="1"/>
        <v>23</v>
      </c>
      <c r="G13" s="53" t="s">
        <v>32</v>
      </c>
      <c r="H13" s="52">
        <v>60830</v>
      </c>
      <c r="I13" s="51">
        <v>1</v>
      </c>
    </row>
    <row r="14" spans="1:9" x14ac:dyDescent="0.25">
      <c r="A14" s="56" t="s">
        <v>37</v>
      </c>
      <c r="B14" s="58" t="s">
        <v>10</v>
      </c>
      <c r="C14" s="56" t="s">
        <v>37</v>
      </c>
      <c r="D14" s="56" t="s">
        <v>5</v>
      </c>
      <c r="E14" s="55">
        <v>34432</v>
      </c>
      <c r="F14" s="54">
        <f t="shared" ca="1" si="1"/>
        <v>22</v>
      </c>
      <c r="G14" s="53" t="s">
        <v>4</v>
      </c>
      <c r="H14" s="52">
        <v>85300</v>
      </c>
      <c r="I14" s="51">
        <v>2</v>
      </c>
    </row>
    <row r="15" spans="1:9" x14ac:dyDescent="0.25">
      <c r="A15" s="56" t="s">
        <v>37</v>
      </c>
      <c r="B15" s="58" t="s">
        <v>56</v>
      </c>
      <c r="C15" s="56" t="s">
        <v>37</v>
      </c>
      <c r="D15" s="56" t="s">
        <v>5</v>
      </c>
      <c r="E15" s="55">
        <v>34833</v>
      </c>
      <c r="F15" s="54">
        <f t="shared" ca="1" si="1"/>
        <v>21</v>
      </c>
      <c r="G15" s="53" t="s">
        <v>4</v>
      </c>
      <c r="H15" s="52">
        <v>72090</v>
      </c>
      <c r="I15" s="51">
        <v>5</v>
      </c>
    </row>
    <row r="16" spans="1:9" x14ac:dyDescent="0.25">
      <c r="A16" s="56" t="s">
        <v>37</v>
      </c>
      <c r="B16" s="58" t="s">
        <v>56</v>
      </c>
      <c r="C16" s="56" t="s">
        <v>37</v>
      </c>
      <c r="D16" s="56" t="s">
        <v>15</v>
      </c>
      <c r="E16" s="55">
        <v>34907</v>
      </c>
      <c r="F16" s="54">
        <f t="shared" ca="1" si="1"/>
        <v>21</v>
      </c>
      <c r="G16" s="53" t="s">
        <v>32</v>
      </c>
      <c r="H16" s="52">
        <v>15240</v>
      </c>
      <c r="I16" s="51">
        <v>1</v>
      </c>
    </row>
    <row r="17" spans="1:9" x14ac:dyDescent="0.25">
      <c r="A17" s="56" t="s">
        <v>37</v>
      </c>
      <c r="B17" s="58" t="s">
        <v>13</v>
      </c>
      <c r="C17" s="56" t="s">
        <v>37</v>
      </c>
      <c r="D17" s="56" t="s">
        <v>5</v>
      </c>
      <c r="E17" s="55">
        <v>34950</v>
      </c>
      <c r="F17" s="54">
        <f t="shared" ca="1" si="1"/>
        <v>21</v>
      </c>
      <c r="G17" s="53" t="s">
        <v>32</v>
      </c>
      <c r="H17" s="52">
        <v>75150</v>
      </c>
      <c r="I17" s="51">
        <v>1</v>
      </c>
    </row>
    <row r="18" spans="1:9" x14ac:dyDescent="0.25">
      <c r="A18" s="56" t="s">
        <v>37</v>
      </c>
      <c r="B18" s="58" t="s">
        <v>2</v>
      </c>
      <c r="C18" s="56" t="s">
        <v>37</v>
      </c>
      <c r="D18" s="56" t="s">
        <v>5</v>
      </c>
      <c r="E18" s="55">
        <v>35454</v>
      </c>
      <c r="F18" s="54">
        <f t="shared" ca="1" si="1"/>
        <v>19</v>
      </c>
      <c r="G18" s="53" t="s">
        <v>8</v>
      </c>
      <c r="H18" s="52">
        <v>74840</v>
      </c>
      <c r="I18" s="51">
        <v>4</v>
      </c>
    </row>
    <row r="19" spans="1:9" x14ac:dyDescent="0.25">
      <c r="A19" s="56" t="s">
        <v>37</v>
      </c>
      <c r="B19" s="58" t="s">
        <v>39</v>
      </c>
      <c r="C19" s="56" t="s">
        <v>37</v>
      </c>
      <c r="D19" s="56" t="s">
        <v>12</v>
      </c>
      <c r="E19" s="55">
        <v>35467</v>
      </c>
      <c r="F19" s="54">
        <f t="shared" ca="1" si="1"/>
        <v>19</v>
      </c>
      <c r="G19" s="53"/>
      <c r="H19" s="52">
        <v>76690</v>
      </c>
      <c r="I19" s="51">
        <v>3</v>
      </c>
    </row>
    <row r="20" spans="1:9" x14ac:dyDescent="0.25">
      <c r="A20" s="56" t="s">
        <v>37</v>
      </c>
      <c r="B20" s="58" t="s">
        <v>56</v>
      </c>
      <c r="C20" s="56" t="s">
        <v>37</v>
      </c>
      <c r="D20" s="56" t="s">
        <v>5</v>
      </c>
      <c r="E20" s="55">
        <v>36094</v>
      </c>
      <c r="F20" s="54">
        <f t="shared" ca="1" si="1"/>
        <v>18</v>
      </c>
      <c r="G20" s="53" t="s">
        <v>32</v>
      </c>
      <c r="H20" s="52">
        <v>30780</v>
      </c>
      <c r="I20" s="51">
        <v>4</v>
      </c>
    </row>
    <row r="21" spans="1:9" x14ac:dyDescent="0.25">
      <c r="A21" s="56" t="s">
        <v>37</v>
      </c>
      <c r="B21" s="58" t="s">
        <v>17</v>
      </c>
      <c r="C21" s="56" t="s">
        <v>37</v>
      </c>
      <c r="D21" s="56" t="s">
        <v>15</v>
      </c>
      <c r="E21" s="55">
        <v>36472</v>
      </c>
      <c r="F21" s="54">
        <f t="shared" ca="1" si="1"/>
        <v>16</v>
      </c>
      <c r="G21" s="53" t="s">
        <v>8</v>
      </c>
      <c r="H21" s="52">
        <v>17735</v>
      </c>
      <c r="I21" s="51">
        <v>3</v>
      </c>
    </row>
    <row r="22" spans="1:9" x14ac:dyDescent="0.25">
      <c r="A22" s="56" t="s">
        <v>37</v>
      </c>
      <c r="B22" s="58" t="s">
        <v>17</v>
      </c>
      <c r="C22" s="56" t="s">
        <v>37</v>
      </c>
      <c r="D22" s="56" t="s">
        <v>5</v>
      </c>
      <c r="E22" s="55">
        <v>36832</v>
      </c>
      <c r="F22" s="54">
        <f t="shared" ca="1" si="1"/>
        <v>16</v>
      </c>
      <c r="G22" s="53" t="s">
        <v>32</v>
      </c>
      <c r="H22" s="52">
        <v>49350</v>
      </c>
      <c r="I22" s="51">
        <v>4</v>
      </c>
    </row>
    <row r="23" spans="1:9" x14ac:dyDescent="0.25">
      <c r="A23" s="56" t="s">
        <v>37</v>
      </c>
      <c r="B23" s="58" t="s">
        <v>2</v>
      </c>
      <c r="C23" s="56" t="s">
        <v>37</v>
      </c>
      <c r="D23" s="56" t="s">
        <v>5</v>
      </c>
      <c r="E23" s="55">
        <v>37759</v>
      </c>
      <c r="F23" s="54">
        <f t="shared" ca="1" si="1"/>
        <v>13</v>
      </c>
      <c r="G23" s="53" t="s">
        <v>19</v>
      </c>
      <c r="H23" s="52">
        <v>37670</v>
      </c>
      <c r="I23" s="51">
        <v>3</v>
      </c>
    </row>
    <row r="24" spans="1:9" x14ac:dyDescent="0.25">
      <c r="A24" s="56" t="s">
        <v>37</v>
      </c>
      <c r="B24" s="58" t="s">
        <v>39</v>
      </c>
      <c r="C24" s="56" t="s">
        <v>37</v>
      </c>
      <c r="D24" s="56" t="s">
        <v>5</v>
      </c>
      <c r="E24" s="55">
        <v>38394</v>
      </c>
      <c r="F24" s="54">
        <f t="shared" ca="1" si="1"/>
        <v>11</v>
      </c>
      <c r="G24" s="53" t="s">
        <v>8</v>
      </c>
      <c r="H24" s="52">
        <v>58290</v>
      </c>
      <c r="I24" s="51">
        <v>5</v>
      </c>
    </row>
    <row r="25" spans="1:9" x14ac:dyDescent="0.25">
      <c r="A25" s="56" t="s">
        <v>37</v>
      </c>
      <c r="B25" s="58" t="s">
        <v>39</v>
      </c>
      <c r="C25" s="56" t="s">
        <v>37</v>
      </c>
      <c r="D25" s="56" t="s">
        <v>0</v>
      </c>
      <c r="E25" s="55">
        <v>38816</v>
      </c>
      <c r="F25" s="54">
        <f t="shared" ca="1" si="1"/>
        <v>10</v>
      </c>
      <c r="G25" s="53"/>
      <c r="H25" s="52">
        <v>10636</v>
      </c>
      <c r="I25" s="51">
        <v>4</v>
      </c>
    </row>
    <row r="26" spans="1:9" x14ac:dyDescent="0.25">
      <c r="A26" s="57" t="s">
        <v>833</v>
      </c>
      <c r="B26" s="58"/>
      <c r="C26" s="57"/>
      <c r="D26" s="56"/>
      <c r="E26" s="55"/>
      <c r="F26" s="54"/>
      <c r="G26" s="53"/>
      <c r="H26" s="52"/>
      <c r="I26" s="51"/>
    </row>
    <row r="27" spans="1:9" x14ac:dyDescent="0.25">
      <c r="A27" s="56" t="s">
        <v>125</v>
      </c>
      <c r="B27" s="58" t="s">
        <v>39</v>
      </c>
      <c r="C27" s="56" t="s">
        <v>125</v>
      </c>
      <c r="D27" s="56" t="s">
        <v>5</v>
      </c>
      <c r="E27" s="55">
        <v>32241</v>
      </c>
      <c r="F27" s="54">
        <f t="shared" ref="F27:F36" ca="1" si="2">DATEDIF(E27,TODAY(),"Y")</f>
        <v>28</v>
      </c>
      <c r="G27" s="53" t="s">
        <v>34</v>
      </c>
      <c r="H27" s="52">
        <v>41350</v>
      </c>
      <c r="I27" s="51">
        <v>2</v>
      </c>
    </row>
    <row r="28" spans="1:9" x14ac:dyDescent="0.25">
      <c r="A28" s="56" t="s">
        <v>125</v>
      </c>
      <c r="B28" s="58" t="s">
        <v>13</v>
      </c>
      <c r="C28" s="56" t="s">
        <v>125</v>
      </c>
      <c r="D28" s="56" t="s">
        <v>5</v>
      </c>
      <c r="E28" s="55">
        <v>32991</v>
      </c>
      <c r="F28" s="54">
        <f t="shared" ca="1" si="2"/>
        <v>26</v>
      </c>
      <c r="G28" s="53" t="s">
        <v>32</v>
      </c>
      <c r="H28" s="52">
        <v>73440</v>
      </c>
      <c r="I28" s="51">
        <v>1</v>
      </c>
    </row>
    <row r="29" spans="1:9" x14ac:dyDescent="0.25">
      <c r="A29" s="56" t="s">
        <v>125</v>
      </c>
      <c r="B29" s="58" t="s">
        <v>17</v>
      </c>
      <c r="C29" s="56" t="s">
        <v>125</v>
      </c>
      <c r="D29" s="56" t="s">
        <v>5</v>
      </c>
      <c r="E29" s="55">
        <v>34149</v>
      </c>
      <c r="F29" s="54">
        <f t="shared" ca="1" si="2"/>
        <v>23</v>
      </c>
      <c r="G29" s="53" t="s">
        <v>4</v>
      </c>
      <c r="H29" s="52">
        <v>49360</v>
      </c>
      <c r="I29" s="51">
        <v>2</v>
      </c>
    </row>
    <row r="30" spans="1:9" x14ac:dyDescent="0.25">
      <c r="A30" s="56" t="s">
        <v>125</v>
      </c>
      <c r="B30" s="58" t="s">
        <v>39</v>
      </c>
      <c r="C30" s="56" t="s">
        <v>125</v>
      </c>
      <c r="D30" s="56" t="s">
        <v>15</v>
      </c>
      <c r="E30" s="55">
        <v>34254</v>
      </c>
      <c r="F30" s="54">
        <f t="shared" ca="1" si="2"/>
        <v>23</v>
      </c>
      <c r="G30" s="53" t="s">
        <v>32</v>
      </c>
      <c r="H30" s="52">
        <v>11025</v>
      </c>
      <c r="I30" s="51">
        <v>1</v>
      </c>
    </row>
    <row r="31" spans="1:9" x14ac:dyDescent="0.25">
      <c r="A31" s="56" t="s">
        <v>125</v>
      </c>
      <c r="B31" s="58" t="s">
        <v>17</v>
      </c>
      <c r="C31" s="56" t="s">
        <v>125</v>
      </c>
      <c r="D31" s="56" t="s">
        <v>0</v>
      </c>
      <c r="E31" s="55">
        <v>34364</v>
      </c>
      <c r="F31" s="54">
        <f t="shared" ca="1" si="2"/>
        <v>22</v>
      </c>
      <c r="G31" s="53"/>
      <c r="H31" s="52">
        <v>20028</v>
      </c>
      <c r="I31" s="51">
        <v>4</v>
      </c>
    </row>
    <row r="32" spans="1:9" x14ac:dyDescent="0.25">
      <c r="A32" s="56" t="s">
        <v>125</v>
      </c>
      <c r="B32" s="58" t="s">
        <v>13</v>
      </c>
      <c r="C32" s="56" t="s">
        <v>125</v>
      </c>
      <c r="D32" s="56" t="s">
        <v>5</v>
      </c>
      <c r="E32" s="55">
        <v>34904</v>
      </c>
      <c r="F32" s="54">
        <f t="shared" ca="1" si="2"/>
        <v>21</v>
      </c>
      <c r="G32" s="53" t="s">
        <v>8</v>
      </c>
      <c r="H32" s="52">
        <v>47850</v>
      </c>
      <c r="I32" s="51">
        <v>1</v>
      </c>
    </row>
    <row r="33" spans="1:9" x14ac:dyDescent="0.25">
      <c r="A33" s="56" t="s">
        <v>125</v>
      </c>
      <c r="B33" s="58" t="s">
        <v>39</v>
      </c>
      <c r="C33" s="56" t="s">
        <v>125</v>
      </c>
      <c r="D33" s="56" t="s">
        <v>5</v>
      </c>
      <c r="E33" s="55">
        <v>35309</v>
      </c>
      <c r="F33" s="54">
        <f t="shared" ca="1" si="2"/>
        <v>20</v>
      </c>
      <c r="G33" s="53" t="s">
        <v>19</v>
      </c>
      <c r="H33" s="52">
        <v>56440</v>
      </c>
      <c r="I33" s="51">
        <v>1</v>
      </c>
    </row>
    <row r="34" spans="1:9" x14ac:dyDescent="0.25">
      <c r="A34" s="56" t="s">
        <v>125</v>
      </c>
      <c r="B34" s="58" t="s">
        <v>39</v>
      </c>
      <c r="C34" s="56" t="s">
        <v>125</v>
      </c>
      <c r="D34" s="56" t="s">
        <v>5</v>
      </c>
      <c r="E34" s="55">
        <v>35583</v>
      </c>
      <c r="F34" s="54">
        <f t="shared" ca="1" si="2"/>
        <v>19</v>
      </c>
      <c r="G34" s="53" t="s">
        <v>4</v>
      </c>
      <c r="H34" s="52">
        <v>33640</v>
      </c>
      <c r="I34" s="51">
        <v>3</v>
      </c>
    </row>
    <row r="35" spans="1:9" x14ac:dyDescent="0.25">
      <c r="A35" s="56" t="s">
        <v>125</v>
      </c>
      <c r="B35" s="58" t="s">
        <v>56</v>
      </c>
      <c r="C35" s="56" t="s">
        <v>125</v>
      </c>
      <c r="D35" s="56" t="s">
        <v>5</v>
      </c>
      <c r="E35" s="55">
        <v>36741</v>
      </c>
      <c r="F35" s="54">
        <f t="shared" ca="1" si="2"/>
        <v>16</v>
      </c>
      <c r="G35" s="53" t="s">
        <v>32</v>
      </c>
      <c r="H35" s="52">
        <v>30350</v>
      </c>
      <c r="I35" s="51">
        <v>1</v>
      </c>
    </row>
    <row r="36" spans="1:9" x14ac:dyDescent="0.25">
      <c r="A36" s="56" t="s">
        <v>125</v>
      </c>
      <c r="B36" s="58" t="s">
        <v>39</v>
      </c>
      <c r="C36" s="56" t="s">
        <v>125</v>
      </c>
      <c r="D36" s="56" t="s">
        <v>5</v>
      </c>
      <c r="E36" s="55">
        <v>38796</v>
      </c>
      <c r="F36" s="54">
        <f t="shared" ca="1" si="2"/>
        <v>10</v>
      </c>
      <c r="G36" s="53" t="s">
        <v>34</v>
      </c>
      <c r="H36" s="52">
        <v>51180</v>
      </c>
      <c r="I36" s="51">
        <v>3</v>
      </c>
    </row>
    <row r="37" spans="1:9" x14ac:dyDescent="0.25">
      <c r="A37" s="57" t="s">
        <v>832</v>
      </c>
      <c r="B37" s="58"/>
      <c r="C37" s="57"/>
      <c r="D37" s="56"/>
      <c r="E37" s="55"/>
      <c r="F37" s="54"/>
      <c r="G37" s="53"/>
      <c r="H37" s="52"/>
      <c r="I37" s="51"/>
    </row>
    <row r="38" spans="1:9" x14ac:dyDescent="0.25">
      <c r="A38" s="56" t="s">
        <v>24</v>
      </c>
      <c r="B38" s="58" t="s">
        <v>13</v>
      </c>
      <c r="C38" s="56" t="s">
        <v>24</v>
      </c>
      <c r="D38" s="56" t="s">
        <v>5</v>
      </c>
      <c r="E38" s="55">
        <v>32403</v>
      </c>
      <c r="F38" s="54">
        <f ca="1">DATEDIF(E38,TODAY(),"Y")</f>
        <v>28</v>
      </c>
      <c r="G38" s="53" t="s">
        <v>32</v>
      </c>
      <c r="H38" s="52">
        <v>46220</v>
      </c>
      <c r="I38" s="51">
        <v>3</v>
      </c>
    </row>
    <row r="39" spans="1:9" x14ac:dyDescent="0.25">
      <c r="A39" s="56" t="s">
        <v>24</v>
      </c>
      <c r="B39" s="58" t="s">
        <v>10</v>
      </c>
      <c r="C39" s="56" t="s">
        <v>24</v>
      </c>
      <c r="D39" s="56" t="s">
        <v>12</v>
      </c>
      <c r="E39" s="55">
        <v>34085</v>
      </c>
      <c r="F39" s="54">
        <f ca="1">DATEDIF(E39,TODAY(),"Y")</f>
        <v>23</v>
      </c>
      <c r="G39" s="53"/>
      <c r="H39" s="52">
        <v>58130</v>
      </c>
      <c r="I39" s="51">
        <v>2</v>
      </c>
    </row>
    <row r="40" spans="1:9" x14ac:dyDescent="0.25">
      <c r="A40" s="56" t="s">
        <v>24</v>
      </c>
      <c r="B40" s="58" t="s">
        <v>13</v>
      </c>
      <c r="C40" s="56" t="s">
        <v>24</v>
      </c>
      <c r="D40" s="56" t="s">
        <v>15</v>
      </c>
      <c r="E40" s="55">
        <v>38107</v>
      </c>
      <c r="F40" s="54">
        <f ca="1">DATEDIF(E40,TODAY(),"Y")</f>
        <v>12</v>
      </c>
      <c r="G40" s="53" t="s">
        <v>19</v>
      </c>
      <c r="H40" s="52">
        <v>46095</v>
      </c>
      <c r="I40" s="51">
        <v>3</v>
      </c>
    </row>
    <row r="41" spans="1:9" x14ac:dyDescent="0.25">
      <c r="A41" s="56" t="s">
        <v>24</v>
      </c>
      <c r="B41" s="58" t="s">
        <v>17</v>
      </c>
      <c r="C41" s="56" t="s">
        <v>24</v>
      </c>
      <c r="D41" s="56" t="s">
        <v>15</v>
      </c>
      <c r="E41" s="55">
        <v>38842</v>
      </c>
      <c r="F41" s="54">
        <f ca="1">DATEDIF(E41,TODAY(),"Y")</f>
        <v>10</v>
      </c>
      <c r="G41" s="53" t="s">
        <v>4</v>
      </c>
      <c r="H41" s="52">
        <v>28680</v>
      </c>
      <c r="I41" s="51">
        <v>1</v>
      </c>
    </row>
    <row r="42" spans="1:9" x14ac:dyDescent="0.25">
      <c r="A42" s="57" t="s">
        <v>831</v>
      </c>
      <c r="B42" s="58"/>
      <c r="C42" s="57"/>
      <c r="D42" s="56"/>
      <c r="E42" s="55"/>
      <c r="F42" s="54"/>
      <c r="G42" s="53"/>
      <c r="H42" s="52"/>
      <c r="I42" s="51"/>
    </row>
    <row r="43" spans="1:9" x14ac:dyDescent="0.25">
      <c r="A43" s="56" t="s">
        <v>26</v>
      </c>
      <c r="B43" s="58" t="s">
        <v>17</v>
      </c>
      <c r="C43" s="56" t="s">
        <v>26</v>
      </c>
      <c r="D43" s="56" t="s">
        <v>12</v>
      </c>
      <c r="E43" s="55">
        <v>31918</v>
      </c>
      <c r="F43" s="54">
        <f t="shared" ref="F43:F74" ca="1" si="3">DATEDIF(E43,TODAY(),"Y")</f>
        <v>29</v>
      </c>
      <c r="G43" s="53"/>
      <c r="H43" s="52">
        <v>42940</v>
      </c>
      <c r="I43" s="51">
        <v>1</v>
      </c>
    </row>
    <row r="44" spans="1:9" x14ac:dyDescent="0.25">
      <c r="A44" s="56" t="s">
        <v>26</v>
      </c>
      <c r="B44" s="58" t="s">
        <v>39</v>
      </c>
      <c r="C44" s="56" t="s">
        <v>26</v>
      </c>
      <c r="D44" s="56" t="s">
        <v>5</v>
      </c>
      <c r="E44" s="55">
        <v>32038</v>
      </c>
      <c r="F44" s="54">
        <f t="shared" ca="1" si="3"/>
        <v>29</v>
      </c>
      <c r="G44" s="53" t="s">
        <v>8</v>
      </c>
      <c r="H44" s="52">
        <v>49810</v>
      </c>
      <c r="I44" s="51">
        <v>2</v>
      </c>
    </row>
    <row r="45" spans="1:9" x14ac:dyDescent="0.25">
      <c r="A45" s="56" t="s">
        <v>26</v>
      </c>
      <c r="B45" s="58" t="s">
        <v>13</v>
      </c>
      <c r="C45" s="56" t="s">
        <v>26</v>
      </c>
      <c r="D45" s="56" t="s">
        <v>15</v>
      </c>
      <c r="E45" s="55">
        <v>32162</v>
      </c>
      <c r="F45" s="54">
        <f t="shared" ca="1" si="3"/>
        <v>28</v>
      </c>
      <c r="G45" s="53" t="s">
        <v>34</v>
      </c>
      <c r="H45" s="52">
        <v>13800</v>
      </c>
      <c r="I45" s="51">
        <v>3</v>
      </c>
    </row>
    <row r="46" spans="1:9" x14ac:dyDescent="0.25">
      <c r="A46" s="56" t="s">
        <v>26</v>
      </c>
      <c r="B46" s="58" t="s">
        <v>17</v>
      </c>
      <c r="C46" s="56" t="s">
        <v>26</v>
      </c>
      <c r="D46" s="56" t="s">
        <v>5</v>
      </c>
      <c r="E46" s="55">
        <v>32217</v>
      </c>
      <c r="F46" s="54">
        <f t="shared" ca="1" si="3"/>
        <v>28</v>
      </c>
      <c r="G46" s="53" t="s">
        <v>4</v>
      </c>
      <c r="H46" s="52">
        <v>85920</v>
      </c>
      <c r="I46" s="51">
        <v>4</v>
      </c>
    </row>
    <row r="47" spans="1:9" x14ac:dyDescent="0.25">
      <c r="A47" s="56" t="s">
        <v>26</v>
      </c>
      <c r="B47" s="58" t="s">
        <v>17</v>
      </c>
      <c r="C47" s="56" t="s">
        <v>26</v>
      </c>
      <c r="D47" s="56" t="s">
        <v>5</v>
      </c>
      <c r="E47" s="55">
        <v>32265</v>
      </c>
      <c r="F47" s="54">
        <f t="shared" ca="1" si="3"/>
        <v>28</v>
      </c>
      <c r="G47" s="53" t="s">
        <v>34</v>
      </c>
      <c r="H47" s="52">
        <v>61400</v>
      </c>
      <c r="I47" s="51">
        <v>5</v>
      </c>
    </row>
    <row r="48" spans="1:9" x14ac:dyDescent="0.25">
      <c r="A48" s="56" t="s">
        <v>26</v>
      </c>
      <c r="B48" s="58" t="s">
        <v>13</v>
      </c>
      <c r="C48" s="56" t="s">
        <v>26</v>
      </c>
      <c r="D48" s="56" t="s">
        <v>0</v>
      </c>
      <c r="E48" s="55">
        <v>32310</v>
      </c>
      <c r="F48" s="54">
        <f t="shared" ca="1" si="3"/>
        <v>28</v>
      </c>
      <c r="G48" s="53"/>
      <c r="H48" s="52">
        <v>14568</v>
      </c>
      <c r="I48" s="51">
        <v>3</v>
      </c>
    </row>
    <row r="49" spans="1:9" x14ac:dyDescent="0.25">
      <c r="A49" s="56" t="s">
        <v>26</v>
      </c>
      <c r="B49" s="58" t="s">
        <v>56</v>
      </c>
      <c r="C49" s="56" t="s">
        <v>26</v>
      </c>
      <c r="D49" s="56" t="s">
        <v>12</v>
      </c>
      <c r="E49" s="55">
        <v>32368</v>
      </c>
      <c r="F49" s="54">
        <f t="shared" ca="1" si="3"/>
        <v>28</v>
      </c>
      <c r="G49" s="53"/>
      <c r="H49" s="52">
        <v>64460</v>
      </c>
      <c r="I49" s="51">
        <v>1</v>
      </c>
    </row>
    <row r="50" spans="1:9" x14ac:dyDescent="0.25">
      <c r="A50" s="56" t="s">
        <v>26</v>
      </c>
      <c r="B50" s="58" t="s">
        <v>13</v>
      </c>
      <c r="C50" s="56" t="s">
        <v>26</v>
      </c>
      <c r="D50" s="56" t="s">
        <v>5</v>
      </c>
      <c r="E50" s="55">
        <v>32436</v>
      </c>
      <c r="F50" s="54">
        <f t="shared" ca="1" si="3"/>
        <v>28</v>
      </c>
      <c r="G50" s="53" t="s">
        <v>34</v>
      </c>
      <c r="H50" s="52">
        <v>31830</v>
      </c>
      <c r="I50" s="51">
        <v>3</v>
      </c>
    </row>
    <row r="51" spans="1:9" x14ac:dyDescent="0.25">
      <c r="A51" s="56" t="s">
        <v>26</v>
      </c>
      <c r="B51" s="58" t="s">
        <v>39</v>
      </c>
      <c r="C51" s="56" t="s">
        <v>26</v>
      </c>
      <c r="D51" s="56" t="s">
        <v>5</v>
      </c>
      <c r="E51" s="55">
        <v>32476</v>
      </c>
      <c r="F51" s="54">
        <f t="shared" ca="1" si="3"/>
        <v>27</v>
      </c>
      <c r="G51" s="53" t="s">
        <v>32</v>
      </c>
      <c r="H51" s="52">
        <v>71150</v>
      </c>
      <c r="I51" s="51">
        <v>2</v>
      </c>
    </row>
    <row r="52" spans="1:9" x14ac:dyDescent="0.25">
      <c r="A52" s="56" t="s">
        <v>26</v>
      </c>
      <c r="B52" s="58" t="s">
        <v>13</v>
      </c>
      <c r="C52" s="56" t="s">
        <v>26</v>
      </c>
      <c r="D52" s="56" t="s">
        <v>5</v>
      </c>
      <c r="E52" s="55">
        <v>32585</v>
      </c>
      <c r="F52" s="54">
        <f t="shared" ca="1" si="3"/>
        <v>27</v>
      </c>
      <c r="G52" s="53" t="s">
        <v>4</v>
      </c>
      <c r="H52" s="52">
        <v>71670</v>
      </c>
      <c r="I52" s="51">
        <v>4</v>
      </c>
    </row>
    <row r="53" spans="1:9" x14ac:dyDescent="0.25">
      <c r="A53" s="56" t="s">
        <v>26</v>
      </c>
      <c r="B53" s="58" t="s">
        <v>39</v>
      </c>
      <c r="C53" s="56" t="s">
        <v>26</v>
      </c>
      <c r="D53" s="56" t="s">
        <v>12</v>
      </c>
      <c r="E53" s="55">
        <v>32671</v>
      </c>
      <c r="F53" s="54">
        <f t="shared" ca="1" si="3"/>
        <v>27</v>
      </c>
      <c r="G53" s="53"/>
      <c r="H53" s="52">
        <v>83020</v>
      </c>
      <c r="I53" s="51">
        <v>4</v>
      </c>
    </row>
    <row r="54" spans="1:9" x14ac:dyDescent="0.25">
      <c r="A54" s="56" t="s">
        <v>26</v>
      </c>
      <c r="B54" s="58" t="s">
        <v>17</v>
      </c>
      <c r="C54" s="56" t="s">
        <v>26</v>
      </c>
      <c r="D54" s="56" t="s">
        <v>15</v>
      </c>
      <c r="E54" s="55">
        <v>32856</v>
      </c>
      <c r="F54" s="54">
        <f t="shared" ca="1" si="3"/>
        <v>26</v>
      </c>
      <c r="G54" s="53" t="s">
        <v>32</v>
      </c>
      <c r="H54" s="52">
        <v>26890</v>
      </c>
      <c r="I54" s="51">
        <v>3</v>
      </c>
    </row>
    <row r="55" spans="1:9" x14ac:dyDescent="0.25">
      <c r="A55" s="56" t="s">
        <v>26</v>
      </c>
      <c r="B55" s="58" t="s">
        <v>13</v>
      </c>
      <c r="C55" s="56" t="s">
        <v>26</v>
      </c>
      <c r="D55" s="56" t="s">
        <v>5</v>
      </c>
      <c r="E55" s="55">
        <v>33164</v>
      </c>
      <c r="F55" s="54">
        <f t="shared" ca="1" si="3"/>
        <v>26</v>
      </c>
      <c r="G55" s="53" t="s">
        <v>34</v>
      </c>
      <c r="H55" s="52">
        <v>74670</v>
      </c>
      <c r="I55" s="51">
        <v>5</v>
      </c>
    </row>
    <row r="56" spans="1:9" x14ac:dyDescent="0.25">
      <c r="A56" s="56" t="s">
        <v>26</v>
      </c>
      <c r="B56" s="58" t="s">
        <v>13</v>
      </c>
      <c r="C56" s="56" t="s">
        <v>26</v>
      </c>
      <c r="D56" s="56" t="s">
        <v>15</v>
      </c>
      <c r="E56" s="55">
        <v>33238</v>
      </c>
      <c r="F56" s="54">
        <f t="shared" ca="1" si="3"/>
        <v>25</v>
      </c>
      <c r="G56" s="53" t="s">
        <v>8</v>
      </c>
      <c r="H56" s="52">
        <v>38920</v>
      </c>
      <c r="I56" s="51">
        <v>4</v>
      </c>
    </row>
    <row r="57" spans="1:9" x14ac:dyDescent="0.25">
      <c r="A57" s="56" t="s">
        <v>26</v>
      </c>
      <c r="B57" s="58" t="s">
        <v>13</v>
      </c>
      <c r="C57" s="56" t="s">
        <v>26</v>
      </c>
      <c r="D57" s="56" t="s">
        <v>12</v>
      </c>
      <c r="E57" s="55">
        <v>33341</v>
      </c>
      <c r="F57" s="54">
        <f t="shared" ca="1" si="3"/>
        <v>25</v>
      </c>
      <c r="G57" s="53"/>
      <c r="H57" s="52">
        <v>46670</v>
      </c>
      <c r="I57" s="51">
        <v>3</v>
      </c>
    </row>
    <row r="58" spans="1:9" x14ac:dyDescent="0.25">
      <c r="A58" s="56" t="s">
        <v>26</v>
      </c>
      <c r="B58" s="58" t="s">
        <v>17</v>
      </c>
      <c r="C58" s="56" t="s">
        <v>26</v>
      </c>
      <c r="D58" s="56" t="s">
        <v>5</v>
      </c>
      <c r="E58" s="55">
        <v>33522</v>
      </c>
      <c r="F58" s="54">
        <f t="shared" ca="1" si="3"/>
        <v>25</v>
      </c>
      <c r="G58" s="53" t="s">
        <v>32</v>
      </c>
      <c r="H58" s="52">
        <v>31910</v>
      </c>
      <c r="I58" s="51">
        <v>5</v>
      </c>
    </row>
    <row r="59" spans="1:9" x14ac:dyDescent="0.25">
      <c r="A59" s="56" t="s">
        <v>26</v>
      </c>
      <c r="B59" s="58" t="s">
        <v>2</v>
      </c>
      <c r="C59" s="56" t="s">
        <v>26</v>
      </c>
      <c r="D59" s="56" t="s">
        <v>5</v>
      </c>
      <c r="E59" s="55">
        <v>33686</v>
      </c>
      <c r="F59" s="54">
        <f t="shared" ca="1" si="3"/>
        <v>24</v>
      </c>
      <c r="G59" s="53" t="s">
        <v>32</v>
      </c>
      <c r="H59" s="52">
        <v>67890</v>
      </c>
      <c r="I59" s="51">
        <v>5</v>
      </c>
    </row>
    <row r="60" spans="1:9" x14ac:dyDescent="0.25">
      <c r="A60" s="56" t="s">
        <v>26</v>
      </c>
      <c r="B60" s="58" t="s">
        <v>17</v>
      </c>
      <c r="C60" s="56" t="s">
        <v>26</v>
      </c>
      <c r="D60" s="56" t="s">
        <v>5</v>
      </c>
      <c r="E60" s="55">
        <v>33776</v>
      </c>
      <c r="F60" s="54">
        <f t="shared" ca="1" si="3"/>
        <v>24</v>
      </c>
      <c r="G60" s="53" t="s">
        <v>19</v>
      </c>
      <c r="H60" s="52">
        <v>77350</v>
      </c>
      <c r="I60" s="51">
        <v>5</v>
      </c>
    </row>
    <row r="61" spans="1:9" x14ac:dyDescent="0.25">
      <c r="A61" s="56" t="s">
        <v>26</v>
      </c>
      <c r="B61" s="58" t="s">
        <v>10</v>
      </c>
      <c r="C61" s="56" t="s">
        <v>26</v>
      </c>
      <c r="D61" s="56" t="s">
        <v>12</v>
      </c>
      <c r="E61" s="55">
        <v>33809</v>
      </c>
      <c r="F61" s="54">
        <f t="shared" ca="1" si="3"/>
        <v>24</v>
      </c>
      <c r="G61" s="53"/>
      <c r="H61" s="52">
        <v>64390</v>
      </c>
      <c r="I61" s="51">
        <v>2</v>
      </c>
    </row>
    <row r="62" spans="1:9" x14ac:dyDescent="0.25">
      <c r="A62" s="56" t="s">
        <v>26</v>
      </c>
      <c r="B62" s="58" t="s">
        <v>39</v>
      </c>
      <c r="C62" s="56" t="s">
        <v>26</v>
      </c>
      <c r="D62" s="56" t="s">
        <v>12</v>
      </c>
      <c r="E62" s="55">
        <v>33850</v>
      </c>
      <c r="F62" s="54">
        <f t="shared" ca="1" si="3"/>
        <v>24</v>
      </c>
      <c r="G62" s="53"/>
      <c r="H62" s="52">
        <v>50550</v>
      </c>
      <c r="I62" s="51">
        <v>2</v>
      </c>
    </row>
    <row r="63" spans="1:9" x14ac:dyDescent="0.25">
      <c r="A63" s="56" t="s">
        <v>26</v>
      </c>
      <c r="B63" s="58" t="s">
        <v>56</v>
      </c>
      <c r="C63" s="56" t="s">
        <v>26</v>
      </c>
      <c r="D63" s="56" t="s">
        <v>5</v>
      </c>
      <c r="E63" s="55">
        <v>33887</v>
      </c>
      <c r="F63" s="54">
        <f t="shared" ca="1" si="3"/>
        <v>24</v>
      </c>
      <c r="G63" s="53" t="s">
        <v>8</v>
      </c>
      <c r="H63" s="52">
        <v>82120</v>
      </c>
      <c r="I63" s="51">
        <v>5</v>
      </c>
    </row>
    <row r="64" spans="1:9" x14ac:dyDescent="0.25">
      <c r="A64" s="56" t="s">
        <v>26</v>
      </c>
      <c r="B64" s="58" t="s">
        <v>13</v>
      </c>
      <c r="C64" s="56" t="s">
        <v>26</v>
      </c>
      <c r="D64" s="56" t="s">
        <v>5</v>
      </c>
      <c r="E64" s="55">
        <v>33897</v>
      </c>
      <c r="F64" s="54">
        <f t="shared" ca="1" si="3"/>
        <v>24</v>
      </c>
      <c r="G64" s="53" t="s">
        <v>19</v>
      </c>
      <c r="H64" s="52">
        <v>77580</v>
      </c>
      <c r="I64" s="51">
        <v>3</v>
      </c>
    </row>
    <row r="65" spans="1:9" x14ac:dyDescent="0.25">
      <c r="A65" s="56" t="s">
        <v>26</v>
      </c>
      <c r="B65" s="58" t="s">
        <v>13</v>
      </c>
      <c r="C65" s="56" t="s">
        <v>26</v>
      </c>
      <c r="D65" s="56" t="s">
        <v>12</v>
      </c>
      <c r="E65" s="55">
        <v>33945</v>
      </c>
      <c r="F65" s="54">
        <f t="shared" ca="1" si="3"/>
        <v>23</v>
      </c>
      <c r="G65" s="53"/>
      <c r="H65" s="52">
        <v>89310</v>
      </c>
      <c r="I65" s="51">
        <v>5</v>
      </c>
    </row>
    <row r="66" spans="1:9" x14ac:dyDescent="0.25">
      <c r="A66" s="56" t="s">
        <v>26</v>
      </c>
      <c r="B66" s="58" t="s">
        <v>17</v>
      </c>
      <c r="C66" s="56" t="s">
        <v>26</v>
      </c>
      <c r="D66" s="56" t="s">
        <v>12</v>
      </c>
      <c r="E66" s="55">
        <v>34195</v>
      </c>
      <c r="F66" s="54">
        <f t="shared" ca="1" si="3"/>
        <v>23</v>
      </c>
      <c r="G66" s="53"/>
      <c r="H66" s="52">
        <v>74740</v>
      </c>
      <c r="I66" s="51">
        <v>5</v>
      </c>
    </row>
    <row r="67" spans="1:9" x14ac:dyDescent="0.25">
      <c r="A67" s="56" t="s">
        <v>26</v>
      </c>
      <c r="B67" s="58" t="s">
        <v>39</v>
      </c>
      <c r="C67" s="56" t="s">
        <v>26</v>
      </c>
      <c r="D67" s="56" t="s">
        <v>15</v>
      </c>
      <c r="E67" s="55">
        <v>34207</v>
      </c>
      <c r="F67" s="54">
        <f t="shared" ca="1" si="3"/>
        <v>23</v>
      </c>
      <c r="G67" s="53" t="s">
        <v>19</v>
      </c>
      <c r="H67" s="52">
        <v>48415</v>
      </c>
      <c r="I67" s="51">
        <v>4</v>
      </c>
    </row>
    <row r="68" spans="1:9" x14ac:dyDescent="0.25">
      <c r="A68" s="56" t="s">
        <v>26</v>
      </c>
      <c r="B68" s="58" t="s">
        <v>13</v>
      </c>
      <c r="C68" s="56" t="s">
        <v>26</v>
      </c>
      <c r="D68" s="56" t="s">
        <v>12</v>
      </c>
      <c r="E68" s="55">
        <v>34259</v>
      </c>
      <c r="F68" s="54">
        <f t="shared" ca="1" si="3"/>
        <v>23</v>
      </c>
      <c r="G68" s="53"/>
      <c r="H68" s="52">
        <v>84200</v>
      </c>
      <c r="I68" s="51">
        <v>2</v>
      </c>
    </row>
    <row r="69" spans="1:9" x14ac:dyDescent="0.25">
      <c r="A69" s="56" t="s">
        <v>26</v>
      </c>
      <c r="B69" s="58" t="s">
        <v>39</v>
      </c>
      <c r="C69" s="56" t="s">
        <v>26</v>
      </c>
      <c r="D69" s="56" t="s">
        <v>5</v>
      </c>
      <c r="E69" s="55">
        <v>34357</v>
      </c>
      <c r="F69" s="54">
        <f t="shared" ca="1" si="3"/>
        <v>22</v>
      </c>
      <c r="G69" s="53" t="s">
        <v>32</v>
      </c>
      <c r="H69" s="52">
        <v>40920</v>
      </c>
      <c r="I69" s="51">
        <v>4</v>
      </c>
    </row>
    <row r="70" spans="1:9" x14ac:dyDescent="0.25">
      <c r="A70" s="56" t="s">
        <v>26</v>
      </c>
      <c r="B70" s="58" t="s">
        <v>13</v>
      </c>
      <c r="C70" s="56" t="s">
        <v>26</v>
      </c>
      <c r="D70" s="56" t="s">
        <v>5</v>
      </c>
      <c r="E70" s="55">
        <v>34519</v>
      </c>
      <c r="F70" s="54">
        <f t="shared" ca="1" si="3"/>
        <v>22</v>
      </c>
      <c r="G70" s="53" t="s">
        <v>32</v>
      </c>
      <c r="H70" s="52">
        <v>61030</v>
      </c>
      <c r="I70" s="51">
        <v>3</v>
      </c>
    </row>
    <row r="71" spans="1:9" x14ac:dyDescent="0.25">
      <c r="A71" s="56" t="s">
        <v>26</v>
      </c>
      <c r="B71" s="58" t="s">
        <v>17</v>
      </c>
      <c r="C71" s="56" t="s">
        <v>26</v>
      </c>
      <c r="D71" s="56" t="s">
        <v>15</v>
      </c>
      <c r="E71" s="55">
        <v>34532</v>
      </c>
      <c r="F71" s="54">
        <f t="shared" ca="1" si="3"/>
        <v>22</v>
      </c>
      <c r="G71" s="53" t="s">
        <v>8</v>
      </c>
      <c r="H71" s="52">
        <v>23380</v>
      </c>
      <c r="I71" s="51">
        <v>4</v>
      </c>
    </row>
    <row r="72" spans="1:9" x14ac:dyDescent="0.25">
      <c r="A72" s="56" t="s">
        <v>26</v>
      </c>
      <c r="B72" s="58" t="s">
        <v>17</v>
      </c>
      <c r="C72" s="56" t="s">
        <v>26</v>
      </c>
      <c r="D72" s="56" t="s">
        <v>12</v>
      </c>
      <c r="E72" s="55">
        <v>34538</v>
      </c>
      <c r="F72" s="54">
        <f t="shared" ca="1" si="3"/>
        <v>22</v>
      </c>
      <c r="G72" s="53"/>
      <c r="H72" s="52">
        <v>85480</v>
      </c>
      <c r="I72" s="51">
        <v>5</v>
      </c>
    </row>
    <row r="73" spans="1:9" x14ac:dyDescent="0.25">
      <c r="A73" s="56" t="s">
        <v>26</v>
      </c>
      <c r="B73" s="58" t="s">
        <v>17</v>
      </c>
      <c r="C73" s="56" t="s">
        <v>26</v>
      </c>
      <c r="D73" s="56" t="s">
        <v>12</v>
      </c>
      <c r="E73" s="55">
        <v>34538</v>
      </c>
      <c r="F73" s="54">
        <f t="shared" ca="1" si="3"/>
        <v>22</v>
      </c>
      <c r="G73" s="53"/>
      <c r="H73" s="52">
        <v>85480</v>
      </c>
      <c r="I73" s="51">
        <v>5</v>
      </c>
    </row>
    <row r="74" spans="1:9" x14ac:dyDescent="0.25">
      <c r="A74" s="56" t="s">
        <v>26</v>
      </c>
      <c r="B74" s="58" t="s">
        <v>17</v>
      </c>
      <c r="C74" s="56" t="s">
        <v>26</v>
      </c>
      <c r="D74" s="56" t="s">
        <v>12</v>
      </c>
      <c r="E74" s="55">
        <v>34592</v>
      </c>
      <c r="F74" s="54">
        <f t="shared" ca="1" si="3"/>
        <v>22</v>
      </c>
      <c r="G74" s="53"/>
      <c r="H74" s="52">
        <v>63340</v>
      </c>
      <c r="I74" s="51">
        <v>3</v>
      </c>
    </row>
    <row r="75" spans="1:9" x14ac:dyDescent="0.25">
      <c r="A75" s="56" t="s">
        <v>26</v>
      </c>
      <c r="B75" s="58" t="s">
        <v>2</v>
      </c>
      <c r="C75" s="56" t="s">
        <v>26</v>
      </c>
      <c r="D75" s="56" t="s">
        <v>12</v>
      </c>
      <c r="E75" s="55">
        <v>34630</v>
      </c>
      <c r="F75" s="54">
        <f t="shared" ref="F75:F102" ca="1" si="4">DATEDIF(E75,TODAY(),"Y")</f>
        <v>22</v>
      </c>
      <c r="G75" s="53"/>
      <c r="H75" s="52">
        <v>88000</v>
      </c>
      <c r="I75" s="51">
        <v>5</v>
      </c>
    </row>
    <row r="76" spans="1:9" x14ac:dyDescent="0.25">
      <c r="A76" s="56" t="s">
        <v>26</v>
      </c>
      <c r="B76" s="58" t="s">
        <v>39</v>
      </c>
      <c r="C76" s="56" t="s">
        <v>26</v>
      </c>
      <c r="D76" s="56" t="s">
        <v>5</v>
      </c>
      <c r="E76" s="55">
        <v>34655</v>
      </c>
      <c r="F76" s="54">
        <f t="shared" ca="1" si="4"/>
        <v>21</v>
      </c>
      <c r="G76" s="53" t="s">
        <v>19</v>
      </c>
      <c r="H76" s="52">
        <v>34780</v>
      </c>
      <c r="I76" s="51">
        <v>4</v>
      </c>
    </row>
    <row r="77" spans="1:9" x14ac:dyDescent="0.25">
      <c r="A77" s="56" t="s">
        <v>26</v>
      </c>
      <c r="B77" s="58" t="s">
        <v>10</v>
      </c>
      <c r="C77" s="56" t="s">
        <v>26</v>
      </c>
      <c r="D77" s="56" t="s">
        <v>12</v>
      </c>
      <c r="E77" s="55">
        <v>34728</v>
      </c>
      <c r="F77" s="54">
        <f t="shared" ca="1" si="4"/>
        <v>21</v>
      </c>
      <c r="G77" s="53"/>
      <c r="H77" s="52">
        <v>30340</v>
      </c>
      <c r="I77" s="51">
        <v>3</v>
      </c>
    </row>
    <row r="78" spans="1:9" x14ac:dyDescent="0.25">
      <c r="A78" s="56" t="s">
        <v>26</v>
      </c>
      <c r="B78" s="58" t="s">
        <v>39</v>
      </c>
      <c r="C78" s="56" t="s">
        <v>26</v>
      </c>
      <c r="D78" s="56" t="s">
        <v>0</v>
      </c>
      <c r="E78" s="55">
        <v>34749</v>
      </c>
      <c r="F78" s="54">
        <f t="shared" ca="1" si="4"/>
        <v>21</v>
      </c>
      <c r="G78" s="53"/>
      <c r="H78" s="52">
        <v>18500</v>
      </c>
      <c r="I78" s="51">
        <v>5</v>
      </c>
    </row>
    <row r="79" spans="1:9" x14ac:dyDescent="0.25">
      <c r="A79" s="56" t="s">
        <v>26</v>
      </c>
      <c r="B79" s="58" t="s">
        <v>39</v>
      </c>
      <c r="C79" s="56" t="s">
        <v>26</v>
      </c>
      <c r="D79" s="56" t="s">
        <v>12</v>
      </c>
      <c r="E79" s="55">
        <v>34777</v>
      </c>
      <c r="F79" s="54">
        <f t="shared" ca="1" si="4"/>
        <v>21</v>
      </c>
      <c r="G79" s="53"/>
      <c r="H79" s="52">
        <v>76930</v>
      </c>
      <c r="I79" s="51">
        <v>1</v>
      </c>
    </row>
    <row r="80" spans="1:9" x14ac:dyDescent="0.25">
      <c r="A80" s="56" t="s">
        <v>26</v>
      </c>
      <c r="B80" s="58" t="s">
        <v>39</v>
      </c>
      <c r="C80" s="56" t="s">
        <v>26</v>
      </c>
      <c r="D80" s="56" t="s">
        <v>12</v>
      </c>
      <c r="E80" s="55">
        <v>35160</v>
      </c>
      <c r="F80" s="54">
        <f t="shared" ca="1" si="4"/>
        <v>20</v>
      </c>
      <c r="G80" s="53"/>
      <c r="H80" s="52">
        <v>23560</v>
      </c>
      <c r="I80" s="51">
        <v>3</v>
      </c>
    </row>
    <row r="81" spans="1:9" x14ac:dyDescent="0.25">
      <c r="A81" s="56" t="s">
        <v>26</v>
      </c>
      <c r="B81" s="58" t="s">
        <v>39</v>
      </c>
      <c r="C81" s="56" t="s">
        <v>26</v>
      </c>
      <c r="D81" s="56" t="s">
        <v>0</v>
      </c>
      <c r="E81" s="55">
        <v>35177</v>
      </c>
      <c r="F81" s="54">
        <f t="shared" ca="1" si="4"/>
        <v>20</v>
      </c>
      <c r="G81" s="53"/>
      <c r="H81" s="52">
        <v>33056</v>
      </c>
      <c r="I81" s="51">
        <v>5</v>
      </c>
    </row>
    <row r="82" spans="1:9" x14ac:dyDescent="0.25">
      <c r="A82" s="56" t="s">
        <v>26</v>
      </c>
      <c r="B82" s="58" t="s">
        <v>13</v>
      </c>
      <c r="C82" s="56" t="s">
        <v>26</v>
      </c>
      <c r="D82" s="56" t="s">
        <v>5</v>
      </c>
      <c r="E82" s="55">
        <v>35196</v>
      </c>
      <c r="F82" s="54">
        <f t="shared" ca="1" si="4"/>
        <v>20</v>
      </c>
      <c r="G82" s="53" t="s">
        <v>4</v>
      </c>
      <c r="H82" s="52">
        <v>32100</v>
      </c>
      <c r="I82" s="51">
        <v>1</v>
      </c>
    </row>
    <row r="83" spans="1:9" x14ac:dyDescent="0.25">
      <c r="A83" s="56" t="s">
        <v>26</v>
      </c>
      <c r="B83" s="58" t="s">
        <v>13</v>
      </c>
      <c r="C83" s="56" t="s">
        <v>26</v>
      </c>
      <c r="D83" s="56" t="s">
        <v>0</v>
      </c>
      <c r="E83" s="55">
        <v>35292</v>
      </c>
      <c r="F83" s="54">
        <f t="shared" ca="1" si="4"/>
        <v>20</v>
      </c>
      <c r="G83" s="53"/>
      <c r="H83" s="52">
        <v>30080</v>
      </c>
      <c r="I83" s="51">
        <v>3</v>
      </c>
    </row>
    <row r="84" spans="1:9" x14ac:dyDescent="0.25">
      <c r="A84" s="56" t="s">
        <v>26</v>
      </c>
      <c r="B84" s="58" t="s">
        <v>2</v>
      </c>
      <c r="C84" s="56" t="s">
        <v>26</v>
      </c>
      <c r="D84" s="56" t="s">
        <v>15</v>
      </c>
      <c r="E84" s="55">
        <v>35586</v>
      </c>
      <c r="F84" s="54">
        <f t="shared" ca="1" si="4"/>
        <v>19</v>
      </c>
      <c r="G84" s="53" t="s">
        <v>32</v>
      </c>
      <c r="H84" s="52">
        <v>35280</v>
      </c>
      <c r="I84" s="51">
        <v>3</v>
      </c>
    </row>
    <row r="85" spans="1:9" x14ac:dyDescent="0.25">
      <c r="A85" s="56" t="s">
        <v>26</v>
      </c>
      <c r="B85" s="58" t="s">
        <v>13</v>
      </c>
      <c r="C85" s="56" t="s">
        <v>26</v>
      </c>
      <c r="D85" s="56" t="s">
        <v>5</v>
      </c>
      <c r="E85" s="55">
        <v>35698</v>
      </c>
      <c r="F85" s="54">
        <f t="shared" ca="1" si="4"/>
        <v>19</v>
      </c>
      <c r="G85" s="53" t="s">
        <v>32</v>
      </c>
      <c r="H85" s="52">
        <v>27180</v>
      </c>
      <c r="I85" s="51">
        <v>4</v>
      </c>
    </row>
    <row r="86" spans="1:9" x14ac:dyDescent="0.25">
      <c r="A86" s="56" t="s">
        <v>26</v>
      </c>
      <c r="B86" s="58" t="s">
        <v>13</v>
      </c>
      <c r="C86" s="56" t="s">
        <v>26</v>
      </c>
      <c r="D86" s="56" t="s">
        <v>5</v>
      </c>
      <c r="E86" s="55">
        <v>35708</v>
      </c>
      <c r="F86" s="54">
        <f t="shared" ca="1" si="4"/>
        <v>19</v>
      </c>
      <c r="G86" s="53" t="s">
        <v>4</v>
      </c>
      <c r="H86" s="52">
        <v>28650</v>
      </c>
      <c r="I86" s="51">
        <v>4</v>
      </c>
    </row>
    <row r="87" spans="1:9" x14ac:dyDescent="0.25">
      <c r="A87" s="56" t="s">
        <v>26</v>
      </c>
      <c r="B87" s="58" t="s">
        <v>17</v>
      </c>
      <c r="C87" s="56" t="s">
        <v>26</v>
      </c>
      <c r="D87" s="56" t="s">
        <v>5</v>
      </c>
      <c r="E87" s="55">
        <v>35866</v>
      </c>
      <c r="F87" s="54">
        <f t="shared" ca="1" si="4"/>
        <v>18</v>
      </c>
      <c r="G87" s="53" t="s">
        <v>19</v>
      </c>
      <c r="H87" s="52">
        <v>62790</v>
      </c>
      <c r="I87" s="51">
        <v>2</v>
      </c>
    </row>
    <row r="88" spans="1:9" x14ac:dyDescent="0.25">
      <c r="A88" s="56" t="s">
        <v>26</v>
      </c>
      <c r="B88" s="58" t="s">
        <v>17</v>
      </c>
      <c r="C88" s="56" t="s">
        <v>26</v>
      </c>
      <c r="D88" s="56" t="s">
        <v>5</v>
      </c>
      <c r="E88" s="55">
        <v>35931</v>
      </c>
      <c r="F88" s="54">
        <f t="shared" ca="1" si="4"/>
        <v>18</v>
      </c>
      <c r="G88" s="53" t="s">
        <v>32</v>
      </c>
      <c r="H88" s="52">
        <v>71950</v>
      </c>
      <c r="I88" s="51">
        <v>5</v>
      </c>
    </row>
    <row r="89" spans="1:9" x14ac:dyDescent="0.25">
      <c r="A89" s="56" t="s">
        <v>26</v>
      </c>
      <c r="B89" s="58" t="s">
        <v>13</v>
      </c>
      <c r="C89" s="56" t="s">
        <v>26</v>
      </c>
      <c r="D89" s="56" t="s">
        <v>5</v>
      </c>
      <c r="E89" s="55">
        <v>36038</v>
      </c>
      <c r="F89" s="54">
        <f t="shared" ca="1" si="4"/>
        <v>18</v>
      </c>
      <c r="G89" s="53" t="s">
        <v>34</v>
      </c>
      <c r="H89" s="52">
        <v>85880</v>
      </c>
      <c r="I89" s="51">
        <v>3</v>
      </c>
    </row>
    <row r="90" spans="1:9" x14ac:dyDescent="0.25">
      <c r="A90" s="56" t="s">
        <v>26</v>
      </c>
      <c r="B90" s="58" t="s">
        <v>13</v>
      </c>
      <c r="C90" s="56" t="s">
        <v>26</v>
      </c>
      <c r="D90" s="56" t="s">
        <v>5</v>
      </c>
      <c r="E90" s="55">
        <v>36475</v>
      </c>
      <c r="F90" s="54">
        <f t="shared" ca="1" si="4"/>
        <v>16</v>
      </c>
      <c r="G90" s="53" t="s">
        <v>4</v>
      </c>
      <c r="H90" s="52">
        <v>87280</v>
      </c>
      <c r="I90" s="51">
        <v>4</v>
      </c>
    </row>
    <row r="91" spans="1:9" x14ac:dyDescent="0.25">
      <c r="A91" s="56" t="s">
        <v>26</v>
      </c>
      <c r="B91" s="58" t="s">
        <v>39</v>
      </c>
      <c r="C91" s="56" t="s">
        <v>26</v>
      </c>
      <c r="D91" s="56" t="s">
        <v>5</v>
      </c>
      <c r="E91" s="55">
        <v>36650</v>
      </c>
      <c r="F91" s="54">
        <f t="shared" ca="1" si="4"/>
        <v>16</v>
      </c>
      <c r="G91" s="53" t="s">
        <v>32</v>
      </c>
      <c r="H91" s="52">
        <v>66890</v>
      </c>
      <c r="I91" s="51">
        <v>5</v>
      </c>
    </row>
    <row r="92" spans="1:9" x14ac:dyDescent="0.25">
      <c r="A92" s="56" t="s">
        <v>26</v>
      </c>
      <c r="B92" s="58" t="s">
        <v>39</v>
      </c>
      <c r="C92" s="56" t="s">
        <v>26</v>
      </c>
      <c r="D92" s="56" t="s">
        <v>12</v>
      </c>
      <c r="E92" s="55">
        <v>37660</v>
      </c>
      <c r="F92" s="54">
        <f t="shared" ca="1" si="4"/>
        <v>13</v>
      </c>
      <c r="G92" s="53"/>
      <c r="H92" s="52">
        <v>83070</v>
      </c>
      <c r="I92" s="51">
        <v>3</v>
      </c>
    </row>
    <row r="93" spans="1:9" x14ac:dyDescent="0.25">
      <c r="A93" s="56" t="s">
        <v>26</v>
      </c>
      <c r="B93" s="58" t="s">
        <v>39</v>
      </c>
      <c r="C93" s="56" t="s">
        <v>26</v>
      </c>
      <c r="D93" s="56" t="s">
        <v>12</v>
      </c>
      <c r="E93" s="55">
        <v>37730</v>
      </c>
      <c r="F93" s="54">
        <f t="shared" ca="1" si="4"/>
        <v>13</v>
      </c>
      <c r="G93" s="53"/>
      <c r="H93" s="52">
        <v>62150</v>
      </c>
      <c r="I93" s="51">
        <v>4</v>
      </c>
    </row>
    <row r="94" spans="1:9" x14ac:dyDescent="0.25">
      <c r="A94" s="56" t="s">
        <v>26</v>
      </c>
      <c r="B94" s="58" t="s">
        <v>2</v>
      </c>
      <c r="C94" s="56" t="s">
        <v>26</v>
      </c>
      <c r="D94" s="56" t="s">
        <v>15</v>
      </c>
      <c r="E94" s="55">
        <v>38492</v>
      </c>
      <c r="F94" s="54">
        <f t="shared" ca="1" si="4"/>
        <v>11</v>
      </c>
      <c r="G94" s="53" t="s">
        <v>8</v>
      </c>
      <c r="H94" s="52">
        <v>22535</v>
      </c>
      <c r="I94" s="51">
        <v>3</v>
      </c>
    </row>
    <row r="95" spans="1:9" x14ac:dyDescent="0.25">
      <c r="A95" s="56" t="s">
        <v>26</v>
      </c>
      <c r="B95" s="58" t="s">
        <v>10</v>
      </c>
      <c r="C95" s="56" t="s">
        <v>26</v>
      </c>
      <c r="D95" s="56" t="s">
        <v>12</v>
      </c>
      <c r="E95" s="55">
        <v>38612</v>
      </c>
      <c r="F95" s="54">
        <f t="shared" ca="1" si="4"/>
        <v>11</v>
      </c>
      <c r="G95" s="53"/>
      <c r="H95" s="52">
        <v>25790</v>
      </c>
      <c r="I95" s="51">
        <v>3</v>
      </c>
    </row>
    <row r="96" spans="1:9" x14ac:dyDescent="0.25">
      <c r="A96" s="56" t="s">
        <v>26</v>
      </c>
      <c r="B96" s="58" t="s">
        <v>13</v>
      </c>
      <c r="C96" s="56" t="s">
        <v>26</v>
      </c>
      <c r="D96" s="56" t="s">
        <v>12</v>
      </c>
      <c r="E96" s="55">
        <v>38649</v>
      </c>
      <c r="F96" s="54">
        <f t="shared" ca="1" si="4"/>
        <v>11</v>
      </c>
      <c r="G96" s="53"/>
      <c r="H96" s="52">
        <v>79460</v>
      </c>
      <c r="I96" s="51">
        <v>5</v>
      </c>
    </row>
    <row r="97" spans="1:9" x14ac:dyDescent="0.25">
      <c r="A97" s="56" t="s">
        <v>26</v>
      </c>
      <c r="B97" s="58" t="s">
        <v>17</v>
      </c>
      <c r="C97" s="56" t="s">
        <v>26</v>
      </c>
      <c r="D97" s="56" t="s">
        <v>5</v>
      </c>
      <c r="E97" s="55">
        <v>38775</v>
      </c>
      <c r="F97" s="54">
        <f t="shared" ca="1" si="4"/>
        <v>10</v>
      </c>
      <c r="G97" s="53" t="s">
        <v>32</v>
      </c>
      <c r="H97" s="52">
        <v>41490</v>
      </c>
      <c r="I97" s="51">
        <v>5</v>
      </c>
    </row>
    <row r="98" spans="1:9" x14ac:dyDescent="0.25">
      <c r="A98" s="56" t="s">
        <v>26</v>
      </c>
      <c r="B98" s="58" t="s">
        <v>17</v>
      </c>
      <c r="C98" s="56" t="s">
        <v>26</v>
      </c>
      <c r="D98" s="56" t="s">
        <v>5</v>
      </c>
      <c r="E98" s="55">
        <v>38964</v>
      </c>
      <c r="F98" s="54">
        <f t="shared" ca="1" si="4"/>
        <v>10</v>
      </c>
      <c r="G98" s="53" t="s">
        <v>34</v>
      </c>
      <c r="H98" s="52">
        <v>38730</v>
      </c>
      <c r="I98" s="51">
        <v>1</v>
      </c>
    </row>
    <row r="99" spans="1:9" x14ac:dyDescent="0.25">
      <c r="A99" s="56" t="s">
        <v>26</v>
      </c>
      <c r="B99" s="58" t="s">
        <v>39</v>
      </c>
      <c r="C99" s="56" t="s">
        <v>26</v>
      </c>
      <c r="D99" s="56" t="s">
        <v>5</v>
      </c>
      <c r="E99" s="59">
        <v>38982</v>
      </c>
      <c r="F99" s="54">
        <f t="shared" ca="1" si="4"/>
        <v>10</v>
      </c>
      <c r="G99" s="53" t="s">
        <v>32</v>
      </c>
      <c r="H99" s="52">
        <v>23280</v>
      </c>
      <c r="I99" s="51">
        <v>1</v>
      </c>
    </row>
    <row r="100" spans="1:9" x14ac:dyDescent="0.25">
      <c r="A100" s="56" t="s">
        <v>26</v>
      </c>
      <c r="B100" s="58" t="s">
        <v>17</v>
      </c>
      <c r="C100" s="56" t="s">
        <v>26</v>
      </c>
      <c r="D100" s="56" t="s">
        <v>5</v>
      </c>
      <c r="E100" s="55">
        <v>39191</v>
      </c>
      <c r="F100" s="54">
        <f t="shared" ca="1" si="4"/>
        <v>9</v>
      </c>
      <c r="G100" s="53" t="s">
        <v>19</v>
      </c>
      <c r="H100" s="52">
        <v>77820</v>
      </c>
      <c r="I100" s="51">
        <v>3</v>
      </c>
    </row>
    <row r="101" spans="1:9" x14ac:dyDescent="0.25">
      <c r="A101" s="56" t="s">
        <v>26</v>
      </c>
      <c r="B101" s="58" t="s">
        <v>56</v>
      </c>
      <c r="C101" s="56" t="s">
        <v>26</v>
      </c>
      <c r="D101" s="56" t="s">
        <v>5</v>
      </c>
      <c r="E101" s="55">
        <v>39265</v>
      </c>
      <c r="F101" s="54">
        <f t="shared" ca="1" si="4"/>
        <v>9</v>
      </c>
      <c r="G101" s="53" t="s">
        <v>8</v>
      </c>
      <c r="H101" s="52">
        <v>74710</v>
      </c>
      <c r="I101" s="51">
        <v>2</v>
      </c>
    </row>
    <row r="102" spans="1:9" x14ac:dyDescent="0.25">
      <c r="A102" s="56" t="s">
        <v>26</v>
      </c>
      <c r="B102" s="58" t="s">
        <v>13</v>
      </c>
      <c r="C102" s="56" t="s">
        <v>26</v>
      </c>
      <c r="D102" s="56" t="s">
        <v>5</v>
      </c>
      <c r="E102" s="55">
        <v>39286</v>
      </c>
      <c r="F102" s="54">
        <f t="shared" ca="1" si="4"/>
        <v>9</v>
      </c>
      <c r="G102" s="53" t="s">
        <v>19</v>
      </c>
      <c r="H102" s="52">
        <v>68910</v>
      </c>
      <c r="I102" s="51">
        <v>5</v>
      </c>
    </row>
    <row r="103" spans="1:9" x14ac:dyDescent="0.25">
      <c r="A103" s="57" t="s">
        <v>830</v>
      </c>
      <c r="B103" s="58"/>
      <c r="C103" s="57"/>
      <c r="D103" s="56"/>
      <c r="E103" s="55"/>
      <c r="F103" s="54"/>
      <c r="G103" s="53"/>
      <c r="H103" s="52"/>
      <c r="I103" s="51"/>
    </row>
    <row r="104" spans="1:9" x14ac:dyDescent="0.25">
      <c r="A104" s="56" t="s">
        <v>84</v>
      </c>
      <c r="B104" s="58" t="s">
        <v>13</v>
      </c>
      <c r="C104" s="56" t="s">
        <v>84</v>
      </c>
      <c r="D104" s="56" t="s">
        <v>5</v>
      </c>
      <c r="E104" s="55">
        <v>36573</v>
      </c>
      <c r="F104" s="54">
        <f t="shared" ref="F104:F111" ca="1" si="5">DATEDIF(E104,TODAY(),"Y")</f>
        <v>16</v>
      </c>
      <c r="G104" s="53" t="s">
        <v>32</v>
      </c>
      <c r="H104" s="52">
        <v>86530</v>
      </c>
      <c r="I104" s="51">
        <v>1</v>
      </c>
    </row>
    <row r="105" spans="1:9" x14ac:dyDescent="0.25">
      <c r="A105" s="56" t="s">
        <v>84</v>
      </c>
      <c r="B105" s="58" t="s">
        <v>17</v>
      </c>
      <c r="C105" s="56" t="s">
        <v>84</v>
      </c>
      <c r="D105" s="56" t="s">
        <v>5</v>
      </c>
      <c r="E105" s="55">
        <v>37087</v>
      </c>
      <c r="F105" s="54">
        <f t="shared" ca="1" si="5"/>
        <v>15</v>
      </c>
      <c r="G105" s="53" t="s">
        <v>32</v>
      </c>
      <c r="H105" s="52">
        <v>36630</v>
      </c>
      <c r="I105" s="51">
        <v>4</v>
      </c>
    </row>
    <row r="106" spans="1:9" x14ac:dyDescent="0.25">
      <c r="A106" s="56" t="s">
        <v>84</v>
      </c>
      <c r="B106" s="58" t="s">
        <v>13</v>
      </c>
      <c r="C106" s="56" t="s">
        <v>84</v>
      </c>
      <c r="D106" s="56" t="s">
        <v>12</v>
      </c>
      <c r="E106" s="55">
        <v>37445</v>
      </c>
      <c r="F106" s="54">
        <f t="shared" ca="1" si="5"/>
        <v>14</v>
      </c>
      <c r="G106" s="53"/>
      <c r="H106" s="52">
        <v>78860</v>
      </c>
      <c r="I106" s="51">
        <v>2</v>
      </c>
    </row>
    <row r="107" spans="1:9" x14ac:dyDescent="0.25">
      <c r="A107" s="56" t="s">
        <v>84</v>
      </c>
      <c r="B107" s="58" t="s">
        <v>10</v>
      </c>
      <c r="C107" s="56" t="s">
        <v>84</v>
      </c>
      <c r="D107" s="56" t="s">
        <v>5</v>
      </c>
      <c r="E107" s="55">
        <v>38078</v>
      </c>
      <c r="F107" s="54">
        <f t="shared" ca="1" si="5"/>
        <v>12</v>
      </c>
      <c r="G107" s="53" t="s">
        <v>32</v>
      </c>
      <c r="H107" s="52">
        <v>71120</v>
      </c>
      <c r="I107" s="51">
        <v>4</v>
      </c>
    </row>
    <row r="108" spans="1:9" x14ac:dyDescent="0.25">
      <c r="A108" s="56" t="s">
        <v>84</v>
      </c>
      <c r="B108" s="58" t="s">
        <v>17</v>
      </c>
      <c r="C108" s="56" t="s">
        <v>84</v>
      </c>
      <c r="D108" s="56" t="s">
        <v>12</v>
      </c>
      <c r="E108" s="55">
        <v>38219</v>
      </c>
      <c r="F108" s="54">
        <f t="shared" ca="1" si="5"/>
        <v>12</v>
      </c>
      <c r="G108" s="53"/>
      <c r="H108" s="52">
        <v>35620</v>
      </c>
      <c r="I108" s="51">
        <v>4</v>
      </c>
    </row>
    <row r="109" spans="1:9" x14ac:dyDescent="0.25">
      <c r="A109" s="56" t="s">
        <v>84</v>
      </c>
      <c r="B109" s="58" t="s">
        <v>13</v>
      </c>
      <c r="C109" s="56" t="s">
        <v>84</v>
      </c>
      <c r="D109" s="56" t="s">
        <v>5</v>
      </c>
      <c r="E109" s="55">
        <v>38613</v>
      </c>
      <c r="F109" s="54">
        <f t="shared" ca="1" si="5"/>
        <v>11</v>
      </c>
      <c r="G109" s="53" t="s">
        <v>32</v>
      </c>
      <c r="H109" s="52">
        <v>76440</v>
      </c>
      <c r="I109" s="51">
        <v>3</v>
      </c>
    </row>
    <row r="110" spans="1:9" x14ac:dyDescent="0.25">
      <c r="A110" s="56" t="s">
        <v>84</v>
      </c>
      <c r="B110" s="58" t="s">
        <v>13</v>
      </c>
      <c r="C110" s="56" t="s">
        <v>84</v>
      </c>
      <c r="D110" s="56" t="s">
        <v>12</v>
      </c>
      <c r="E110" s="59">
        <v>38943</v>
      </c>
      <c r="F110" s="54">
        <f t="shared" ca="1" si="5"/>
        <v>10</v>
      </c>
      <c r="G110" s="53"/>
      <c r="H110" s="52">
        <v>59350</v>
      </c>
      <c r="I110" s="51">
        <v>5</v>
      </c>
    </row>
    <row r="111" spans="1:9" x14ac:dyDescent="0.25">
      <c r="A111" s="56" t="s">
        <v>84</v>
      </c>
      <c r="B111" s="58" t="s">
        <v>56</v>
      </c>
      <c r="C111" s="56" t="s">
        <v>84</v>
      </c>
      <c r="D111" s="56" t="s">
        <v>15</v>
      </c>
      <c r="E111" s="59">
        <v>39195</v>
      </c>
      <c r="F111" s="54">
        <f t="shared" ca="1" si="5"/>
        <v>9</v>
      </c>
      <c r="G111" s="53" t="s">
        <v>4</v>
      </c>
      <c r="H111" s="52">
        <v>46230</v>
      </c>
      <c r="I111" s="51">
        <v>2</v>
      </c>
    </row>
    <row r="112" spans="1:9" x14ac:dyDescent="0.25">
      <c r="A112" s="57" t="s">
        <v>829</v>
      </c>
      <c r="B112" s="58"/>
      <c r="C112" s="57"/>
      <c r="D112" s="56"/>
      <c r="E112" s="59"/>
      <c r="F112" s="54"/>
      <c r="G112" s="53"/>
      <c r="H112" s="52"/>
      <c r="I112" s="51"/>
    </row>
    <row r="113" spans="1:9" x14ac:dyDescent="0.25">
      <c r="A113" s="56" t="s">
        <v>16</v>
      </c>
      <c r="B113" s="58" t="s">
        <v>13</v>
      </c>
      <c r="C113" s="56" t="s">
        <v>16</v>
      </c>
      <c r="D113" s="56" t="s">
        <v>5</v>
      </c>
      <c r="E113" s="55">
        <v>31761</v>
      </c>
      <c r="F113" s="54">
        <f t="shared" ref="F113:F121" ca="1" si="6">DATEDIF(E113,TODAY(),"Y")</f>
        <v>29</v>
      </c>
      <c r="G113" s="53" t="s">
        <v>4</v>
      </c>
      <c r="H113" s="52">
        <v>69060</v>
      </c>
      <c r="I113" s="51">
        <v>1</v>
      </c>
    </row>
    <row r="114" spans="1:9" x14ac:dyDescent="0.25">
      <c r="A114" s="56" t="s">
        <v>16</v>
      </c>
      <c r="B114" s="58" t="s">
        <v>17</v>
      </c>
      <c r="C114" s="56" t="s">
        <v>16</v>
      </c>
      <c r="D114" s="56" t="s">
        <v>5</v>
      </c>
      <c r="E114" s="55">
        <v>34139</v>
      </c>
      <c r="F114" s="54">
        <f t="shared" ca="1" si="6"/>
        <v>23</v>
      </c>
      <c r="G114" s="53" t="s">
        <v>4</v>
      </c>
      <c r="H114" s="52">
        <v>22920</v>
      </c>
      <c r="I114" s="51">
        <v>3</v>
      </c>
    </row>
    <row r="115" spans="1:9" x14ac:dyDescent="0.25">
      <c r="A115" s="56" t="s">
        <v>16</v>
      </c>
      <c r="B115" s="58" t="s">
        <v>2</v>
      </c>
      <c r="C115" s="56" t="s">
        <v>16</v>
      </c>
      <c r="D115" s="56" t="s">
        <v>5</v>
      </c>
      <c r="E115" s="55">
        <v>34204</v>
      </c>
      <c r="F115" s="54">
        <f t="shared" ca="1" si="6"/>
        <v>23</v>
      </c>
      <c r="G115" s="53" t="s">
        <v>19</v>
      </c>
      <c r="H115" s="52">
        <v>26510</v>
      </c>
      <c r="I115" s="51">
        <v>1</v>
      </c>
    </row>
    <row r="116" spans="1:9" x14ac:dyDescent="0.25">
      <c r="A116" s="56" t="s">
        <v>16</v>
      </c>
      <c r="B116" s="58" t="s">
        <v>10</v>
      </c>
      <c r="C116" s="56" t="s">
        <v>16</v>
      </c>
      <c r="D116" s="56" t="s">
        <v>5</v>
      </c>
      <c r="E116" s="55">
        <v>34872</v>
      </c>
      <c r="F116" s="54">
        <f t="shared" ca="1" si="6"/>
        <v>21</v>
      </c>
      <c r="G116" s="53" t="s">
        <v>4</v>
      </c>
      <c r="H116" s="52">
        <v>68300</v>
      </c>
      <c r="I116" s="51">
        <v>5</v>
      </c>
    </row>
    <row r="117" spans="1:9" x14ac:dyDescent="0.25">
      <c r="A117" s="56" t="s">
        <v>16</v>
      </c>
      <c r="B117" s="58" t="s">
        <v>17</v>
      </c>
      <c r="C117" s="56" t="s">
        <v>16</v>
      </c>
      <c r="D117" s="56" t="s">
        <v>5</v>
      </c>
      <c r="E117" s="55">
        <v>34939</v>
      </c>
      <c r="F117" s="54">
        <f t="shared" ca="1" si="6"/>
        <v>21</v>
      </c>
      <c r="G117" s="53" t="s">
        <v>32</v>
      </c>
      <c r="H117" s="52">
        <v>49860</v>
      </c>
      <c r="I117" s="51">
        <v>2</v>
      </c>
    </row>
    <row r="118" spans="1:9" x14ac:dyDescent="0.25">
      <c r="A118" s="56" t="s">
        <v>16</v>
      </c>
      <c r="B118" s="58" t="s">
        <v>13</v>
      </c>
      <c r="C118" s="56" t="s">
        <v>16</v>
      </c>
      <c r="D118" s="56" t="s">
        <v>5</v>
      </c>
      <c r="E118" s="55">
        <v>37837</v>
      </c>
      <c r="F118" s="54">
        <f t="shared" ca="1" si="6"/>
        <v>13</v>
      </c>
      <c r="G118" s="53" t="s">
        <v>4</v>
      </c>
      <c r="H118" s="52">
        <v>43680</v>
      </c>
      <c r="I118" s="51">
        <v>5</v>
      </c>
    </row>
    <row r="119" spans="1:9" x14ac:dyDescent="0.25">
      <c r="A119" s="56" t="s">
        <v>16</v>
      </c>
      <c r="B119" s="58" t="s">
        <v>17</v>
      </c>
      <c r="C119" s="56" t="s">
        <v>16</v>
      </c>
      <c r="D119" s="56" t="s">
        <v>0</v>
      </c>
      <c r="E119" s="59">
        <v>39003</v>
      </c>
      <c r="F119" s="54">
        <f t="shared" ca="1" si="6"/>
        <v>10</v>
      </c>
      <c r="G119" s="53"/>
      <c r="H119" s="52">
        <v>27484</v>
      </c>
      <c r="I119" s="51">
        <v>4</v>
      </c>
    </row>
    <row r="120" spans="1:9" x14ac:dyDescent="0.25">
      <c r="A120" s="56" t="s">
        <v>16</v>
      </c>
      <c r="B120" s="58" t="s">
        <v>17</v>
      </c>
      <c r="C120" s="56" t="s">
        <v>16</v>
      </c>
      <c r="D120" s="56" t="s">
        <v>15</v>
      </c>
      <c r="E120" s="59">
        <v>39206</v>
      </c>
      <c r="F120" s="54">
        <f t="shared" ca="1" si="6"/>
        <v>9</v>
      </c>
      <c r="G120" s="53" t="s">
        <v>4</v>
      </c>
      <c r="H120" s="52">
        <v>28625</v>
      </c>
      <c r="I120" s="51">
        <v>1</v>
      </c>
    </row>
    <row r="121" spans="1:9" x14ac:dyDescent="0.25">
      <c r="A121" s="56" t="s">
        <v>16</v>
      </c>
      <c r="B121" s="58" t="s">
        <v>13</v>
      </c>
      <c r="C121" s="56" t="s">
        <v>16</v>
      </c>
      <c r="D121" s="56" t="s">
        <v>15</v>
      </c>
      <c r="E121" s="55">
        <v>39262</v>
      </c>
      <c r="F121" s="54">
        <f t="shared" ca="1" si="6"/>
        <v>9</v>
      </c>
      <c r="G121" s="53" t="s">
        <v>4</v>
      </c>
      <c r="H121" s="52">
        <v>10520</v>
      </c>
      <c r="I121" s="51">
        <v>4</v>
      </c>
    </row>
    <row r="122" spans="1:9" x14ac:dyDescent="0.25">
      <c r="A122" s="57" t="s">
        <v>828</v>
      </c>
      <c r="B122" s="58"/>
      <c r="C122" s="57"/>
      <c r="D122" s="56"/>
      <c r="E122" s="55"/>
      <c r="F122" s="54"/>
      <c r="G122" s="53"/>
      <c r="H122" s="52"/>
      <c r="I122" s="51"/>
    </row>
    <row r="123" spans="1:9" x14ac:dyDescent="0.25">
      <c r="A123" s="56" t="s">
        <v>44</v>
      </c>
      <c r="B123" s="58" t="s">
        <v>13</v>
      </c>
      <c r="C123" s="56" t="s">
        <v>44</v>
      </c>
      <c r="D123" s="56" t="s">
        <v>0</v>
      </c>
      <c r="E123" s="55">
        <v>31873</v>
      </c>
      <c r="F123" s="54">
        <f t="shared" ref="F123:F141" ca="1" si="7">DATEDIF(E123,TODAY(),"Y")</f>
        <v>29</v>
      </c>
      <c r="G123" s="53"/>
      <c r="H123" s="52">
        <v>14712</v>
      </c>
      <c r="I123" s="51">
        <v>5</v>
      </c>
    </row>
    <row r="124" spans="1:9" x14ac:dyDescent="0.25">
      <c r="A124" s="56" t="s">
        <v>44</v>
      </c>
      <c r="B124" s="58" t="s">
        <v>56</v>
      </c>
      <c r="C124" s="56" t="s">
        <v>44</v>
      </c>
      <c r="D124" s="56" t="s">
        <v>12</v>
      </c>
      <c r="E124" s="55">
        <v>31935</v>
      </c>
      <c r="F124" s="54">
        <f t="shared" ca="1" si="7"/>
        <v>29</v>
      </c>
      <c r="G124" s="53"/>
      <c r="H124" s="52">
        <v>80050</v>
      </c>
      <c r="I124" s="51">
        <v>2</v>
      </c>
    </row>
    <row r="125" spans="1:9" x14ac:dyDescent="0.25">
      <c r="A125" s="56" t="s">
        <v>44</v>
      </c>
      <c r="B125" s="58" t="s">
        <v>39</v>
      </c>
      <c r="C125" s="56" t="s">
        <v>44</v>
      </c>
      <c r="D125" s="56" t="s">
        <v>5</v>
      </c>
      <c r="E125" s="55">
        <v>32137</v>
      </c>
      <c r="F125" s="54">
        <f t="shared" ca="1" si="7"/>
        <v>28</v>
      </c>
      <c r="G125" s="53" t="s">
        <v>4</v>
      </c>
      <c r="H125" s="52">
        <v>37620</v>
      </c>
      <c r="I125" s="51">
        <v>5</v>
      </c>
    </row>
    <row r="126" spans="1:9" x14ac:dyDescent="0.25">
      <c r="A126" s="56" t="s">
        <v>44</v>
      </c>
      <c r="B126" s="58" t="s">
        <v>17</v>
      </c>
      <c r="C126" s="56" t="s">
        <v>44</v>
      </c>
      <c r="D126" s="56" t="s">
        <v>5</v>
      </c>
      <c r="E126" s="55">
        <v>32303</v>
      </c>
      <c r="F126" s="54">
        <f t="shared" ca="1" si="7"/>
        <v>28</v>
      </c>
      <c r="G126" s="53" t="s">
        <v>19</v>
      </c>
      <c r="H126" s="52">
        <v>82500</v>
      </c>
      <c r="I126" s="51">
        <v>5</v>
      </c>
    </row>
    <row r="127" spans="1:9" x14ac:dyDescent="0.25">
      <c r="A127" s="56" t="s">
        <v>44</v>
      </c>
      <c r="B127" s="58" t="s">
        <v>13</v>
      </c>
      <c r="C127" s="56" t="s">
        <v>44</v>
      </c>
      <c r="D127" s="56" t="s">
        <v>5</v>
      </c>
      <c r="E127" s="55">
        <v>32513</v>
      </c>
      <c r="F127" s="54">
        <f t="shared" ca="1" si="7"/>
        <v>27</v>
      </c>
      <c r="G127" s="53" t="s">
        <v>4</v>
      </c>
      <c r="H127" s="52">
        <v>82760</v>
      </c>
      <c r="I127" s="51">
        <v>4</v>
      </c>
    </row>
    <row r="128" spans="1:9" x14ac:dyDescent="0.25">
      <c r="A128" s="56" t="s">
        <v>44</v>
      </c>
      <c r="B128" s="58" t="s">
        <v>13</v>
      </c>
      <c r="C128" s="56" t="s">
        <v>44</v>
      </c>
      <c r="D128" s="56" t="s">
        <v>15</v>
      </c>
      <c r="E128" s="55">
        <v>32684</v>
      </c>
      <c r="F128" s="54">
        <f t="shared" ca="1" si="7"/>
        <v>27</v>
      </c>
      <c r="G128" s="53" t="s">
        <v>8</v>
      </c>
      <c r="H128" s="52">
        <v>18655</v>
      </c>
      <c r="I128" s="51">
        <v>4</v>
      </c>
    </row>
    <row r="129" spans="1:9" x14ac:dyDescent="0.25">
      <c r="A129" s="56" t="s">
        <v>44</v>
      </c>
      <c r="B129" s="58" t="s">
        <v>39</v>
      </c>
      <c r="C129" s="56" t="s">
        <v>44</v>
      </c>
      <c r="D129" s="56" t="s">
        <v>12</v>
      </c>
      <c r="E129" s="55">
        <v>33840</v>
      </c>
      <c r="F129" s="54">
        <f t="shared" ca="1" si="7"/>
        <v>24</v>
      </c>
      <c r="G129" s="53"/>
      <c r="H129" s="52">
        <v>35260</v>
      </c>
      <c r="I129" s="51">
        <v>2</v>
      </c>
    </row>
    <row r="130" spans="1:9" x14ac:dyDescent="0.25">
      <c r="A130" s="56" t="s">
        <v>44</v>
      </c>
      <c r="B130" s="58" t="s">
        <v>2</v>
      </c>
      <c r="C130" s="56" t="s">
        <v>44</v>
      </c>
      <c r="D130" s="56" t="s">
        <v>5</v>
      </c>
      <c r="E130" s="55">
        <v>34177</v>
      </c>
      <c r="F130" s="54">
        <f t="shared" ca="1" si="7"/>
        <v>23</v>
      </c>
      <c r="G130" s="53" t="s">
        <v>32</v>
      </c>
      <c r="H130" s="52">
        <v>80120</v>
      </c>
      <c r="I130" s="51">
        <v>4</v>
      </c>
    </row>
    <row r="131" spans="1:9" x14ac:dyDescent="0.25">
      <c r="A131" s="56" t="s">
        <v>44</v>
      </c>
      <c r="B131" s="58" t="s">
        <v>13</v>
      </c>
      <c r="C131" s="56" t="s">
        <v>44</v>
      </c>
      <c r="D131" s="56" t="s">
        <v>0</v>
      </c>
      <c r="E131" s="55">
        <v>34363</v>
      </c>
      <c r="F131" s="54">
        <f t="shared" ca="1" si="7"/>
        <v>22</v>
      </c>
      <c r="G131" s="53"/>
      <c r="H131" s="52">
        <v>12676</v>
      </c>
      <c r="I131" s="51">
        <v>2</v>
      </c>
    </row>
    <row r="132" spans="1:9" x14ac:dyDescent="0.25">
      <c r="A132" s="56" t="s">
        <v>44</v>
      </c>
      <c r="B132" s="58" t="s">
        <v>17</v>
      </c>
      <c r="C132" s="56" t="s">
        <v>44</v>
      </c>
      <c r="D132" s="56" t="s">
        <v>12</v>
      </c>
      <c r="E132" s="55">
        <v>34427</v>
      </c>
      <c r="F132" s="54">
        <f t="shared" ca="1" si="7"/>
        <v>22</v>
      </c>
      <c r="G132" s="53"/>
      <c r="H132" s="52">
        <v>76020</v>
      </c>
      <c r="I132" s="51">
        <v>1</v>
      </c>
    </row>
    <row r="133" spans="1:9" x14ac:dyDescent="0.25">
      <c r="A133" s="56" t="s">
        <v>44</v>
      </c>
      <c r="B133" s="58" t="s">
        <v>17</v>
      </c>
      <c r="C133" s="56" t="s">
        <v>44</v>
      </c>
      <c r="D133" s="56" t="s">
        <v>12</v>
      </c>
      <c r="E133" s="55">
        <v>34649</v>
      </c>
      <c r="F133" s="54">
        <f t="shared" ca="1" si="7"/>
        <v>21</v>
      </c>
      <c r="G133" s="53"/>
      <c r="H133" s="52">
        <v>64470</v>
      </c>
      <c r="I133" s="51">
        <v>3</v>
      </c>
    </row>
    <row r="134" spans="1:9" x14ac:dyDescent="0.25">
      <c r="A134" s="56" t="s">
        <v>44</v>
      </c>
      <c r="B134" s="58" t="s">
        <v>17</v>
      </c>
      <c r="C134" s="56" t="s">
        <v>44</v>
      </c>
      <c r="D134" s="56" t="s">
        <v>5</v>
      </c>
      <c r="E134" s="55">
        <v>34767</v>
      </c>
      <c r="F134" s="54">
        <f t="shared" ca="1" si="7"/>
        <v>21</v>
      </c>
      <c r="G134" s="53" t="s">
        <v>4</v>
      </c>
      <c r="H134" s="52">
        <v>50110</v>
      </c>
      <c r="I134" s="51">
        <v>1</v>
      </c>
    </row>
    <row r="135" spans="1:9" x14ac:dyDescent="0.25">
      <c r="A135" s="56" t="s">
        <v>44</v>
      </c>
      <c r="B135" s="58" t="s">
        <v>56</v>
      </c>
      <c r="C135" s="56" t="s">
        <v>44</v>
      </c>
      <c r="D135" s="56" t="s">
        <v>12</v>
      </c>
      <c r="E135" s="55">
        <v>34866</v>
      </c>
      <c r="F135" s="54">
        <f t="shared" ca="1" si="7"/>
        <v>21</v>
      </c>
      <c r="G135" s="53"/>
      <c r="H135" s="52">
        <v>32940</v>
      </c>
      <c r="I135" s="51">
        <v>5</v>
      </c>
    </row>
    <row r="136" spans="1:9" x14ac:dyDescent="0.25">
      <c r="A136" s="56" t="s">
        <v>44</v>
      </c>
      <c r="B136" s="58" t="s">
        <v>13</v>
      </c>
      <c r="C136" s="56" t="s">
        <v>44</v>
      </c>
      <c r="D136" s="56" t="s">
        <v>5</v>
      </c>
      <c r="E136" s="55">
        <v>34959</v>
      </c>
      <c r="F136" s="54">
        <f t="shared" ca="1" si="7"/>
        <v>21</v>
      </c>
      <c r="G136" s="53" t="s">
        <v>4</v>
      </c>
      <c r="H136" s="52">
        <v>61330</v>
      </c>
      <c r="I136" s="51">
        <v>1</v>
      </c>
    </row>
    <row r="137" spans="1:9" x14ac:dyDescent="0.25">
      <c r="A137" s="56" t="s">
        <v>44</v>
      </c>
      <c r="B137" s="58" t="s">
        <v>2</v>
      </c>
      <c r="C137" s="56" t="s">
        <v>44</v>
      </c>
      <c r="D137" s="56" t="s">
        <v>12</v>
      </c>
      <c r="E137" s="55">
        <v>35032</v>
      </c>
      <c r="F137" s="54">
        <f t="shared" ca="1" si="7"/>
        <v>20</v>
      </c>
      <c r="G137" s="53"/>
      <c r="H137" s="52">
        <v>86970</v>
      </c>
      <c r="I137" s="51">
        <v>4</v>
      </c>
    </row>
    <row r="138" spans="1:9" x14ac:dyDescent="0.25">
      <c r="A138" s="56" t="s">
        <v>44</v>
      </c>
      <c r="B138" s="58" t="s">
        <v>17</v>
      </c>
      <c r="C138" s="56" t="s">
        <v>44</v>
      </c>
      <c r="D138" s="56" t="s">
        <v>15</v>
      </c>
      <c r="E138" s="55">
        <v>35047</v>
      </c>
      <c r="F138" s="54">
        <f t="shared" ca="1" si="7"/>
        <v>20</v>
      </c>
      <c r="G138" s="53" t="s">
        <v>8</v>
      </c>
      <c r="H138" s="52">
        <v>42905</v>
      </c>
      <c r="I138" s="51">
        <v>1</v>
      </c>
    </row>
    <row r="139" spans="1:9" x14ac:dyDescent="0.25">
      <c r="A139" s="56" t="s">
        <v>44</v>
      </c>
      <c r="B139" s="58" t="s">
        <v>17</v>
      </c>
      <c r="C139" s="56" t="s">
        <v>44</v>
      </c>
      <c r="D139" s="56" t="s">
        <v>5</v>
      </c>
      <c r="E139" s="55">
        <v>35803</v>
      </c>
      <c r="F139" s="54">
        <f t="shared" ca="1" si="7"/>
        <v>18</v>
      </c>
      <c r="G139" s="53" t="s">
        <v>19</v>
      </c>
      <c r="H139" s="52">
        <v>61150</v>
      </c>
      <c r="I139" s="51">
        <v>4</v>
      </c>
    </row>
    <row r="140" spans="1:9" x14ac:dyDescent="0.25">
      <c r="A140" s="56" t="s">
        <v>44</v>
      </c>
      <c r="B140" s="58" t="s">
        <v>2</v>
      </c>
      <c r="C140" s="56" t="s">
        <v>44</v>
      </c>
      <c r="D140" s="56" t="s">
        <v>5</v>
      </c>
      <c r="E140" s="55">
        <v>36302</v>
      </c>
      <c r="F140" s="54">
        <f t="shared" ca="1" si="7"/>
        <v>17</v>
      </c>
      <c r="G140" s="53" t="s">
        <v>19</v>
      </c>
      <c r="H140" s="52">
        <v>39740</v>
      </c>
      <c r="I140" s="51">
        <v>1</v>
      </c>
    </row>
    <row r="141" spans="1:9" x14ac:dyDescent="0.25">
      <c r="A141" s="56" t="s">
        <v>44</v>
      </c>
      <c r="B141" s="58" t="s">
        <v>10</v>
      </c>
      <c r="C141" s="56" t="s">
        <v>44</v>
      </c>
      <c r="D141" s="56" t="s">
        <v>12</v>
      </c>
      <c r="E141" s="55">
        <v>36357</v>
      </c>
      <c r="F141" s="54">
        <f t="shared" ca="1" si="7"/>
        <v>17</v>
      </c>
      <c r="G141" s="53"/>
      <c r="H141" s="52">
        <v>73390</v>
      </c>
      <c r="I141" s="51">
        <v>2</v>
      </c>
    </row>
    <row r="142" spans="1:9" x14ac:dyDescent="0.25">
      <c r="A142" s="57" t="s">
        <v>827</v>
      </c>
      <c r="B142" s="58"/>
      <c r="C142" s="57"/>
      <c r="D142" s="56"/>
      <c r="E142" s="55"/>
      <c r="F142" s="54"/>
      <c r="G142" s="53"/>
      <c r="H142" s="52"/>
      <c r="I142" s="51"/>
    </row>
    <row r="143" spans="1:9" x14ac:dyDescent="0.25">
      <c r="A143" s="56" t="s">
        <v>247</v>
      </c>
      <c r="B143" s="58" t="s">
        <v>17</v>
      </c>
      <c r="C143" s="56" t="s">
        <v>247</v>
      </c>
      <c r="D143" s="56" t="s">
        <v>5</v>
      </c>
      <c r="E143" s="55">
        <v>34019</v>
      </c>
      <c r="F143" s="54">
        <f t="shared" ref="F143:F148" ca="1" si="8">DATEDIF(E143,TODAY(),"Y")</f>
        <v>23</v>
      </c>
      <c r="G143" s="53" t="s">
        <v>32</v>
      </c>
      <c r="H143" s="52">
        <v>66740</v>
      </c>
      <c r="I143" s="51">
        <v>2</v>
      </c>
    </row>
    <row r="144" spans="1:9" x14ac:dyDescent="0.25">
      <c r="A144" s="56" t="s">
        <v>247</v>
      </c>
      <c r="B144" s="58" t="s">
        <v>17</v>
      </c>
      <c r="C144" s="56" t="s">
        <v>247</v>
      </c>
      <c r="D144" s="56" t="s">
        <v>5</v>
      </c>
      <c r="E144" s="55">
        <v>34019</v>
      </c>
      <c r="F144" s="54">
        <f t="shared" ca="1" si="8"/>
        <v>23</v>
      </c>
      <c r="G144" s="53" t="s">
        <v>32</v>
      </c>
      <c r="H144" s="52">
        <v>66740</v>
      </c>
      <c r="I144" s="51">
        <v>2</v>
      </c>
    </row>
    <row r="145" spans="1:9" x14ac:dyDescent="0.25">
      <c r="A145" s="56" t="s">
        <v>247</v>
      </c>
      <c r="B145" s="58" t="s">
        <v>39</v>
      </c>
      <c r="C145" s="56" t="s">
        <v>247</v>
      </c>
      <c r="D145" s="56" t="s">
        <v>5</v>
      </c>
      <c r="E145" s="55">
        <v>35259</v>
      </c>
      <c r="F145" s="54">
        <f t="shared" ca="1" si="8"/>
        <v>20</v>
      </c>
      <c r="G145" s="53" t="s">
        <v>4</v>
      </c>
      <c r="H145" s="52">
        <v>75060</v>
      </c>
      <c r="I145" s="51">
        <v>5</v>
      </c>
    </row>
    <row r="146" spans="1:9" x14ac:dyDescent="0.25">
      <c r="A146" s="56" t="s">
        <v>247</v>
      </c>
      <c r="B146" s="58" t="s">
        <v>13</v>
      </c>
      <c r="C146" s="56" t="s">
        <v>247</v>
      </c>
      <c r="D146" s="56" t="s">
        <v>12</v>
      </c>
      <c r="E146" s="55">
        <v>37217</v>
      </c>
      <c r="F146" s="54">
        <f t="shared" ca="1" si="8"/>
        <v>14</v>
      </c>
      <c r="G146" s="53"/>
      <c r="H146" s="52">
        <v>60060</v>
      </c>
      <c r="I146" s="51">
        <v>2</v>
      </c>
    </row>
    <row r="147" spans="1:9" x14ac:dyDescent="0.25">
      <c r="A147" s="56" t="s">
        <v>247</v>
      </c>
      <c r="B147" s="58" t="s">
        <v>13</v>
      </c>
      <c r="C147" s="56" t="s">
        <v>247</v>
      </c>
      <c r="D147" s="56" t="s">
        <v>5</v>
      </c>
      <c r="E147" s="55">
        <v>37277</v>
      </c>
      <c r="F147" s="54">
        <f t="shared" ca="1" si="8"/>
        <v>14</v>
      </c>
      <c r="G147" s="53" t="s">
        <v>32</v>
      </c>
      <c r="H147" s="52">
        <v>47350</v>
      </c>
      <c r="I147" s="51">
        <v>5</v>
      </c>
    </row>
    <row r="148" spans="1:9" x14ac:dyDescent="0.25">
      <c r="A148" s="56" t="s">
        <v>247</v>
      </c>
      <c r="B148" s="58" t="s">
        <v>39</v>
      </c>
      <c r="C148" s="56" t="s">
        <v>247</v>
      </c>
      <c r="D148" s="56" t="s">
        <v>5</v>
      </c>
      <c r="E148" s="59">
        <v>39090</v>
      </c>
      <c r="F148" s="54">
        <f t="shared" ca="1" si="8"/>
        <v>9</v>
      </c>
      <c r="G148" s="53" t="s">
        <v>4</v>
      </c>
      <c r="H148" s="52">
        <v>79150</v>
      </c>
      <c r="I148" s="51">
        <v>2</v>
      </c>
    </row>
    <row r="149" spans="1:9" x14ac:dyDescent="0.25">
      <c r="A149" s="57" t="s">
        <v>826</v>
      </c>
      <c r="B149" s="58"/>
      <c r="C149" s="57"/>
      <c r="D149" s="56"/>
      <c r="E149" s="59"/>
      <c r="F149" s="54"/>
      <c r="G149" s="53"/>
      <c r="H149" s="52"/>
      <c r="I149" s="51"/>
    </row>
    <row r="150" spans="1:9" x14ac:dyDescent="0.25">
      <c r="A150" s="56" t="s">
        <v>72</v>
      </c>
      <c r="B150" s="58" t="s">
        <v>10</v>
      </c>
      <c r="C150" s="56" t="s">
        <v>72</v>
      </c>
      <c r="D150" s="56" t="s">
        <v>5</v>
      </c>
      <c r="E150" s="55">
        <v>31769</v>
      </c>
      <c r="F150" s="54">
        <f t="shared" ref="F150:F188" ca="1" si="9">DATEDIF(E150,TODAY(),"Y")</f>
        <v>29</v>
      </c>
      <c r="G150" s="53" t="s">
        <v>8</v>
      </c>
      <c r="H150" s="52">
        <v>32360</v>
      </c>
      <c r="I150" s="51">
        <v>4</v>
      </c>
    </row>
    <row r="151" spans="1:9" x14ac:dyDescent="0.25">
      <c r="A151" s="56" t="s">
        <v>72</v>
      </c>
      <c r="B151" s="58" t="s">
        <v>17</v>
      </c>
      <c r="C151" s="56" t="s">
        <v>72</v>
      </c>
      <c r="D151" s="56" t="s">
        <v>5</v>
      </c>
      <c r="E151" s="55">
        <v>31807</v>
      </c>
      <c r="F151" s="54">
        <f t="shared" ca="1" si="9"/>
        <v>29</v>
      </c>
      <c r="G151" s="53" t="s">
        <v>19</v>
      </c>
      <c r="H151" s="52">
        <v>35360</v>
      </c>
      <c r="I151" s="51">
        <v>5</v>
      </c>
    </row>
    <row r="152" spans="1:9" x14ac:dyDescent="0.25">
      <c r="A152" s="56" t="s">
        <v>72</v>
      </c>
      <c r="B152" s="58" t="s">
        <v>17</v>
      </c>
      <c r="C152" s="56" t="s">
        <v>72</v>
      </c>
      <c r="D152" s="56" t="s">
        <v>5</v>
      </c>
      <c r="E152" s="55">
        <v>32095</v>
      </c>
      <c r="F152" s="54">
        <f t="shared" ca="1" si="9"/>
        <v>28</v>
      </c>
      <c r="G152" s="53" t="s">
        <v>4</v>
      </c>
      <c r="H152" s="52">
        <v>32140</v>
      </c>
      <c r="I152" s="51">
        <v>2</v>
      </c>
    </row>
    <row r="153" spans="1:9" x14ac:dyDescent="0.25">
      <c r="A153" s="56" t="s">
        <v>72</v>
      </c>
      <c r="B153" s="58" t="s">
        <v>13</v>
      </c>
      <c r="C153" s="56" t="s">
        <v>72</v>
      </c>
      <c r="D153" s="56" t="s">
        <v>12</v>
      </c>
      <c r="E153" s="55">
        <v>32114</v>
      </c>
      <c r="F153" s="54">
        <f t="shared" ca="1" si="9"/>
        <v>28</v>
      </c>
      <c r="G153" s="53"/>
      <c r="H153" s="52">
        <v>22320</v>
      </c>
      <c r="I153" s="51">
        <v>2</v>
      </c>
    </row>
    <row r="154" spans="1:9" x14ac:dyDescent="0.25">
      <c r="A154" s="56" t="s">
        <v>72</v>
      </c>
      <c r="B154" s="58" t="s">
        <v>39</v>
      </c>
      <c r="C154" s="56" t="s">
        <v>72</v>
      </c>
      <c r="D154" s="56" t="s">
        <v>15</v>
      </c>
      <c r="E154" s="55">
        <v>32399</v>
      </c>
      <c r="F154" s="54">
        <f t="shared" ca="1" si="9"/>
        <v>28</v>
      </c>
      <c r="G154" s="53" t="s">
        <v>32</v>
      </c>
      <c r="H154" s="52">
        <v>34110</v>
      </c>
      <c r="I154" s="51">
        <v>4</v>
      </c>
    </row>
    <row r="155" spans="1:9" x14ac:dyDescent="0.25">
      <c r="A155" s="56" t="s">
        <v>72</v>
      </c>
      <c r="B155" s="58" t="s">
        <v>10</v>
      </c>
      <c r="C155" s="56" t="s">
        <v>72</v>
      </c>
      <c r="D155" s="56" t="s">
        <v>5</v>
      </c>
      <c r="E155" s="55">
        <v>32562</v>
      </c>
      <c r="F155" s="54">
        <f t="shared" ca="1" si="9"/>
        <v>27</v>
      </c>
      <c r="G155" s="53" t="s">
        <v>32</v>
      </c>
      <c r="H155" s="52">
        <v>64510</v>
      </c>
      <c r="I155" s="51">
        <v>3</v>
      </c>
    </row>
    <row r="156" spans="1:9" x14ac:dyDescent="0.25">
      <c r="A156" s="56" t="s">
        <v>72</v>
      </c>
      <c r="B156" s="58" t="s">
        <v>56</v>
      </c>
      <c r="C156" s="56" t="s">
        <v>72</v>
      </c>
      <c r="D156" s="56" t="s">
        <v>5</v>
      </c>
      <c r="E156" s="55">
        <v>32613</v>
      </c>
      <c r="F156" s="54">
        <f t="shared" ca="1" si="9"/>
        <v>27</v>
      </c>
      <c r="G156" s="53" t="s">
        <v>4</v>
      </c>
      <c r="H156" s="52">
        <v>46340</v>
      </c>
      <c r="I156" s="51">
        <v>5</v>
      </c>
    </row>
    <row r="157" spans="1:9" x14ac:dyDescent="0.25">
      <c r="A157" s="56" t="s">
        <v>72</v>
      </c>
      <c r="B157" s="58" t="s">
        <v>56</v>
      </c>
      <c r="C157" s="56" t="s">
        <v>72</v>
      </c>
      <c r="D157" s="56" t="s">
        <v>5</v>
      </c>
      <c r="E157" s="55">
        <v>32613</v>
      </c>
      <c r="F157" s="54">
        <f t="shared" ca="1" si="9"/>
        <v>27</v>
      </c>
      <c r="G157" s="53" t="s">
        <v>4</v>
      </c>
      <c r="H157" s="52">
        <v>46340</v>
      </c>
      <c r="I157" s="51">
        <v>5</v>
      </c>
    </row>
    <row r="158" spans="1:9" x14ac:dyDescent="0.25">
      <c r="A158" s="56" t="s">
        <v>72</v>
      </c>
      <c r="B158" s="58" t="s">
        <v>17</v>
      </c>
      <c r="C158" s="56" t="s">
        <v>72</v>
      </c>
      <c r="D158" s="56" t="s">
        <v>12</v>
      </c>
      <c r="E158" s="55">
        <v>32639</v>
      </c>
      <c r="F158" s="54">
        <f t="shared" ca="1" si="9"/>
        <v>27</v>
      </c>
      <c r="G158" s="53"/>
      <c r="H158" s="52">
        <v>81070</v>
      </c>
      <c r="I158" s="51">
        <v>5</v>
      </c>
    </row>
    <row r="159" spans="1:9" x14ac:dyDescent="0.25">
      <c r="A159" s="56" t="s">
        <v>72</v>
      </c>
      <c r="B159" s="58" t="s">
        <v>13</v>
      </c>
      <c r="C159" s="56" t="s">
        <v>72</v>
      </c>
      <c r="D159" s="56" t="s">
        <v>5</v>
      </c>
      <c r="E159" s="55">
        <v>32776</v>
      </c>
      <c r="F159" s="54">
        <f t="shared" ca="1" si="9"/>
        <v>27</v>
      </c>
      <c r="G159" s="53" t="s">
        <v>32</v>
      </c>
      <c r="H159" s="52">
        <v>31840</v>
      </c>
      <c r="I159" s="51">
        <v>1</v>
      </c>
    </row>
    <row r="160" spans="1:9" x14ac:dyDescent="0.25">
      <c r="A160" s="56" t="s">
        <v>72</v>
      </c>
      <c r="B160" s="58" t="s">
        <v>39</v>
      </c>
      <c r="C160" s="56" t="s">
        <v>72</v>
      </c>
      <c r="D160" s="56" t="s">
        <v>12</v>
      </c>
      <c r="E160" s="55">
        <v>32851</v>
      </c>
      <c r="F160" s="54">
        <f t="shared" ca="1" si="9"/>
        <v>26</v>
      </c>
      <c r="G160" s="53"/>
      <c r="H160" s="52">
        <v>64090</v>
      </c>
      <c r="I160" s="51">
        <v>2</v>
      </c>
    </row>
    <row r="161" spans="1:9" x14ac:dyDescent="0.25">
      <c r="A161" s="56" t="s">
        <v>72</v>
      </c>
      <c r="B161" s="58" t="s">
        <v>17</v>
      </c>
      <c r="C161" s="56" t="s">
        <v>72</v>
      </c>
      <c r="D161" s="56" t="s">
        <v>5</v>
      </c>
      <c r="E161" s="55">
        <v>32903</v>
      </c>
      <c r="F161" s="54">
        <f t="shared" ca="1" si="9"/>
        <v>26</v>
      </c>
      <c r="G161" s="53" t="s">
        <v>32</v>
      </c>
      <c r="H161" s="52">
        <v>72900</v>
      </c>
      <c r="I161" s="51">
        <v>3</v>
      </c>
    </row>
    <row r="162" spans="1:9" x14ac:dyDescent="0.25">
      <c r="A162" s="56" t="s">
        <v>72</v>
      </c>
      <c r="B162" s="58" t="s">
        <v>13</v>
      </c>
      <c r="C162" s="56" t="s">
        <v>72</v>
      </c>
      <c r="D162" s="56" t="s">
        <v>15</v>
      </c>
      <c r="E162" s="55">
        <v>33445</v>
      </c>
      <c r="F162" s="54">
        <f t="shared" ca="1" si="9"/>
        <v>25</v>
      </c>
      <c r="G162" s="53" t="s">
        <v>19</v>
      </c>
      <c r="H162" s="52">
        <v>15005</v>
      </c>
      <c r="I162" s="51">
        <v>4</v>
      </c>
    </row>
    <row r="163" spans="1:9" x14ac:dyDescent="0.25">
      <c r="A163" s="56" t="s">
        <v>72</v>
      </c>
      <c r="B163" s="58" t="s">
        <v>39</v>
      </c>
      <c r="C163" s="56" t="s">
        <v>72</v>
      </c>
      <c r="D163" s="56" t="s">
        <v>12</v>
      </c>
      <c r="E163" s="55">
        <v>33451</v>
      </c>
      <c r="F163" s="54">
        <f t="shared" ca="1" si="9"/>
        <v>25</v>
      </c>
      <c r="G163" s="53"/>
      <c r="H163" s="52">
        <v>45040</v>
      </c>
      <c r="I163" s="51">
        <v>5</v>
      </c>
    </row>
    <row r="164" spans="1:9" x14ac:dyDescent="0.25">
      <c r="A164" s="56" t="s">
        <v>72</v>
      </c>
      <c r="B164" s="58" t="s">
        <v>17</v>
      </c>
      <c r="C164" s="56" t="s">
        <v>72</v>
      </c>
      <c r="D164" s="56" t="s">
        <v>12</v>
      </c>
      <c r="E164" s="55">
        <v>33461</v>
      </c>
      <c r="F164" s="54">
        <f t="shared" ca="1" si="9"/>
        <v>25</v>
      </c>
      <c r="G164" s="53"/>
      <c r="H164" s="52">
        <v>26360</v>
      </c>
      <c r="I164" s="51">
        <v>4</v>
      </c>
    </row>
    <row r="165" spans="1:9" x14ac:dyDescent="0.25">
      <c r="A165" s="56" t="s">
        <v>72</v>
      </c>
      <c r="B165" s="58" t="s">
        <v>13</v>
      </c>
      <c r="C165" s="56" t="s">
        <v>72</v>
      </c>
      <c r="D165" s="56" t="s">
        <v>12</v>
      </c>
      <c r="E165" s="55">
        <v>33602</v>
      </c>
      <c r="F165" s="54">
        <f t="shared" ca="1" si="9"/>
        <v>24</v>
      </c>
      <c r="G165" s="53"/>
      <c r="H165" s="52">
        <v>40560</v>
      </c>
      <c r="I165" s="51">
        <v>5</v>
      </c>
    </row>
    <row r="166" spans="1:9" x14ac:dyDescent="0.25">
      <c r="A166" s="56" t="s">
        <v>72</v>
      </c>
      <c r="B166" s="58" t="s">
        <v>13</v>
      </c>
      <c r="C166" s="56" t="s">
        <v>72</v>
      </c>
      <c r="D166" s="56" t="s">
        <v>15</v>
      </c>
      <c r="E166" s="55">
        <v>33760</v>
      </c>
      <c r="F166" s="54">
        <f t="shared" ca="1" si="9"/>
        <v>24</v>
      </c>
      <c r="G166" s="53" t="s">
        <v>8</v>
      </c>
      <c r="H166" s="52">
        <v>21220</v>
      </c>
      <c r="I166" s="51">
        <v>3</v>
      </c>
    </row>
    <row r="167" spans="1:9" x14ac:dyDescent="0.25">
      <c r="A167" s="56" t="s">
        <v>72</v>
      </c>
      <c r="B167" s="58" t="s">
        <v>17</v>
      </c>
      <c r="C167" s="56" t="s">
        <v>72</v>
      </c>
      <c r="D167" s="56" t="s">
        <v>5</v>
      </c>
      <c r="E167" s="55">
        <v>33774</v>
      </c>
      <c r="F167" s="54">
        <f t="shared" ca="1" si="9"/>
        <v>24</v>
      </c>
      <c r="G167" s="53" t="s">
        <v>8</v>
      </c>
      <c r="H167" s="52">
        <v>49260</v>
      </c>
      <c r="I167" s="51">
        <v>3</v>
      </c>
    </row>
    <row r="168" spans="1:9" x14ac:dyDescent="0.25">
      <c r="A168" s="56" t="s">
        <v>72</v>
      </c>
      <c r="B168" s="58" t="s">
        <v>13</v>
      </c>
      <c r="C168" s="56" t="s">
        <v>72</v>
      </c>
      <c r="D168" s="56" t="s">
        <v>15</v>
      </c>
      <c r="E168" s="55">
        <v>33876</v>
      </c>
      <c r="F168" s="54">
        <f t="shared" ca="1" si="9"/>
        <v>24</v>
      </c>
      <c r="G168" s="53" t="s">
        <v>8</v>
      </c>
      <c r="H168" s="52">
        <v>32835</v>
      </c>
      <c r="I168" s="51">
        <v>2</v>
      </c>
    </row>
    <row r="169" spans="1:9" x14ac:dyDescent="0.25">
      <c r="A169" s="56" t="s">
        <v>72</v>
      </c>
      <c r="B169" s="58" t="s">
        <v>13</v>
      </c>
      <c r="C169" s="56" t="s">
        <v>72</v>
      </c>
      <c r="D169" s="56" t="s">
        <v>5</v>
      </c>
      <c r="E169" s="55">
        <v>33943</v>
      </c>
      <c r="F169" s="54">
        <f t="shared" ca="1" si="9"/>
        <v>23</v>
      </c>
      <c r="G169" s="53" t="s">
        <v>32</v>
      </c>
      <c r="H169" s="52">
        <v>63780</v>
      </c>
      <c r="I169" s="51">
        <v>5</v>
      </c>
    </row>
    <row r="170" spans="1:9" x14ac:dyDescent="0.25">
      <c r="A170" s="56" t="s">
        <v>72</v>
      </c>
      <c r="B170" s="58" t="s">
        <v>13</v>
      </c>
      <c r="C170" s="56" t="s">
        <v>72</v>
      </c>
      <c r="D170" s="56" t="s">
        <v>5</v>
      </c>
      <c r="E170" s="55">
        <v>34191</v>
      </c>
      <c r="F170" s="54">
        <f t="shared" ca="1" si="9"/>
        <v>23</v>
      </c>
      <c r="G170" s="53" t="s">
        <v>4</v>
      </c>
      <c r="H170" s="52">
        <v>37750</v>
      </c>
      <c r="I170" s="51">
        <v>5</v>
      </c>
    </row>
    <row r="171" spans="1:9" x14ac:dyDescent="0.25">
      <c r="A171" s="56" t="s">
        <v>72</v>
      </c>
      <c r="B171" s="58" t="s">
        <v>17</v>
      </c>
      <c r="C171" s="56" t="s">
        <v>72</v>
      </c>
      <c r="D171" s="56" t="s">
        <v>5</v>
      </c>
      <c r="E171" s="55">
        <v>34295</v>
      </c>
      <c r="F171" s="54">
        <f t="shared" ca="1" si="9"/>
        <v>22</v>
      </c>
      <c r="G171" s="53" t="s">
        <v>4</v>
      </c>
      <c r="H171" s="52">
        <v>56870</v>
      </c>
      <c r="I171" s="51">
        <v>1</v>
      </c>
    </row>
    <row r="172" spans="1:9" x14ac:dyDescent="0.25">
      <c r="A172" s="56" t="s">
        <v>72</v>
      </c>
      <c r="B172" s="58" t="s">
        <v>17</v>
      </c>
      <c r="C172" s="56" t="s">
        <v>72</v>
      </c>
      <c r="D172" s="56" t="s">
        <v>12</v>
      </c>
      <c r="E172" s="55">
        <v>34629</v>
      </c>
      <c r="F172" s="54">
        <f t="shared" ca="1" si="9"/>
        <v>22</v>
      </c>
      <c r="G172" s="53"/>
      <c r="H172" s="52">
        <v>25120</v>
      </c>
      <c r="I172" s="51">
        <v>5</v>
      </c>
    </row>
    <row r="173" spans="1:9" x14ac:dyDescent="0.25">
      <c r="A173" s="56" t="s">
        <v>72</v>
      </c>
      <c r="B173" s="58" t="s">
        <v>56</v>
      </c>
      <c r="C173" s="56" t="s">
        <v>72</v>
      </c>
      <c r="D173" s="56" t="s">
        <v>5</v>
      </c>
      <c r="E173" s="55">
        <v>34679</v>
      </c>
      <c r="F173" s="54">
        <f t="shared" ca="1" si="9"/>
        <v>21</v>
      </c>
      <c r="G173" s="53" t="s">
        <v>34</v>
      </c>
      <c r="H173" s="52">
        <v>71010</v>
      </c>
      <c r="I173" s="51">
        <v>5</v>
      </c>
    </row>
    <row r="174" spans="1:9" x14ac:dyDescent="0.25">
      <c r="A174" s="56" t="s">
        <v>72</v>
      </c>
      <c r="B174" s="58" t="s">
        <v>56</v>
      </c>
      <c r="C174" s="56" t="s">
        <v>72</v>
      </c>
      <c r="D174" s="56" t="s">
        <v>5</v>
      </c>
      <c r="E174" s="55">
        <v>34772</v>
      </c>
      <c r="F174" s="54">
        <f t="shared" ca="1" si="9"/>
        <v>21</v>
      </c>
      <c r="G174" s="53" t="s">
        <v>4</v>
      </c>
      <c r="H174" s="52">
        <v>82400</v>
      </c>
      <c r="I174" s="51">
        <v>2</v>
      </c>
    </row>
    <row r="175" spans="1:9" x14ac:dyDescent="0.25">
      <c r="A175" s="56" t="s">
        <v>72</v>
      </c>
      <c r="B175" s="58" t="s">
        <v>10</v>
      </c>
      <c r="C175" s="56" t="s">
        <v>72</v>
      </c>
      <c r="D175" s="56" t="s">
        <v>0</v>
      </c>
      <c r="E175" s="55">
        <v>34953</v>
      </c>
      <c r="F175" s="54">
        <f t="shared" ca="1" si="9"/>
        <v>21</v>
      </c>
      <c r="G175" s="53"/>
      <c r="H175" s="52">
        <v>38768</v>
      </c>
      <c r="I175" s="51">
        <v>4</v>
      </c>
    </row>
    <row r="176" spans="1:9" x14ac:dyDescent="0.25">
      <c r="A176" s="56" t="s">
        <v>72</v>
      </c>
      <c r="B176" s="58" t="s">
        <v>10</v>
      </c>
      <c r="C176" s="56" t="s">
        <v>72</v>
      </c>
      <c r="D176" s="56" t="s">
        <v>5</v>
      </c>
      <c r="E176" s="55">
        <v>35104</v>
      </c>
      <c r="F176" s="54">
        <f t="shared" ca="1" si="9"/>
        <v>20</v>
      </c>
      <c r="G176" s="53" t="s">
        <v>8</v>
      </c>
      <c r="H176" s="52">
        <v>39680</v>
      </c>
      <c r="I176" s="51">
        <v>5</v>
      </c>
    </row>
    <row r="177" spans="1:9" x14ac:dyDescent="0.25">
      <c r="A177" s="56" t="s">
        <v>72</v>
      </c>
      <c r="B177" s="58" t="s">
        <v>39</v>
      </c>
      <c r="C177" s="56" t="s">
        <v>72</v>
      </c>
      <c r="D177" s="56" t="s">
        <v>5</v>
      </c>
      <c r="E177" s="55">
        <v>35333</v>
      </c>
      <c r="F177" s="54">
        <f t="shared" ca="1" si="9"/>
        <v>20</v>
      </c>
      <c r="G177" s="53" t="s">
        <v>4</v>
      </c>
      <c r="H177" s="52">
        <v>71380</v>
      </c>
      <c r="I177" s="51">
        <v>2</v>
      </c>
    </row>
    <row r="178" spans="1:9" x14ac:dyDescent="0.25">
      <c r="A178" s="56" t="s">
        <v>72</v>
      </c>
      <c r="B178" s="58" t="s">
        <v>17</v>
      </c>
      <c r="C178" s="56" t="s">
        <v>72</v>
      </c>
      <c r="D178" s="56" t="s">
        <v>5</v>
      </c>
      <c r="E178" s="55">
        <v>35978</v>
      </c>
      <c r="F178" s="54">
        <f t="shared" ca="1" si="9"/>
        <v>18</v>
      </c>
      <c r="G178" s="53" t="s">
        <v>32</v>
      </c>
      <c r="H178" s="52">
        <v>42480</v>
      </c>
      <c r="I178" s="51">
        <v>3</v>
      </c>
    </row>
    <row r="179" spans="1:9" x14ac:dyDescent="0.25">
      <c r="A179" s="56" t="s">
        <v>72</v>
      </c>
      <c r="B179" s="58" t="s">
        <v>13</v>
      </c>
      <c r="C179" s="56" t="s">
        <v>72</v>
      </c>
      <c r="D179" s="56" t="s">
        <v>12</v>
      </c>
      <c r="E179" s="55">
        <v>36331</v>
      </c>
      <c r="F179" s="54">
        <f t="shared" ca="1" si="9"/>
        <v>17</v>
      </c>
      <c r="G179" s="53"/>
      <c r="H179" s="52">
        <v>31970</v>
      </c>
      <c r="I179" s="51">
        <v>5</v>
      </c>
    </row>
    <row r="180" spans="1:9" x14ac:dyDescent="0.25">
      <c r="A180" s="56" t="s">
        <v>72</v>
      </c>
      <c r="B180" s="58" t="s">
        <v>13</v>
      </c>
      <c r="C180" s="56" t="s">
        <v>72</v>
      </c>
      <c r="D180" s="56" t="s">
        <v>5</v>
      </c>
      <c r="E180" s="55">
        <v>36825</v>
      </c>
      <c r="F180" s="54">
        <f t="shared" ca="1" si="9"/>
        <v>16</v>
      </c>
      <c r="G180" s="53" t="s">
        <v>19</v>
      </c>
      <c r="H180" s="52">
        <v>65560</v>
      </c>
      <c r="I180" s="51">
        <v>1</v>
      </c>
    </row>
    <row r="181" spans="1:9" x14ac:dyDescent="0.25">
      <c r="A181" s="56" t="s">
        <v>72</v>
      </c>
      <c r="B181" s="58" t="s">
        <v>13</v>
      </c>
      <c r="C181" s="56" t="s">
        <v>72</v>
      </c>
      <c r="D181" s="56" t="s">
        <v>5</v>
      </c>
      <c r="E181" s="55">
        <v>37443</v>
      </c>
      <c r="F181" s="54">
        <f t="shared" ca="1" si="9"/>
        <v>14</v>
      </c>
      <c r="G181" s="53" t="s">
        <v>32</v>
      </c>
      <c r="H181" s="52">
        <v>22410</v>
      </c>
      <c r="I181" s="51">
        <v>4</v>
      </c>
    </row>
    <row r="182" spans="1:9" x14ac:dyDescent="0.25">
      <c r="A182" s="56" t="s">
        <v>72</v>
      </c>
      <c r="B182" s="58" t="s">
        <v>17</v>
      </c>
      <c r="C182" s="56" t="s">
        <v>72</v>
      </c>
      <c r="D182" s="56" t="s">
        <v>15</v>
      </c>
      <c r="E182" s="55">
        <v>38458</v>
      </c>
      <c r="F182" s="54">
        <f t="shared" ca="1" si="9"/>
        <v>11</v>
      </c>
      <c r="G182" s="53" t="s">
        <v>32</v>
      </c>
      <c r="H182" s="52">
        <v>39515</v>
      </c>
      <c r="I182" s="51">
        <v>5</v>
      </c>
    </row>
    <row r="183" spans="1:9" x14ac:dyDescent="0.25">
      <c r="A183" s="56" t="s">
        <v>72</v>
      </c>
      <c r="B183" s="58" t="s">
        <v>17</v>
      </c>
      <c r="C183" s="56" t="s">
        <v>72</v>
      </c>
      <c r="D183" s="56" t="s">
        <v>0</v>
      </c>
      <c r="E183" s="55">
        <v>38583</v>
      </c>
      <c r="F183" s="54">
        <f t="shared" ca="1" si="9"/>
        <v>11</v>
      </c>
      <c r="G183" s="53"/>
      <c r="H183" s="52">
        <v>15744</v>
      </c>
      <c r="I183" s="51">
        <v>3</v>
      </c>
    </row>
    <row r="184" spans="1:9" x14ac:dyDescent="0.25">
      <c r="A184" s="56" t="s">
        <v>72</v>
      </c>
      <c r="B184" s="58" t="s">
        <v>56</v>
      </c>
      <c r="C184" s="56" t="s">
        <v>72</v>
      </c>
      <c r="D184" s="56" t="s">
        <v>12</v>
      </c>
      <c r="E184" s="55">
        <v>38744</v>
      </c>
      <c r="F184" s="54">
        <f t="shared" ca="1" si="9"/>
        <v>10</v>
      </c>
      <c r="G184" s="53"/>
      <c r="H184" s="52">
        <v>56920</v>
      </c>
      <c r="I184" s="51">
        <v>4</v>
      </c>
    </row>
    <row r="185" spans="1:9" x14ac:dyDescent="0.25">
      <c r="A185" s="56" t="s">
        <v>72</v>
      </c>
      <c r="B185" s="58" t="s">
        <v>17</v>
      </c>
      <c r="C185" s="56" t="s">
        <v>72</v>
      </c>
      <c r="D185" s="56" t="s">
        <v>12</v>
      </c>
      <c r="E185" s="59">
        <v>38926</v>
      </c>
      <c r="F185" s="54">
        <f t="shared" ca="1" si="9"/>
        <v>10</v>
      </c>
      <c r="G185" s="53"/>
      <c r="H185" s="52">
        <v>45830</v>
      </c>
      <c r="I185" s="51">
        <v>4</v>
      </c>
    </row>
    <row r="186" spans="1:9" x14ac:dyDescent="0.25">
      <c r="A186" s="56" t="s">
        <v>72</v>
      </c>
      <c r="B186" s="58" t="s">
        <v>2</v>
      </c>
      <c r="C186" s="56" t="s">
        <v>72</v>
      </c>
      <c r="D186" s="56" t="s">
        <v>12</v>
      </c>
      <c r="E186" s="55">
        <v>38949</v>
      </c>
      <c r="F186" s="54">
        <f t="shared" ca="1" si="9"/>
        <v>10</v>
      </c>
      <c r="G186" s="53"/>
      <c r="H186" s="52">
        <v>45710</v>
      </c>
      <c r="I186" s="51">
        <v>3</v>
      </c>
    </row>
    <row r="187" spans="1:9" x14ac:dyDescent="0.25">
      <c r="A187" s="56" t="s">
        <v>72</v>
      </c>
      <c r="B187" s="58" t="s">
        <v>17</v>
      </c>
      <c r="C187" s="56" t="s">
        <v>72</v>
      </c>
      <c r="D187" s="56" t="s">
        <v>5</v>
      </c>
      <c r="E187" s="55">
        <v>39089</v>
      </c>
      <c r="F187" s="54">
        <f t="shared" ca="1" si="9"/>
        <v>9</v>
      </c>
      <c r="G187" s="53" t="s">
        <v>19</v>
      </c>
      <c r="H187" s="52">
        <v>32640</v>
      </c>
      <c r="I187" s="51">
        <v>4</v>
      </c>
    </row>
    <row r="188" spans="1:9" x14ac:dyDescent="0.25">
      <c r="A188" s="56" t="s">
        <v>72</v>
      </c>
      <c r="B188" s="58" t="s">
        <v>13</v>
      </c>
      <c r="C188" s="56" t="s">
        <v>72</v>
      </c>
      <c r="D188" s="56" t="s">
        <v>5</v>
      </c>
      <c r="E188" s="55">
        <v>39160</v>
      </c>
      <c r="F188" s="54">
        <f t="shared" ca="1" si="9"/>
        <v>9</v>
      </c>
      <c r="G188" s="53" t="s">
        <v>4</v>
      </c>
      <c r="H188" s="52">
        <v>42620</v>
      </c>
      <c r="I188" s="51">
        <v>3</v>
      </c>
    </row>
    <row r="189" spans="1:9" x14ac:dyDescent="0.25">
      <c r="A189" s="57" t="s">
        <v>825</v>
      </c>
      <c r="B189" s="58"/>
      <c r="C189" s="57"/>
      <c r="D189" s="56"/>
      <c r="E189" s="55"/>
      <c r="F189" s="54"/>
      <c r="G189" s="53"/>
      <c r="H189" s="52"/>
      <c r="I189" s="51"/>
    </row>
    <row r="190" spans="1:9" x14ac:dyDescent="0.25">
      <c r="A190" s="56" t="s">
        <v>50</v>
      </c>
      <c r="B190" s="58" t="s">
        <v>17</v>
      </c>
      <c r="C190" s="56" t="s">
        <v>50</v>
      </c>
      <c r="D190" s="56" t="s">
        <v>5</v>
      </c>
      <c r="E190" s="55">
        <v>32075</v>
      </c>
      <c r="F190" s="54">
        <f t="shared" ref="F190:F197" ca="1" si="10">DATEDIF(E190,TODAY(),"Y")</f>
        <v>29</v>
      </c>
      <c r="G190" s="53" t="s">
        <v>32</v>
      </c>
      <c r="H190" s="52">
        <v>89140</v>
      </c>
      <c r="I190" s="51">
        <v>1</v>
      </c>
    </row>
    <row r="191" spans="1:9" x14ac:dyDescent="0.25">
      <c r="A191" s="56" t="s">
        <v>50</v>
      </c>
      <c r="B191" s="58" t="s">
        <v>17</v>
      </c>
      <c r="C191" s="56" t="s">
        <v>50</v>
      </c>
      <c r="D191" s="56" t="s">
        <v>15</v>
      </c>
      <c r="E191" s="55">
        <v>33091</v>
      </c>
      <c r="F191" s="54">
        <f t="shared" ca="1" si="10"/>
        <v>26</v>
      </c>
      <c r="G191" s="53" t="s">
        <v>19</v>
      </c>
      <c r="H191" s="52">
        <v>89780</v>
      </c>
      <c r="I191" s="51">
        <v>4</v>
      </c>
    </row>
    <row r="192" spans="1:9" x14ac:dyDescent="0.25">
      <c r="A192" s="56" t="s">
        <v>50</v>
      </c>
      <c r="B192" s="58" t="s">
        <v>17</v>
      </c>
      <c r="C192" s="56" t="s">
        <v>50</v>
      </c>
      <c r="D192" s="56" t="s">
        <v>0</v>
      </c>
      <c r="E192" s="55">
        <v>35209</v>
      </c>
      <c r="F192" s="54">
        <f t="shared" ca="1" si="10"/>
        <v>20</v>
      </c>
      <c r="G192" s="53" t="s">
        <v>4</v>
      </c>
      <c r="H192" s="52">
        <v>61860</v>
      </c>
      <c r="I192" s="51">
        <v>5</v>
      </c>
    </row>
    <row r="193" spans="1:9" x14ac:dyDescent="0.25">
      <c r="A193" s="56" t="s">
        <v>50</v>
      </c>
      <c r="B193" s="58" t="s">
        <v>10</v>
      </c>
      <c r="C193" s="56" t="s">
        <v>50</v>
      </c>
      <c r="D193" s="56" t="s">
        <v>12</v>
      </c>
      <c r="E193" s="55">
        <v>35363</v>
      </c>
      <c r="F193" s="54">
        <f t="shared" ca="1" si="10"/>
        <v>20</v>
      </c>
      <c r="G193" s="53" t="s">
        <v>4</v>
      </c>
      <c r="H193" s="52">
        <v>69410</v>
      </c>
      <c r="I193" s="51">
        <v>4</v>
      </c>
    </row>
    <row r="194" spans="1:9" x14ac:dyDescent="0.25">
      <c r="A194" s="56" t="s">
        <v>50</v>
      </c>
      <c r="B194" s="58" t="s">
        <v>10</v>
      </c>
      <c r="C194" s="56" t="s">
        <v>50</v>
      </c>
      <c r="D194" s="56" t="s">
        <v>5</v>
      </c>
      <c r="E194" s="55">
        <v>35733</v>
      </c>
      <c r="F194" s="54">
        <f t="shared" ca="1" si="10"/>
        <v>19</v>
      </c>
      <c r="G194" s="53" t="s">
        <v>34</v>
      </c>
      <c r="H194" s="52">
        <v>45150</v>
      </c>
      <c r="I194" s="51">
        <v>1</v>
      </c>
    </row>
    <row r="195" spans="1:9" x14ac:dyDescent="0.25">
      <c r="A195" s="56" t="s">
        <v>50</v>
      </c>
      <c r="B195" s="58" t="s">
        <v>13</v>
      </c>
      <c r="C195" s="56" t="s">
        <v>50</v>
      </c>
      <c r="D195" s="56" t="s">
        <v>15</v>
      </c>
      <c r="E195" s="55">
        <v>36195</v>
      </c>
      <c r="F195" s="54">
        <f t="shared" ca="1" si="10"/>
        <v>17</v>
      </c>
      <c r="G195" s="53" t="s">
        <v>8</v>
      </c>
      <c r="H195" s="52">
        <v>51800</v>
      </c>
      <c r="I195" s="51">
        <v>1</v>
      </c>
    </row>
    <row r="196" spans="1:9" x14ac:dyDescent="0.25">
      <c r="A196" s="56" t="s">
        <v>50</v>
      </c>
      <c r="B196" s="58" t="s">
        <v>13</v>
      </c>
      <c r="C196" s="56" t="s">
        <v>50</v>
      </c>
      <c r="D196" s="56" t="s">
        <v>0</v>
      </c>
      <c r="E196" s="55">
        <v>36636</v>
      </c>
      <c r="F196" s="54">
        <f t="shared" ca="1" si="10"/>
        <v>16</v>
      </c>
      <c r="G196" s="53" t="s">
        <v>32</v>
      </c>
      <c r="H196" s="52">
        <v>85130</v>
      </c>
      <c r="I196" s="51">
        <v>5</v>
      </c>
    </row>
    <row r="197" spans="1:9" x14ac:dyDescent="0.25">
      <c r="A197" s="56" t="s">
        <v>50</v>
      </c>
      <c r="B197" s="58" t="s">
        <v>56</v>
      </c>
      <c r="C197" s="56" t="s">
        <v>50</v>
      </c>
      <c r="D197" s="56" t="s">
        <v>12</v>
      </c>
      <c r="E197" s="55">
        <v>38953</v>
      </c>
      <c r="F197" s="54">
        <f t="shared" ca="1" si="10"/>
        <v>10</v>
      </c>
      <c r="G197" s="53" t="s">
        <v>19</v>
      </c>
      <c r="H197" s="52">
        <v>71190</v>
      </c>
      <c r="I197" s="51">
        <v>4</v>
      </c>
    </row>
    <row r="198" spans="1:9" x14ac:dyDescent="0.25">
      <c r="A198" s="57" t="s">
        <v>824</v>
      </c>
      <c r="B198" s="58"/>
      <c r="C198" s="57"/>
      <c r="D198" s="56"/>
      <c r="E198" s="55"/>
      <c r="F198" s="54"/>
      <c r="G198" s="53"/>
      <c r="H198" s="52"/>
      <c r="I198" s="51"/>
    </row>
    <row r="199" spans="1:9" x14ac:dyDescent="0.25">
      <c r="A199" s="56" t="s">
        <v>20</v>
      </c>
      <c r="B199" s="58" t="s">
        <v>13</v>
      </c>
      <c r="C199" s="56" t="s">
        <v>20</v>
      </c>
      <c r="D199" s="56" t="s">
        <v>5</v>
      </c>
      <c r="E199" s="55">
        <v>32303</v>
      </c>
      <c r="F199" s="54">
        <f t="shared" ref="F199:F230" ca="1" si="11">DATEDIF(E199,TODAY(),"Y")</f>
        <v>28</v>
      </c>
      <c r="G199" s="53" t="s">
        <v>770</v>
      </c>
      <c r="H199" s="52">
        <v>56900</v>
      </c>
      <c r="I199" s="51">
        <v>5</v>
      </c>
    </row>
    <row r="200" spans="1:9" x14ac:dyDescent="0.25">
      <c r="A200" s="56" t="s">
        <v>20</v>
      </c>
      <c r="B200" s="58" t="s">
        <v>17</v>
      </c>
      <c r="C200" s="56" t="s">
        <v>20</v>
      </c>
      <c r="D200" s="56" t="s">
        <v>5</v>
      </c>
      <c r="E200" s="55">
        <v>32321</v>
      </c>
      <c r="F200" s="54">
        <f t="shared" ca="1" si="11"/>
        <v>28</v>
      </c>
      <c r="G200" s="53" t="s">
        <v>32</v>
      </c>
      <c r="H200" s="52">
        <v>52940</v>
      </c>
      <c r="I200" s="51">
        <v>4</v>
      </c>
    </row>
    <row r="201" spans="1:9" x14ac:dyDescent="0.25">
      <c r="A201" s="56" t="s">
        <v>20</v>
      </c>
      <c r="B201" s="58" t="s">
        <v>17</v>
      </c>
      <c r="C201" s="56" t="s">
        <v>20</v>
      </c>
      <c r="D201" s="56" t="s">
        <v>5</v>
      </c>
      <c r="E201" s="55">
        <v>32338</v>
      </c>
      <c r="F201" s="54">
        <f t="shared" ca="1" si="11"/>
        <v>28</v>
      </c>
      <c r="G201" s="53" t="s">
        <v>8</v>
      </c>
      <c r="H201" s="52">
        <v>60380</v>
      </c>
      <c r="I201" s="51">
        <v>4</v>
      </c>
    </row>
    <row r="202" spans="1:9" x14ac:dyDescent="0.25">
      <c r="A202" s="56" t="s">
        <v>20</v>
      </c>
      <c r="B202" s="58" t="s">
        <v>39</v>
      </c>
      <c r="C202" s="56" t="s">
        <v>20</v>
      </c>
      <c r="D202" s="56" t="s">
        <v>5</v>
      </c>
      <c r="E202" s="55">
        <v>32410</v>
      </c>
      <c r="F202" s="54">
        <f t="shared" ca="1" si="11"/>
        <v>28</v>
      </c>
      <c r="G202" s="53" t="s">
        <v>4</v>
      </c>
      <c r="H202" s="52">
        <v>58910</v>
      </c>
      <c r="I202" s="51">
        <v>1</v>
      </c>
    </row>
    <row r="203" spans="1:9" x14ac:dyDescent="0.25">
      <c r="A203" s="56" t="s">
        <v>20</v>
      </c>
      <c r="B203" s="58" t="s">
        <v>17</v>
      </c>
      <c r="C203" s="56" t="s">
        <v>20</v>
      </c>
      <c r="D203" s="56" t="s">
        <v>5</v>
      </c>
      <c r="E203" s="55">
        <v>32411</v>
      </c>
      <c r="F203" s="54">
        <f t="shared" ca="1" si="11"/>
        <v>28</v>
      </c>
      <c r="G203" s="53" t="s">
        <v>4</v>
      </c>
      <c r="H203" s="52">
        <v>26190</v>
      </c>
      <c r="I203" s="51">
        <v>5</v>
      </c>
    </row>
    <row r="204" spans="1:9" x14ac:dyDescent="0.25">
      <c r="A204" s="56" t="s">
        <v>20</v>
      </c>
      <c r="B204" s="58" t="s">
        <v>10</v>
      </c>
      <c r="C204" s="56" t="s">
        <v>20</v>
      </c>
      <c r="D204" s="56" t="s">
        <v>0</v>
      </c>
      <c r="E204" s="55">
        <v>32441</v>
      </c>
      <c r="F204" s="54">
        <f t="shared" ca="1" si="11"/>
        <v>28</v>
      </c>
      <c r="G204" s="53"/>
      <c r="H204" s="52">
        <v>22344</v>
      </c>
      <c r="I204" s="51">
        <v>4</v>
      </c>
    </row>
    <row r="205" spans="1:9" x14ac:dyDescent="0.25">
      <c r="A205" s="56" t="s">
        <v>20</v>
      </c>
      <c r="B205" s="58" t="s">
        <v>13</v>
      </c>
      <c r="C205" s="56" t="s">
        <v>20</v>
      </c>
      <c r="D205" s="56" t="s">
        <v>12</v>
      </c>
      <c r="E205" s="55">
        <v>32464</v>
      </c>
      <c r="F205" s="54">
        <f t="shared" ca="1" si="11"/>
        <v>27</v>
      </c>
      <c r="G205" s="53"/>
      <c r="H205" s="52">
        <v>32190</v>
      </c>
      <c r="I205" s="51">
        <v>3</v>
      </c>
    </row>
    <row r="206" spans="1:9" x14ac:dyDescent="0.25">
      <c r="A206" s="56" t="s">
        <v>20</v>
      </c>
      <c r="B206" s="58" t="s">
        <v>17</v>
      </c>
      <c r="C206" s="56" t="s">
        <v>20</v>
      </c>
      <c r="D206" s="56" t="s">
        <v>12</v>
      </c>
      <c r="E206" s="55">
        <v>32509</v>
      </c>
      <c r="F206" s="54">
        <f t="shared" ca="1" si="11"/>
        <v>27</v>
      </c>
      <c r="G206" s="53"/>
      <c r="H206" s="52">
        <v>49530</v>
      </c>
      <c r="I206" s="51">
        <v>2</v>
      </c>
    </row>
    <row r="207" spans="1:9" x14ac:dyDescent="0.25">
      <c r="A207" s="56" t="s">
        <v>20</v>
      </c>
      <c r="B207" s="58" t="s">
        <v>17</v>
      </c>
      <c r="C207" s="56" t="s">
        <v>20</v>
      </c>
      <c r="D207" s="56" t="s">
        <v>12</v>
      </c>
      <c r="E207" s="55">
        <v>32669</v>
      </c>
      <c r="F207" s="54">
        <f t="shared" ca="1" si="11"/>
        <v>27</v>
      </c>
      <c r="G207" s="53"/>
      <c r="H207" s="52">
        <v>73990</v>
      </c>
      <c r="I207" s="51">
        <v>3</v>
      </c>
    </row>
    <row r="208" spans="1:9" x14ac:dyDescent="0.25">
      <c r="A208" s="56" t="s">
        <v>20</v>
      </c>
      <c r="B208" s="58" t="s">
        <v>17</v>
      </c>
      <c r="C208" s="56" t="s">
        <v>20</v>
      </c>
      <c r="D208" s="56" t="s">
        <v>5</v>
      </c>
      <c r="E208" s="55">
        <v>32683</v>
      </c>
      <c r="F208" s="54">
        <f t="shared" ca="1" si="11"/>
        <v>27</v>
      </c>
      <c r="G208" s="53" t="s">
        <v>4</v>
      </c>
      <c r="H208" s="52">
        <v>45500</v>
      </c>
      <c r="I208" s="51">
        <v>3</v>
      </c>
    </row>
    <row r="209" spans="1:9" x14ac:dyDescent="0.25">
      <c r="A209" s="56" t="s">
        <v>20</v>
      </c>
      <c r="B209" s="58" t="s">
        <v>56</v>
      </c>
      <c r="C209" s="56" t="s">
        <v>20</v>
      </c>
      <c r="D209" s="56" t="s">
        <v>12</v>
      </c>
      <c r="E209" s="55">
        <v>32721</v>
      </c>
      <c r="F209" s="54">
        <f t="shared" ca="1" si="11"/>
        <v>27</v>
      </c>
      <c r="G209" s="53"/>
      <c r="H209" s="52">
        <v>64430</v>
      </c>
      <c r="I209" s="51">
        <v>4</v>
      </c>
    </row>
    <row r="210" spans="1:9" x14ac:dyDescent="0.25">
      <c r="A210" s="56" t="s">
        <v>20</v>
      </c>
      <c r="B210" s="58" t="s">
        <v>39</v>
      </c>
      <c r="C210" s="56" t="s">
        <v>20</v>
      </c>
      <c r="D210" s="56" t="s">
        <v>12</v>
      </c>
      <c r="E210" s="55">
        <v>32743</v>
      </c>
      <c r="F210" s="54">
        <f t="shared" ca="1" si="11"/>
        <v>27</v>
      </c>
      <c r="G210" s="53"/>
      <c r="H210" s="52">
        <v>79220</v>
      </c>
      <c r="I210" s="51">
        <v>4</v>
      </c>
    </row>
    <row r="211" spans="1:9" x14ac:dyDescent="0.25">
      <c r="A211" s="56" t="s">
        <v>20</v>
      </c>
      <c r="B211" s="58" t="s">
        <v>10</v>
      </c>
      <c r="C211" s="56" t="s">
        <v>20</v>
      </c>
      <c r="D211" s="56" t="s">
        <v>5</v>
      </c>
      <c r="E211" s="55">
        <v>32758</v>
      </c>
      <c r="F211" s="54">
        <f t="shared" ca="1" si="11"/>
        <v>27</v>
      </c>
      <c r="G211" s="53" t="s">
        <v>4</v>
      </c>
      <c r="H211" s="52">
        <v>23330</v>
      </c>
      <c r="I211" s="51">
        <v>4</v>
      </c>
    </row>
    <row r="212" spans="1:9" x14ac:dyDescent="0.25">
      <c r="A212" s="56" t="s">
        <v>20</v>
      </c>
      <c r="B212" s="58" t="s">
        <v>17</v>
      </c>
      <c r="C212" s="56" t="s">
        <v>20</v>
      </c>
      <c r="D212" s="56" t="s">
        <v>12</v>
      </c>
      <c r="E212" s="55">
        <v>32839</v>
      </c>
      <c r="F212" s="54">
        <f t="shared" ca="1" si="11"/>
        <v>26</v>
      </c>
      <c r="G212" s="53"/>
      <c r="H212" s="52">
        <v>45770</v>
      </c>
      <c r="I212" s="51">
        <v>5</v>
      </c>
    </row>
    <row r="213" spans="1:9" x14ac:dyDescent="0.25">
      <c r="A213" s="56" t="s">
        <v>20</v>
      </c>
      <c r="B213" s="58" t="s">
        <v>17</v>
      </c>
      <c r="C213" s="56" t="s">
        <v>20</v>
      </c>
      <c r="D213" s="56" t="s">
        <v>5</v>
      </c>
      <c r="E213" s="55">
        <v>32841</v>
      </c>
      <c r="F213" s="54">
        <f t="shared" ca="1" si="11"/>
        <v>26</v>
      </c>
      <c r="G213" s="53" t="s">
        <v>4</v>
      </c>
      <c r="H213" s="52">
        <v>81980</v>
      </c>
      <c r="I213" s="51">
        <v>2</v>
      </c>
    </row>
    <row r="214" spans="1:9" x14ac:dyDescent="0.25">
      <c r="A214" s="56" t="s">
        <v>20</v>
      </c>
      <c r="B214" s="58" t="s">
        <v>39</v>
      </c>
      <c r="C214" s="56" t="s">
        <v>20</v>
      </c>
      <c r="D214" s="56" t="s">
        <v>15</v>
      </c>
      <c r="E214" s="55">
        <v>32853</v>
      </c>
      <c r="F214" s="54">
        <f t="shared" ca="1" si="11"/>
        <v>26</v>
      </c>
      <c r="G214" s="53" t="s">
        <v>34</v>
      </c>
      <c r="H214" s="52">
        <v>18895</v>
      </c>
      <c r="I214" s="51">
        <v>4</v>
      </c>
    </row>
    <row r="215" spans="1:9" x14ac:dyDescent="0.25">
      <c r="A215" s="56" t="s">
        <v>20</v>
      </c>
      <c r="B215" s="58" t="s">
        <v>10</v>
      </c>
      <c r="C215" s="56" t="s">
        <v>20</v>
      </c>
      <c r="D215" s="56" t="s">
        <v>0</v>
      </c>
      <c r="E215" s="55">
        <v>32855</v>
      </c>
      <c r="F215" s="54">
        <f t="shared" ca="1" si="11"/>
        <v>26</v>
      </c>
      <c r="G215" s="53"/>
      <c r="H215" s="52">
        <v>30416</v>
      </c>
      <c r="I215" s="51">
        <v>1</v>
      </c>
    </row>
    <row r="216" spans="1:9" x14ac:dyDescent="0.25">
      <c r="A216" s="56" t="s">
        <v>20</v>
      </c>
      <c r="B216" s="58" t="s">
        <v>10</v>
      </c>
      <c r="C216" s="56" t="s">
        <v>20</v>
      </c>
      <c r="D216" s="56" t="s">
        <v>12</v>
      </c>
      <c r="E216" s="55">
        <v>32955</v>
      </c>
      <c r="F216" s="54">
        <f t="shared" ca="1" si="11"/>
        <v>26</v>
      </c>
      <c r="G216" s="53"/>
      <c r="H216" s="52">
        <v>35460</v>
      </c>
      <c r="I216" s="51">
        <v>3</v>
      </c>
    </row>
    <row r="217" spans="1:9" x14ac:dyDescent="0.25">
      <c r="A217" s="56" t="s">
        <v>20</v>
      </c>
      <c r="B217" s="58" t="s">
        <v>17</v>
      </c>
      <c r="C217" s="56" t="s">
        <v>20</v>
      </c>
      <c r="D217" s="56" t="s">
        <v>5</v>
      </c>
      <c r="E217" s="55">
        <v>33094</v>
      </c>
      <c r="F217" s="54">
        <f t="shared" ca="1" si="11"/>
        <v>26</v>
      </c>
      <c r="G217" s="53" t="s">
        <v>4</v>
      </c>
      <c r="H217" s="52">
        <v>24710</v>
      </c>
      <c r="I217" s="51">
        <v>2</v>
      </c>
    </row>
    <row r="218" spans="1:9" x14ac:dyDescent="0.25">
      <c r="A218" s="56" t="s">
        <v>20</v>
      </c>
      <c r="B218" s="58" t="s">
        <v>17</v>
      </c>
      <c r="C218" s="56" t="s">
        <v>20</v>
      </c>
      <c r="D218" s="56" t="s">
        <v>12</v>
      </c>
      <c r="E218" s="55">
        <v>33115</v>
      </c>
      <c r="F218" s="54">
        <f t="shared" ca="1" si="11"/>
        <v>26</v>
      </c>
      <c r="G218" s="53"/>
      <c r="H218" s="52">
        <v>63310</v>
      </c>
      <c r="I218" s="51">
        <v>3</v>
      </c>
    </row>
    <row r="219" spans="1:9" x14ac:dyDescent="0.25">
      <c r="A219" s="56" t="s">
        <v>20</v>
      </c>
      <c r="B219" s="58" t="s">
        <v>56</v>
      </c>
      <c r="C219" s="56" t="s">
        <v>20</v>
      </c>
      <c r="D219" s="56" t="s">
        <v>5</v>
      </c>
      <c r="E219" s="55">
        <v>33173</v>
      </c>
      <c r="F219" s="54">
        <f t="shared" ca="1" si="11"/>
        <v>26</v>
      </c>
      <c r="G219" s="53" t="s">
        <v>32</v>
      </c>
      <c r="H219" s="52">
        <v>81010</v>
      </c>
      <c r="I219" s="51">
        <v>4</v>
      </c>
    </row>
    <row r="220" spans="1:9" x14ac:dyDescent="0.25">
      <c r="A220" s="56" t="s">
        <v>20</v>
      </c>
      <c r="B220" s="58" t="s">
        <v>39</v>
      </c>
      <c r="C220" s="56" t="s">
        <v>20</v>
      </c>
      <c r="D220" s="56" t="s">
        <v>5</v>
      </c>
      <c r="E220" s="55">
        <v>33231</v>
      </c>
      <c r="F220" s="54">
        <f t="shared" ca="1" si="11"/>
        <v>25</v>
      </c>
      <c r="G220" s="53" t="s">
        <v>8</v>
      </c>
      <c r="H220" s="52">
        <v>34480</v>
      </c>
      <c r="I220" s="51">
        <v>3</v>
      </c>
    </row>
    <row r="221" spans="1:9" x14ac:dyDescent="0.25">
      <c r="A221" s="56" t="s">
        <v>20</v>
      </c>
      <c r="B221" s="58" t="s">
        <v>56</v>
      </c>
      <c r="C221" s="56" t="s">
        <v>20</v>
      </c>
      <c r="D221" s="56" t="s">
        <v>15</v>
      </c>
      <c r="E221" s="55">
        <v>33273</v>
      </c>
      <c r="F221" s="54">
        <f t="shared" ca="1" si="11"/>
        <v>25</v>
      </c>
      <c r="G221" s="53" t="s">
        <v>34</v>
      </c>
      <c r="H221" s="52">
        <v>15260</v>
      </c>
      <c r="I221" s="51">
        <v>2</v>
      </c>
    </row>
    <row r="222" spans="1:9" x14ac:dyDescent="0.25">
      <c r="A222" s="56" t="s">
        <v>20</v>
      </c>
      <c r="B222" s="58" t="s">
        <v>2</v>
      </c>
      <c r="C222" s="56" t="s">
        <v>20</v>
      </c>
      <c r="D222" s="56" t="s">
        <v>12</v>
      </c>
      <c r="E222" s="55">
        <v>33361</v>
      </c>
      <c r="F222" s="54">
        <f t="shared" ca="1" si="11"/>
        <v>25</v>
      </c>
      <c r="G222" s="53"/>
      <c r="H222" s="52">
        <v>80690</v>
      </c>
      <c r="I222" s="51">
        <v>3</v>
      </c>
    </row>
    <row r="223" spans="1:9" x14ac:dyDescent="0.25">
      <c r="A223" s="56" t="s">
        <v>20</v>
      </c>
      <c r="B223" s="58" t="s">
        <v>56</v>
      </c>
      <c r="C223" s="56" t="s">
        <v>20</v>
      </c>
      <c r="D223" s="56" t="s">
        <v>5</v>
      </c>
      <c r="E223" s="55">
        <v>33475</v>
      </c>
      <c r="F223" s="54">
        <f t="shared" ca="1" si="11"/>
        <v>25</v>
      </c>
      <c r="G223" s="53" t="s">
        <v>32</v>
      </c>
      <c r="H223" s="52">
        <v>24300</v>
      </c>
      <c r="I223" s="51">
        <v>3</v>
      </c>
    </row>
    <row r="224" spans="1:9" x14ac:dyDescent="0.25">
      <c r="A224" s="56" t="s">
        <v>20</v>
      </c>
      <c r="B224" s="58" t="s">
        <v>13</v>
      </c>
      <c r="C224" s="56" t="s">
        <v>20</v>
      </c>
      <c r="D224" s="56" t="s">
        <v>5</v>
      </c>
      <c r="E224" s="55">
        <v>33571</v>
      </c>
      <c r="F224" s="54">
        <f t="shared" ca="1" si="11"/>
        <v>24</v>
      </c>
      <c r="G224" s="53" t="s">
        <v>34</v>
      </c>
      <c r="H224" s="52">
        <v>63070</v>
      </c>
      <c r="I224" s="51">
        <v>1</v>
      </c>
    </row>
    <row r="225" spans="1:9" x14ac:dyDescent="0.25">
      <c r="A225" s="56" t="s">
        <v>20</v>
      </c>
      <c r="B225" s="58" t="s">
        <v>13</v>
      </c>
      <c r="C225" s="56" t="s">
        <v>20</v>
      </c>
      <c r="D225" s="56" t="s">
        <v>5</v>
      </c>
      <c r="E225" s="55">
        <v>33661</v>
      </c>
      <c r="F225" s="54">
        <f t="shared" ca="1" si="11"/>
        <v>24</v>
      </c>
      <c r="G225" s="53" t="s">
        <v>4</v>
      </c>
      <c r="H225" s="52">
        <v>67050</v>
      </c>
      <c r="I225" s="51">
        <v>4</v>
      </c>
    </row>
    <row r="226" spans="1:9" x14ac:dyDescent="0.25">
      <c r="A226" s="56" t="s">
        <v>20</v>
      </c>
      <c r="B226" s="58" t="s">
        <v>39</v>
      </c>
      <c r="C226" s="56" t="s">
        <v>20</v>
      </c>
      <c r="D226" s="56" t="s">
        <v>5</v>
      </c>
      <c r="E226" s="55">
        <v>33710</v>
      </c>
      <c r="F226" s="54">
        <f t="shared" ca="1" si="11"/>
        <v>24</v>
      </c>
      <c r="G226" s="53" t="s">
        <v>34</v>
      </c>
      <c r="H226" s="52">
        <v>38940</v>
      </c>
      <c r="I226" s="51">
        <v>2</v>
      </c>
    </row>
    <row r="227" spans="1:9" x14ac:dyDescent="0.25">
      <c r="A227" s="56" t="s">
        <v>20</v>
      </c>
      <c r="B227" s="58" t="s">
        <v>13</v>
      </c>
      <c r="C227" s="56" t="s">
        <v>20</v>
      </c>
      <c r="D227" s="56" t="s">
        <v>5</v>
      </c>
      <c r="E227" s="55">
        <v>33714</v>
      </c>
      <c r="F227" s="54">
        <f t="shared" ca="1" si="11"/>
        <v>24</v>
      </c>
      <c r="G227" s="53" t="s">
        <v>4</v>
      </c>
      <c r="H227" s="52">
        <v>73072</v>
      </c>
      <c r="I227" s="51">
        <v>5</v>
      </c>
    </row>
    <row r="228" spans="1:9" x14ac:dyDescent="0.25">
      <c r="A228" s="56" t="s">
        <v>20</v>
      </c>
      <c r="B228" s="58" t="s">
        <v>17</v>
      </c>
      <c r="C228" s="56" t="s">
        <v>20</v>
      </c>
      <c r="D228" s="56" t="s">
        <v>5</v>
      </c>
      <c r="E228" s="55">
        <v>33846</v>
      </c>
      <c r="F228" s="54">
        <f t="shared" ca="1" si="11"/>
        <v>24</v>
      </c>
      <c r="G228" s="53" t="s">
        <v>4</v>
      </c>
      <c r="H228" s="52">
        <v>86260</v>
      </c>
      <c r="I228" s="51">
        <v>3</v>
      </c>
    </row>
    <row r="229" spans="1:9" x14ac:dyDescent="0.25">
      <c r="A229" s="56" t="s">
        <v>20</v>
      </c>
      <c r="B229" s="58" t="s">
        <v>13</v>
      </c>
      <c r="C229" s="56" t="s">
        <v>20</v>
      </c>
      <c r="D229" s="56" t="s">
        <v>12</v>
      </c>
      <c r="E229" s="55">
        <v>33875</v>
      </c>
      <c r="F229" s="54">
        <f t="shared" ca="1" si="11"/>
        <v>24</v>
      </c>
      <c r="G229" s="53"/>
      <c r="H229" s="52">
        <v>24410</v>
      </c>
      <c r="I229" s="51">
        <v>3</v>
      </c>
    </row>
    <row r="230" spans="1:9" x14ac:dyDescent="0.25">
      <c r="A230" s="56" t="s">
        <v>20</v>
      </c>
      <c r="B230" s="58" t="s">
        <v>17</v>
      </c>
      <c r="C230" s="56" t="s">
        <v>20</v>
      </c>
      <c r="D230" s="56" t="s">
        <v>5</v>
      </c>
      <c r="E230" s="55">
        <v>33878</v>
      </c>
      <c r="F230" s="54">
        <f t="shared" ca="1" si="11"/>
        <v>24</v>
      </c>
      <c r="G230" s="53" t="s">
        <v>4</v>
      </c>
      <c r="H230" s="52">
        <v>44270</v>
      </c>
      <c r="I230" s="51">
        <v>2</v>
      </c>
    </row>
    <row r="231" spans="1:9" x14ac:dyDescent="0.25">
      <c r="A231" s="56" t="s">
        <v>20</v>
      </c>
      <c r="B231" s="58" t="s">
        <v>13</v>
      </c>
      <c r="C231" s="56" t="s">
        <v>20</v>
      </c>
      <c r="D231" s="56" t="s">
        <v>15</v>
      </c>
      <c r="E231" s="55">
        <v>33879</v>
      </c>
      <c r="F231" s="54">
        <f t="shared" ref="F231:F262" ca="1" si="12">DATEDIF(E231,TODAY(),"Y")</f>
        <v>24</v>
      </c>
      <c r="G231" s="53" t="s">
        <v>32</v>
      </c>
      <c r="H231" s="52">
        <v>46285</v>
      </c>
      <c r="I231" s="51">
        <v>5</v>
      </c>
    </row>
    <row r="232" spans="1:9" x14ac:dyDescent="0.25">
      <c r="A232" s="56" t="s">
        <v>20</v>
      </c>
      <c r="B232" s="58" t="s">
        <v>13</v>
      </c>
      <c r="C232" s="56" t="s">
        <v>20</v>
      </c>
      <c r="D232" s="56" t="s">
        <v>5</v>
      </c>
      <c r="E232" s="55">
        <v>33889</v>
      </c>
      <c r="F232" s="54">
        <f t="shared" ca="1" si="12"/>
        <v>24</v>
      </c>
      <c r="G232" s="53" t="s">
        <v>32</v>
      </c>
      <c r="H232" s="52">
        <v>73450</v>
      </c>
      <c r="I232" s="51">
        <v>3</v>
      </c>
    </row>
    <row r="233" spans="1:9" x14ac:dyDescent="0.25">
      <c r="A233" s="56" t="s">
        <v>20</v>
      </c>
      <c r="B233" s="58" t="s">
        <v>56</v>
      </c>
      <c r="C233" s="56" t="s">
        <v>20</v>
      </c>
      <c r="D233" s="56" t="s">
        <v>5</v>
      </c>
      <c r="E233" s="55">
        <v>34001</v>
      </c>
      <c r="F233" s="54">
        <f t="shared" ca="1" si="12"/>
        <v>23</v>
      </c>
      <c r="G233" s="53" t="s">
        <v>19</v>
      </c>
      <c r="H233" s="52">
        <v>39520</v>
      </c>
      <c r="I233" s="51">
        <v>5</v>
      </c>
    </row>
    <row r="234" spans="1:9" x14ac:dyDescent="0.25">
      <c r="A234" s="56" t="s">
        <v>20</v>
      </c>
      <c r="B234" s="58" t="s">
        <v>56</v>
      </c>
      <c r="C234" s="56" t="s">
        <v>20</v>
      </c>
      <c r="D234" s="56" t="s">
        <v>15</v>
      </c>
      <c r="E234" s="55">
        <v>34033</v>
      </c>
      <c r="F234" s="54">
        <f t="shared" ca="1" si="12"/>
        <v>23</v>
      </c>
      <c r="G234" s="53" t="s">
        <v>32</v>
      </c>
      <c r="H234" s="52">
        <v>46645</v>
      </c>
      <c r="I234" s="51">
        <v>5</v>
      </c>
    </row>
    <row r="235" spans="1:9" x14ac:dyDescent="0.25">
      <c r="A235" s="56" t="s">
        <v>20</v>
      </c>
      <c r="B235" s="58" t="s">
        <v>17</v>
      </c>
      <c r="C235" s="56" t="s">
        <v>20</v>
      </c>
      <c r="D235" s="56" t="s">
        <v>12</v>
      </c>
      <c r="E235" s="55">
        <v>34039</v>
      </c>
      <c r="F235" s="54">
        <f t="shared" ca="1" si="12"/>
        <v>23</v>
      </c>
      <c r="G235" s="53"/>
      <c r="H235" s="52">
        <v>52940</v>
      </c>
      <c r="I235" s="51">
        <v>4</v>
      </c>
    </row>
    <row r="236" spans="1:9" x14ac:dyDescent="0.25">
      <c r="A236" s="56" t="s">
        <v>20</v>
      </c>
      <c r="B236" s="58" t="s">
        <v>17</v>
      </c>
      <c r="C236" s="56" t="s">
        <v>20</v>
      </c>
      <c r="D236" s="56" t="s">
        <v>5</v>
      </c>
      <c r="E236" s="55">
        <v>34046</v>
      </c>
      <c r="F236" s="54">
        <f t="shared" ca="1" si="12"/>
        <v>23</v>
      </c>
      <c r="G236" s="53" t="s">
        <v>34</v>
      </c>
      <c r="H236" s="52">
        <v>45480</v>
      </c>
      <c r="I236" s="51">
        <v>4</v>
      </c>
    </row>
    <row r="237" spans="1:9" x14ac:dyDescent="0.25">
      <c r="A237" s="56" t="s">
        <v>20</v>
      </c>
      <c r="B237" s="58" t="s">
        <v>2</v>
      </c>
      <c r="C237" s="56" t="s">
        <v>20</v>
      </c>
      <c r="D237" s="56" t="s">
        <v>12</v>
      </c>
      <c r="E237" s="55">
        <v>34050</v>
      </c>
      <c r="F237" s="54">
        <f t="shared" ca="1" si="12"/>
        <v>23</v>
      </c>
      <c r="G237" s="53"/>
      <c r="H237" s="52">
        <v>28260</v>
      </c>
      <c r="I237" s="51">
        <v>5</v>
      </c>
    </row>
    <row r="238" spans="1:9" x14ac:dyDescent="0.25">
      <c r="A238" s="56" t="s">
        <v>20</v>
      </c>
      <c r="B238" s="58" t="s">
        <v>2</v>
      </c>
      <c r="C238" s="56" t="s">
        <v>20</v>
      </c>
      <c r="D238" s="56" t="s">
        <v>5</v>
      </c>
      <c r="E238" s="55">
        <v>34051</v>
      </c>
      <c r="F238" s="54">
        <f t="shared" ca="1" si="12"/>
        <v>23</v>
      </c>
      <c r="G238" s="53" t="s">
        <v>32</v>
      </c>
      <c r="H238" s="52">
        <v>59320</v>
      </c>
      <c r="I238" s="51">
        <v>4</v>
      </c>
    </row>
    <row r="239" spans="1:9" x14ac:dyDescent="0.25">
      <c r="A239" s="56" t="s">
        <v>20</v>
      </c>
      <c r="B239" s="58" t="s">
        <v>17</v>
      </c>
      <c r="C239" s="56" t="s">
        <v>20</v>
      </c>
      <c r="D239" s="56" t="s">
        <v>12</v>
      </c>
      <c r="E239" s="55">
        <v>34069</v>
      </c>
      <c r="F239" s="54">
        <f t="shared" ca="1" si="12"/>
        <v>23</v>
      </c>
      <c r="G239" s="53"/>
      <c r="H239" s="52">
        <v>66010</v>
      </c>
      <c r="I239" s="51">
        <v>2</v>
      </c>
    </row>
    <row r="240" spans="1:9" x14ac:dyDescent="0.25">
      <c r="A240" s="56" t="s">
        <v>20</v>
      </c>
      <c r="B240" s="58" t="s">
        <v>17</v>
      </c>
      <c r="C240" s="56" t="s">
        <v>20</v>
      </c>
      <c r="D240" s="56" t="s">
        <v>12</v>
      </c>
      <c r="E240" s="55">
        <v>34141</v>
      </c>
      <c r="F240" s="54">
        <f t="shared" ca="1" si="12"/>
        <v>23</v>
      </c>
      <c r="G240" s="53"/>
      <c r="H240" s="52">
        <v>42150</v>
      </c>
      <c r="I240" s="51">
        <v>5</v>
      </c>
    </row>
    <row r="241" spans="1:9" x14ac:dyDescent="0.25">
      <c r="A241" s="56" t="s">
        <v>20</v>
      </c>
      <c r="B241" s="58" t="s">
        <v>39</v>
      </c>
      <c r="C241" s="56" t="s">
        <v>20</v>
      </c>
      <c r="D241" s="56" t="s">
        <v>0</v>
      </c>
      <c r="E241" s="55">
        <v>34180</v>
      </c>
      <c r="F241" s="54">
        <f t="shared" ca="1" si="12"/>
        <v>23</v>
      </c>
      <c r="G241" s="53"/>
      <c r="H241" s="52">
        <v>22472</v>
      </c>
      <c r="I241" s="51">
        <v>1</v>
      </c>
    </row>
    <row r="242" spans="1:9" x14ac:dyDescent="0.25">
      <c r="A242" s="56" t="s">
        <v>20</v>
      </c>
      <c r="B242" s="58" t="s">
        <v>39</v>
      </c>
      <c r="C242" s="56" t="s">
        <v>20</v>
      </c>
      <c r="D242" s="56" t="s">
        <v>5</v>
      </c>
      <c r="E242" s="55">
        <v>34201</v>
      </c>
      <c r="F242" s="54">
        <f t="shared" ca="1" si="12"/>
        <v>23</v>
      </c>
      <c r="G242" s="53" t="s">
        <v>4</v>
      </c>
      <c r="H242" s="52">
        <v>73144</v>
      </c>
      <c r="I242" s="51">
        <v>5</v>
      </c>
    </row>
    <row r="243" spans="1:9" x14ac:dyDescent="0.25">
      <c r="A243" s="56" t="s">
        <v>20</v>
      </c>
      <c r="B243" s="58" t="s">
        <v>17</v>
      </c>
      <c r="C243" s="56" t="s">
        <v>20</v>
      </c>
      <c r="D243" s="56" t="s">
        <v>5</v>
      </c>
      <c r="E243" s="55">
        <v>34210</v>
      </c>
      <c r="F243" s="54">
        <f t="shared" ca="1" si="12"/>
        <v>23</v>
      </c>
      <c r="G243" s="53" t="s">
        <v>32</v>
      </c>
      <c r="H243" s="52">
        <v>79730</v>
      </c>
      <c r="I243" s="51">
        <v>2</v>
      </c>
    </row>
    <row r="244" spans="1:9" x14ac:dyDescent="0.25">
      <c r="A244" s="56" t="s">
        <v>20</v>
      </c>
      <c r="B244" s="58" t="s">
        <v>13</v>
      </c>
      <c r="C244" s="56" t="s">
        <v>20</v>
      </c>
      <c r="D244" s="56" t="s">
        <v>5</v>
      </c>
      <c r="E244" s="55">
        <v>34216</v>
      </c>
      <c r="F244" s="54">
        <f t="shared" ca="1" si="12"/>
        <v>23</v>
      </c>
      <c r="G244" s="53" t="s">
        <v>4</v>
      </c>
      <c r="H244" s="52">
        <v>32390</v>
      </c>
      <c r="I244" s="51">
        <v>2</v>
      </c>
    </row>
    <row r="245" spans="1:9" x14ac:dyDescent="0.25">
      <c r="A245" s="56" t="s">
        <v>20</v>
      </c>
      <c r="B245" s="58" t="s">
        <v>10</v>
      </c>
      <c r="C245" s="56" t="s">
        <v>20</v>
      </c>
      <c r="D245" s="56" t="s">
        <v>5</v>
      </c>
      <c r="E245" s="55">
        <v>34219</v>
      </c>
      <c r="F245" s="54">
        <f t="shared" ca="1" si="12"/>
        <v>23</v>
      </c>
      <c r="G245" s="53" t="s">
        <v>19</v>
      </c>
      <c r="H245" s="52">
        <v>44920</v>
      </c>
      <c r="I245" s="51">
        <v>1</v>
      </c>
    </row>
    <row r="246" spans="1:9" x14ac:dyDescent="0.25">
      <c r="A246" s="56" t="s">
        <v>20</v>
      </c>
      <c r="B246" s="58" t="s">
        <v>17</v>
      </c>
      <c r="C246" s="56" t="s">
        <v>20</v>
      </c>
      <c r="D246" s="56" t="s">
        <v>5</v>
      </c>
      <c r="E246" s="55">
        <v>34279</v>
      </c>
      <c r="F246" s="54">
        <f t="shared" ca="1" si="12"/>
        <v>22</v>
      </c>
      <c r="G246" s="53" t="s">
        <v>32</v>
      </c>
      <c r="H246" s="52">
        <v>60280</v>
      </c>
      <c r="I246" s="51">
        <v>1</v>
      </c>
    </row>
    <row r="247" spans="1:9" x14ac:dyDescent="0.25">
      <c r="A247" s="56" t="s">
        <v>20</v>
      </c>
      <c r="B247" s="58" t="s">
        <v>56</v>
      </c>
      <c r="C247" s="56" t="s">
        <v>20</v>
      </c>
      <c r="D247" s="56" t="s">
        <v>5</v>
      </c>
      <c r="E247" s="55">
        <v>34281</v>
      </c>
      <c r="F247" s="54">
        <f t="shared" ca="1" si="12"/>
        <v>22</v>
      </c>
      <c r="G247" s="53" t="s">
        <v>4</v>
      </c>
      <c r="H247" s="52">
        <v>61150</v>
      </c>
      <c r="I247" s="51">
        <v>2</v>
      </c>
    </row>
    <row r="248" spans="1:9" x14ac:dyDescent="0.25">
      <c r="A248" s="56" t="s">
        <v>20</v>
      </c>
      <c r="B248" s="58" t="s">
        <v>17</v>
      </c>
      <c r="C248" s="56" t="s">
        <v>20</v>
      </c>
      <c r="D248" s="56" t="s">
        <v>5</v>
      </c>
      <c r="E248" s="55">
        <v>34385</v>
      </c>
      <c r="F248" s="54">
        <f t="shared" ca="1" si="12"/>
        <v>22</v>
      </c>
      <c r="G248" s="53" t="s">
        <v>32</v>
      </c>
      <c r="H248" s="52">
        <v>60100</v>
      </c>
      <c r="I248" s="51">
        <v>1</v>
      </c>
    </row>
    <row r="249" spans="1:9" x14ac:dyDescent="0.25">
      <c r="A249" s="56" t="s">
        <v>20</v>
      </c>
      <c r="B249" s="58" t="s">
        <v>13</v>
      </c>
      <c r="C249" s="56" t="s">
        <v>20</v>
      </c>
      <c r="D249" s="56" t="s">
        <v>5</v>
      </c>
      <c r="E249" s="55">
        <v>34393</v>
      </c>
      <c r="F249" s="54">
        <f t="shared" ca="1" si="12"/>
        <v>22</v>
      </c>
      <c r="G249" s="53" t="s">
        <v>34</v>
      </c>
      <c r="H249" s="52">
        <v>66430</v>
      </c>
      <c r="I249" s="51">
        <v>2</v>
      </c>
    </row>
    <row r="250" spans="1:9" x14ac:dyDescent="0.25">
      <c r="A250" s="56" t="s">
        <v>20</v>
      </c>
      <c r="B250" s="58" t="s">
        <v>39</v>
      </c>
      <c r="C250" s="56" t="s">
        <v>20</v>
      </c>
      <c r="D250" s="56" t="s">
        <v>5</v>
      </c>
      <c r="E250" s="55">
        <v>34404</v>
      </c>
      <c r="F250" s="54">
        <f t="shared" ca="1" si="12"/>
        <v>22</v>
      </c>
      <c r="G250" s="53" t="s">
        <v>34</v>
      </c>
      <c r="H250" s="52">
        <v>70020</v>
      </c>
      <c r="I250" s="51">
        <v>3</v>
      </c>
    </row>
    <row r="251" spans="1:9" x14ac:dyDescent="0.25">
      <c r="A251" s="56" t="s">
        <v>20</v>
      </c>
      <c r="B251" s="58" t="s">
        <v>56</v>
      </c>
      <c r="C251" s="56" t="s">
        <v>20</v>
      </c>
      <c r="D251" s="56" t="s">
        <v>5</v>
      </c>
      <c r="E251" s="55">
        <v>34491</v>
      </c>
      <c r="F251" s="54">
        <f t="shared" ca="1" si="12"/>
        <v>22</v>
      </c>
      <c r="G251" s="53" t="s">
        <v>32</v>
      </c>
      <c r="H251" s="52">
        <v>78570</v>
      </c>
      <c r="I251" s="51">
        <v>1</v>
      </c>
    </row>
    <row r="252" spans="1:9" x14ac:dyDescent="0.25">
      <c r="A252" s="56" t="s">
        <v>20</v>
      </c>
      <c r="B252" s="58" t="s">
        <v>56</v>
      </c>
      <c r="C252" s="56" t="s">
        <v>20</v>
      </c>
      <c r="D252" s="56" t="s">
        <v>15</v>
      </c>
      <c r="E252" s="55">
        <v>34497</v>
      </c>
      <c r="F252" s="54">
        <f t="shared" ca="1" si="12"/>
        <v>22</v>
      </c>
      <c r="G252" s="53" t="s">
        <v>32</v>
      </c>
      <c r="H252" s="52">
        <v>48835</v>
      </c>
      <c r="I252" s="51">
        <v>5</v>
      </c>
    </row>
    <row r="253" spans="1:9" x14ac:dyDescent="0.25">
      <c r="A253" s="56" t="s">
        <v>20</v>
      </c>
      <c r="B253" s="58" t="s">
        <v>39</v>
      </c>
      <c r="C253" s="56" t="s">
        <v>20</v>
      </c>
      <c r="D253" s="56" t="s">
        <v>0</v>
      </c>
      <c r="E253" s="55">
        <v>34519</v>
      </c>
      <c r="F253" s="54">
        <f t="shared" ca="1" si="12"/>
        <v>22</v>
      </c>
      <c r="G253" s="53"/>
      <c r="H253" s="52">
        <v>29176</v>
      </c>
      <c r="I253" s="51">
        <v>3</v>
      </c>
    </row>
    <row r="254" spans="1:9" x14ac:dyDescent="0.25">
      <c r="A254" s="56" t="s">
        <v>20</v>
      </c>
      <c r="B254" s="58" t="s">
        <v>2</v>
      </c>
      <c r="C254" s="56" t="s">
        <v>20</v>
      </c>
      <c r="D254" s="56" t="s">
        <v>5</v>
      </c>
      <c r="E254" s="55">
        <v>34520</v>
      </c>
      <c r="F254" s="54">
        <f t="shared" ca="1" si="12"/>
        <v>22</v>
      </c>
      <c r="G254" s="53" t="s">
        <v>19</v>
      </c>
      <c r="H254" s="52">
        <v>35460</v>
      </c>
      <c r="I254" s="51">
        <v>5</v>
      </c>
    </row>
    <row r="255" spans="1:9" x14ac:dyDescent="0.25">
      <c r="A255" s="56" t="s">
        <v>20</v>
      </c>
      <c r="B255" s="58" t="s">
        <v>56</v>
      </c>
      <c r="C255" s="56" t="s">
        <v>20</v>
      </c>
      <c r="D255" s="56" t="s">
        <v>12</v>
      </c>
      <c r="E255" s="55">
        <v>34617</v>
      </c>
      <c r="F255" s="54">
        <f t="shared" ca="1" si="12"/>
        <v>22</v>
      </c>
      <c r="G255" s="53"/>
      <c r="H255" s="52">
        <v>76910</v>
      </c>
      <c r="I255" s="51">
        <v>1</v>
      </c>
    </row>
    <row r="256" spans="1:9" x14ac:dyDescent="0.25">
      <c r="A256" s="56" t="s">
        <v>20</v>
      </c>
      <c r="B256" s="58" t="s">
        <v>13</v>
      </c>
      <c r="C256" s="56" t="s">
        <v>20</v>
      </c>
      <c r="D256" s="56" t="s">
        <v>5</v>
      </c>
      <c r="E256" s="55">
        <v>34622</v>
      </c>
      <c r="F256" s="54">
        <f t="shared" ca="1" si="12"/>
        <v>22</v>
      </c>
      <c r="G256" s="53" t="s">
        <v>4</v>
      </c>
      <c r="H256" s="52">
        <v>89740</v>
      </c>
      <c r="I256" s="51">
        <v>5</v>
      </c>
    </row>
    <row r="257" spans="1:9" x14ac:dyDescent="0.25">
      <c r="A257" s="56" t="s">
        <v>20</v>
      </c>
      <c r="B257" s="58" t="s">
        <v>39</v>
      </c>
      <c r="C257" s="56" t="s">
        <v>20</v>
      </c>
      <c r="D257" s="56" t="s">
        <v>5</v>
      </c>
      <c r="E257" s="55">
        <v>34628</v>
      </c>
      <c r="F257" s="54">
        <f t="shared" ca="1" si="12"/>
        <v>22</v>
      </c>
      <c r="G257" s="53" t="s">
        <v>19</v>
      </c>
      <c r="H257" s="52">
        <v>55450</v>
      </c>
      <c r="I257" s="51">
        <v>5</v>
      </c>
    </row>
    <row r="258" spans="1:9" x14ac:dyDescent="0.25">
      <c r="A258" s="56" t="s">
        <v>20</v>
      </c>
      <c r="B258" s="58" t="s">
        <v>13</v>
      </c>
      <c r="C258" s="56" t="s">
        <v>20</v>
      </c>
      <c r="D258" s="56" t="s">
        <v>12</v>
      </c>
      <c r="E258" s="55">
        <v>34662</v>
      </c>
      <c r="F258" s="54">
        <f t="shared" ca="1" si="12"/>
        <v>21</v>
      </c>
      <c r="G258" s="53"/>
      <c r="H258" s="52">
        <v>71710</v>
      </c>
      <c r="I258" s="51">
        <v>5</v>
      </c>
    </row>
    <row r="259" spans="1:9" x14ac:dyDescent="0.25">
      <c r="A259" s="56" t="s">
        <v>20</v>
      </c>
      <c r="B259" s="58" t="s">
        <v>13</v>
      </c>
      <c r="C259" s="56" t="s">
        <v>20</v>
      </c>
      <c r="D259" s="56" t="s">
        <v>0</v>
      </c>
      <c r="E259" s="55">
        <v>34672</v>
      </c>
      <c r="F259" s="54">
        <f t="shared" ca="1" si="12"/>
        <v>21</v>
      </c>
      <c r="G259" s="53"/>
      <c r="H259" s="52">
        <v>8904</v>
      </c>
      <c r="I259" s="51">
        <v>3</v>
      </c>
    </row>
    <row r="260" spans="1:9" x14ac:dyDescent="0.25">
      <c r="A260" s="56" t="s">
        <v>20</v>
      </c>
      <c r="B260" s="58" t="s">
        <v>17</v>
      </c>
      <c r="C260" s="56" t="s">
        <v>20</v>
      </c>
      <c r="D260" s="56" t="s">
        <v>12</v>
      </c>
      <c r="E260" s="55">
        <v>34682</v>
      </c>
      <c r="F260" s="54">
        <f t="shared" ca="1" si="12"/>
        <v>21</v>
      </c>
      <c r="G260" s="53"/>
      <c r="H260" s="52">
        <v>68260</v>
      </c>
      <c r="I260" s="51">
        <v>5</v>
      </c>
    </row>
    <row r="261" spans="1:9" x14ac:dyDescent="0.25">
      <c r="A261" s="56" t="s">
        <v>20</v>
      </c>
      <c r="B261" s="58" t="s">
        <v>17</v>
      </c>
      <c r="C261" s="56" t="s">
        <v>20</v>
      </c>
      <c r="D261" s="56" t="s">
        <v>5</v>
      </c>
      <c r="E261" s="55">
        <v>34686</v>
      </c>
      <c r="F261" s="54">
        <f t="shared" ca="1" si="12"/>
        <v>21</v>
      </c>
      <c r="G261" s="53" t="s">
        <v>32</v>
      </c>
      <c r="H261" s="52">
        <v>40340</v>
      </c>
      <c r="I261" s="51">
        <v>2</v>
      </c>
    </row>
    <row r="262" spans="1:9" x14ac:dyDescent="0.25">
      <c r="A262" s="56" t="s">
        <v>20</v>
      </c>
      <c r="B262" s="58" t="s">
        <v>13</v>
      </c>
      <c r="C262" s="56" t="s">
        <v>20</v>
      </c>
      <c r="D262" s="56" t="s">
        <v>12</v>
      </c>
      <c r="E262" s="55">
        <v>34687</v>
      </c>
      <c r="F262" s="54">
        <f t="shared" ca="1" si="12"/>
        <v>21</v>
      </c>
      <c r="G262" s="53"/>
      <c r="H262" s="52">
        <v>72520</v>
      </c>
      <c r="I262" s="51">
        <v>3</v>
      </c>
    </row>
    <row r="263" spans="1:9" x14ac:dyDescent="0.25">
      <c r="A263" s="56" t="s">
        <v>20</v>
      </c>
      <c r="B263" s="58" t="s">
        <v>17</v>
      </c>
      <c r="C263" s="56" t="s">
        <v>20</v>
      </c>
      <c r="D263" s="56" t="s">
        <v>5</v>
      </c>
      <c r="E263" s="55">
        <v>34699</v>
      </c>
      <c r="F263" s="54">
        <f t="shared" ref="F263:F294" ca="1" si="13">DATEDIF(E263,TODAY(),"Y")</f>
        <v>21</v>
      </c>
      <c r="G263" s="53" t="s">
        <v>32</v>
      </c>
      <c r="H263" s="52">
        <v>75120</v>
      </c>
      <c r="I263" s="51">
        <v>5</v>
      </c>
    </row>
    <row r="264" spans="1:9" x14ac:dyDescent="0.25">
      <c r="A264" s="56" t="s">
        <v>20</v>
      </c>
      <c r="B264" s="58" t="s">
        <v>10</v>
      </c>
      <c r="C264" s="56" t="s">
        <v>20</v>
      </c>
      <c r="D264" s="56" t="s">
        <v>12</v>
      </c>
      <c r="E264" s="55">
        <v>34701</v>
      </c>
      <c r="F264" s="54">
        <f t="shared" ca="1" si="13"/>
        <v>21</v>
      </c>
      <c r="G264" s="53"/>
      <c r="H264" s="52">
        <v>45050</v>
      </c>
      <c r="I264" s="51">
        <v>1</v>
      </c>
    </row>
    <row r="265" spans="1:9" x14ac:dyDescent="0.25">
      <c r="A265" s="56" t="s">
        <v>20</v>
      </c>
      <c r="B265" s="58" t="s">
        <v>10</v>
      </c>
      <c r="C265" s="56" t="s">
        <v>20</v>
      </c>
      <c r="D265" s="56" t="s">
        <v>0</v>
      </c>
      <c r="E265" s="55">
        <v>34757</v>
      </c>
      <c r="F265" s="54">
        <f t="shared" ca="1" si="13"/>
        <v>21</v>
      </c>
      <c r="G265" s="53"/>
      <c r="H265" s="52">
        <v>37612</v>
      </c>
      <c r="I265" s="51">
        <v>4</v>
      </c>
    </row>
    <row r="266" spans="1:9" x14ac:dyDescent="0.25">
      <c r="A266" s="56" t="s">
        <v>20</v>
      </c>
      <c r="B266" s="58" t="s">
        <v>10</v>
      </c>
      <c r="C266" s="56" t="s">
        <v>20</v>
      </c>
      <c r="D266" s="56" t="s">
        <v>0</v>
      </c>
      <c r="E266" s="55">
        <v>34757</v>
      </c>
      <c r="F266" s="54">
        <f t="shared" ca="1" si="13"/>
        <v>21</v>
      </c>
      <c r="G266" s="53"/>
      <c r="H266" s="52">
        <v>37612</v>
      </c>
      <c r="I266" s="51">
        <v>4</v>
      </c>
    </row>
    <row r="267" spans="1:9" x14ac:dyDescent="0.25">
      <c r="A267" s="56" t="s">
        <v>20</v>
      </c>
      <c r="B267" s="58" t="s">
        <v>10</v>
      </c>
      <c r="C267" s="56" t="s">
        <v>20</v>
      </c>
      <c r="D267" s="56" t="s">
        <v>5</v>
      </c>
      <c r="E267" s="55">
        <v>34774</v>
      </c>
      <c r="F267" s="54">
        <f t="shared" ca="1" si="13"/>
        <v>21</v>
      </c>
      <c r="G267" s="53" t="s">
        <v>32</v>
      </c>
      <c r="H267" s="52">
        <v>33210</v>
      </c>
      <c r="I267" s="51">
        <v>4</v>
      </c>
    </row>
    <row r="268" spans="1:9" x14ac:dyDescent="0.25">
      <c r="A268" s="56" t="s">
        <v>20</v>
      </c>
      <c r="B268" s="58" t="s">
        <v>17</v>
      </c>
      <c r="C268" s="56" t="s">
        <v>20</v>
      </c>
      <c r="D268" s="56" t="s">
        <v>5</v>
      </c>
      <c r="E268" s="55">
        <v>34791</v>
      </c>
      <c r="F268" s="54">
        <f t="shared" ca="1" si="13"/>
        <v>21</v>
      </c>
      <c r="G268" s="53" t="s">
        <v>32</v>
      </c>
      <c r="H268" s="52">
        <v>88240</v>
      </c>
      <c r="I268" s="51">
        <v>5</v>
      </c>
    </row>
    <row r="269" spans="1:9" x14ac:dyDescent="0.25">
      <c r="A269" s="56" t="s">
        <v>20</v>
      </c>
      <c r="B269" s="58" t="s">
        <v>39</v>
      </c>
      <c r="C269" s="56" t="s">
        <v>20</v>
      </c>
      <c r="D269" s="56" t="s">
        <v>5</v>
      </c>
      <c r="E269" s="55">
        <v>34812</v>
      </c>
      <c r="F269" s="54">
        <f t="shared" ca="1" si="13"/>
        <v>21</v>
      </c>
      <c r="G269" s="53" t="s">
        <v>34</v>
      </c>
      <c r="H269" s="52">
        <v>22660</v>
      </c>
      <c r="I269" s="51">
        <v>2</v>
      </c>
    </row>
    <row r="270" spans="1:9" x14ac:dyDescent="0.25">
      <c r="A270" s="56" t="s">
        <v>20</v>
      </c>
      <c r="B270" s="58" t="s">
        <v>17</v>
      </c>
      <c r="C270" s="56" t="s">
        <v>20</v>
      </c>
      <c r="D270" s="56" t="s">
        <v>15</v>
      </c>
      <c r="E270" s="55">
        <v>34867</v>
      </c>
      <c r="F270" s="54">
        <f t="shared" ca="1" si="13"/>
        <v>21</v>
      </c>
      <c r="G270" s="53" t="s">
        <v>19</v>
      </c>
      <c r="H270" s="52">
        <v>21670</v>
      </c>
      <c r="I270" s="51">
        <v>2</v>
      </c>
    </row>
    <row r="271" spans="1:9" x14ac:dyDescent="0.25">
      <c r="A271" s="56" t="s">
        <v>20</v>
      </c>
      <c r="B271" s="58" t="s">
        <v>56</v>
      </c>
      <c r="C271" s="56" t="s">
        <v>20</v>
      </c>
      <c r="D271" s="56" t="s">
        <v>5</v>
      </c>
      <c r="E271" s="55">
        <v>34888</v>
      </c>
      <c r="F271" s="54">
        <f t="shared" ca="1" si="13"/>
        <v>21</v>
      </c>
      <c r="G271" s="53" t="s">
        <v>8</v>
      </c>
      <c r="H271" s="52">
        <v>81400</v>
      </c>
      <c r="I271" s="51">
        <v>2</v>
      </c>
    </row>
    <row r="272" spans="1:9" x14ac:dyDescent="0.25">
      <c r="A272" s="56" t="s">
        <v>20</v>
      </c>
      <c r="B272" s="58" t="s">
        <v>17</v>
      </c>
      <c r="C272" s="56" t="s">
        <v>20</v>
      </c>
      <c r="D272" s="56" t="s">
        <v>15</v>
      </c>
      <c r="E272" s="55">
        <v>34959</v>
      </c>
      <c r="F272" s="54">
        <f t="shared" ca="1" si="13"/>
        <v>21</v>
      </c>
      <c r="G272" s="53" t="s">
        <v>4</v>
      </c>
      <c r="H272" s="52">
        <v>48190</v>
      </c>
      <c r="I272" s="51">
        <v>1</v>
      </c>
    </row>
    <row r="273" spans="1:9" x14ac:dyDescent="0.25">
      <c r="A273" s="56" t="s">
        <v>20</v>
      </c>
      <c r="B273" s="58" t="s">
        <v>17</v>
      </c>
      <c r="C273" s="56" t="s">
        <v>20</v>
      </c>
      <c r="D273" s="56" t="s">
        <v>15</v>
      </c>
      <c r="E273" s="55">
        <v>34959</v>
      </c>
      <c r="F273" s="54">
        <f t="shared" ca="1" si="13"/>
        <v>21</v>
      </c>
      <c r="G273" s="53" t="s">
        <v>4</v>
      </c>
      <c r="H273" s="52">
        <v>48190</v>
      </c>
      <c r="I273" s="51">
        <v>1</v>
      </c>
    </row>
    <row r="274" spans="1:9" x14ac:dyDescent="0.25">
      <c r="A274" s="56" t="s">
        <v>20</v>
      </c>
      <c r="B274" s="58" t="s">
        <v>17</v>
      </c>
      <c r="C274" s="56" t="s">
        <v>20</v>
      </c>
      <c r="D274" s="56" t="s">
        <v>5</v>
      </c>
      <c r="E274" s="55">
        <v>34963</v>
      </c>
      <c r="F274" s="54">
        <f t="shared" ca="1" si="13"/>
        <v>21</v>
      </c>
      <c r="G274" s="53" t="s">
        <v>4</v>
      </c>
      <c r="H274" s="52">
        <v>61330</v>
      </c>
      <c r="I274" s="51">
        <v>4</v>
      </c>
    </row>
    <row r="275" spans="1:9" x14ac:dyDescent="0.25">
      <c r="A275" s="56" t="s">
        <v>20</v>
      </c>
      <c r="B275" s="58" t="s">
        <v>10</v>
      </c>
      <c r="C275" s="56" t="s">
        <v>20</v>
      </c>
      <c r="D275" s="56" t="s">
        <v>12</v>
      </c>
      <c r="E275" s="55">
        <v>34973</v>
      </c>
      <c r="F275" s="54">
        <f t="shared" ca="1" si="13"/>
        <v>21</v>
      </c>
      <c r="G275" s="53"/>
      <c r="H275" s="52">
        <v>25130</v>
      </c>
      <c r="I275" s="51">
        <v>5</v>
      </c>
    </row>
    <row r="276" spans="1:9" x14ac:dyDescent="0.25">
      <c r="A276" s="56" t="s">
        <v>20</v>
      </c>
      <c r="B276" s="58" t="s">
        <v>17</v>
      </c>
      <c r="C276" s="56" t="s">
        <v>20</v>
      </c>
      <c r="D276" s="56" t="s">
        <v>0</v>
      </c>
      <c r="E276" s="55">
        <v>34995</v>
      </c>
      <c r="F276" s="54">
        <f t="shared" ca="1" si="13"/>
        <v>21</v>
      </c>
      <c r="G276" s="53"/>
      <c r="H276" s="52">
        <v>9424</v>
      </c>
      <c r="I276" s="51">
        <v>4</v>
      </c>
    </row>
    <row r="277" spans="1:9" x14ac:dyDescent="0.25">
      <c r="A277" s="56" t="s">
        <v>20</v>
      </c>
      <c r="B277" s="58" t="s">
        <v>13</v>
      </c>
      <c r="C277" s="56" t="s">
        <v>20</v>
      </c>
      <c r="D277" s="56" t="s">
        <v>5</v>
      </c>
      <c r="E277" s="55">
        <v>35008</v>
      </c>
      <c r="F277" s="54">
        <f t="shared" ca="1" si="13"/>
        <v>20</v>
      </c>
      <c r="G277" s="53" t="s">
        <v>4</v>
      </c>
      <c r="H277" s="52">
        <v>68750</v>
      </c>
      <c r="I277" s="51">
        <v>1</v>
      </c>
    </row>
    <row r="278" spans="1:9" x14ac:dyDescent="0.25">
      <c r="A278" s="56" t="s">
        <v>20</v>
      </c>
      <c r="B278" s="58" t="s">
        <v>13</v>
      </c>
      <c r="C278" s="56" t="s">
        <v>20</v>
      </c>
      <c r="D278" s="56" t="s">
        <v>5</v>
      </c>
      <c r="E278" s="55">
        <v>35022</v>
      </c>
      <c r="F278" s="54">
        <f t="shared" ca="1" si="13"/>
        <v>20</v>
      </c>
      <c r="G278" s="53" t="s">
        <v>19</v>
      </c>
      <c r="H278" s="52">
        <v>37760</v>
      </c>
      <c r="I278" s="51">
        <v>2</v>
      </c>
    </row>
    <row r="279" spans="1:9" x14ac:dyDescent="0.25">
      <c r="A279" s="56" t="s">
        <v>20</v>
      </c>
      <c r="B279" s="58" t="s">
        <v>2</v>
      </c>
      <c r="C279" s="56" t="s">
        <v>20</v>
      </c>
      <c r="D279" s="56" t="s">
        <v>12</v>
      </c>
      <c r="E279" s="55">
        <v>35040</v>
      </c>
      <c r="F279" s="54">
        <f t="shared" ca="1" si="13"/>
        <v>20</v>
      </c>
      <c r="G279" s="53"/>
      <c r="H279" s="52">
        <v>27380</v>
      </c>
      <c r="I279" s="51">
        <v>3</v>
      </c>
    </row>
    <row r="280" spans="1:9" x14ac:dyDescent="0.25">
      <c r="A280" s="56" t="s">
        <v>20</v>
      </c>
      <c r="B280" s="58" t="s">
        <v>13</v>
      </c>
      <c r="C280" s="56" t="s">
        <v>20</v>
      </c>
      <c r="D280" s="56" t="s">
        <v>15</v>
      </c>
      <c r="E280" s="55">
        <v>35050</v>
      </c>
      <c r="F280" s="54">
        <f t="shared" ca="1" si="13"/>
        <v>20</v>
      </c>
      <c r="G280" s="53" t="s">
        <v>4</v>
      </c>
      <c r="H280" s="52">
        <v>11065</v>
      </c>
      <c r="I280" s="51">
        <v>1</v>
      </c>
    </row>
    <row r="281" spans="1:9" x14ac:dyDescent="0.25">
      <c r="A281" s="56" t="s">
        <v>20</v>
      </c>
      <c r="B281" s="58" t="s">
        <v>10</v>
      </c>
      <c r="C281" s="56" t="s">
        <v>20</v>
      </c>
      <c r="D281" s="56" t="s">
        <v>5</v>
      </c>
      <c r="E281" s="55">
        <v>35103</v>
      </c>
      <c r="F281" s="54">
        <f t="shared" ca="1" si="13"/>
        <v>20</v>
      </c>
      <c r="G281" s="53" t="s">
        <v>32</v>
      </c>
      <c r="H281" s="52">
        <v>40060</v>
      </c>
      <c r="I281" s="51">
        <v>3</v>
      </c>
    </row>
    <row r="282" spans="1:9" x14ac:dyDescent="0.25">
      <c r="A282" s="56" t="s">
        <v>20</v>
      </c>
      <c r="B282" s="58" t="s">
        <v>13</v>
      </c>
      <c r="C282" s="56" t="s">
        <v>20</v>
      </c>
      <c r="D282" s="56" t="s">
        <v>15</v>
      </c>
      <c r="E282" s="55">
        <v>35112</v>
      </c>
      <c r="F282" s="54">
        <f t="shared" ca="1" si="13"/>
        <v>20</v>
      </c>
      <c r="G282" s="53" t="s">
        <v>4</v>
      </c>
      <c r="H282" s="52">
        <v>17270</v>
      </c>
      <c r="I282" s="51">
        <v>5</v>
      </c>
    </row>
    <row r="283" spans="1:9" x14ac:dyDescent="0.25">
      <c r="A283" s="56" t="s">
        <v>20</v>
      </c>
      <c r="B283" s="58" t="s">
        <v>13</v>
      </c>
      <c r="C283" s="56" t="s">
        <v>20</v>
      </c>
      <c r="D283" s="56" t="s">
        <v>5</v>
      </c>
      <c r="E283" s="55">
        <v>35121</v>
      </c>
      <c r="F283" s="54">
        <f t="shared" ca="1" si="13"/>
        <v>20</v>
      </c>
      <c r="G283" s="53" t="s">
        <v>32</v>
      </c>
      <c r="H283" s="52">
        <v>35820</v>
      </c>
      <c r="I283" s="51">
        <v>2</v>
      </c>
    </row>
    <row r="284" spans="1:9" x14ac:dyDescent="0.25">
      <c r="A284" s="56" t="s">
        <v>20</v>
      </c>
      <c r="B284" s="58" t="s">
        <v>39</v>
      </c>
      <c r="C284" s="56" t="s">
        <v>20</v>
      </c>
      <c r="D284" s="56" t="s">
        <v>5</v>
      </c>
      <c r="E284" s="55">
        <v>35134</v>
      </c>
      <c r="F284" s="54">
        <f t="shared" ca="1" si="13"/>
        <v>20</v>
      </c>
      <c r="G284" s="53" t="s">
        <v>32</v>
      </c>
      <c r="H284" s="52">
        <v>67280</v>
      </c>
      <c r="I284" s="51">
        <v>3</v>
      </c>
    </row>
    <row r="285" spans="1:9" x14ac:dyDescent="0.25">
      <c r="A285" s="56" t="s">
        <v>20</v>
      </c>
      <c r="B285" s="58" t="s">
        <v>17</v>
      </c>
      <c r="C285" s="56" t="s">
        <v>20</v>
      </c>
      <c r="D285" s="56" t="s">
        <v>12</v>
      </c>
      <c r="E285" s="55">
        <v>35145</v>
      </c>
      <c r="F285" s="54">
        <f t="shared" ca="1" si="13"/>
        <v>20</v>
      </c>
      <c r="G285" s="53"/>
      <c r="H285" s="52">
        <v>23810</v>
      </c>
      <c r="I285" s="51">
        <v>4</v>
      </c>
    </row>
    <row r="286" spans="1:9" x14ac:dyDescent="0.25">
      <c r="A286" s="56" t="s">
        <v>20</v>
      </c>
      <c r="B286" s="58" t="s">
        <v>17</v>
      </c>
      <c r="C286" s="56" t="s">
        <v>20</v>
      </c>
      <c r="D286" s="56" t="s">
        <v>15</v>
      </c>
      <c r="E286" s="55">
        <v>35193</v>
      </c>
      <c r="F286" s="54">
        <f t="shared" ca="1" si="13"/>
        <v>20</v>
      </c>
      <c r="G286" s="53" t="s">
        <v>19</v>
      </c>
      <c r="H286" s="52">
        <v>41615</v>
      </c>
      <c r="I286" s="51">
        <v>1</v>
      </c>
    </row>
    <row r="287" spans="1:9" x14ac:dyDescent="0.25">
      <c r="A287" s="56" t="s">
        <v>20</v>
      </c>
      <c r="B287" s="58" t="s">
        <v>17</v>
      </c>
      <c r="C287" s="56" t="s">
        <v>20</v>
      </c>
      <c r="D287" s="56" t="s">
        <v>5</v>
      </c>
      <c r="E287" s="55">
        <v>35225</v>
      </c>
      <c r="F287" s="54">
        <f t="shared" ca="1" si="13"/>
        <v>20</v>
      </c>
      <c r="G287" s="53" t="s">
        <v>32</v>
      </c>
      <c r="H287" s="52">
        <v>76192</v>
      </c>
      <c r="I287" s="51">
        <v>4</v>
      </c>
    </row>
    <row r="288" spans="1:9" x14ac:dyDescent="0.25">
      <c r="A288" s="56" t="s">
        <v>20</v>
      </c>
      <c r="B288" s="58" t="s">
        <v>10</v>
      </c>
      <c r="C288" s="56" t="s">
        <v>20</v>
      </c>
      <c r="D288" s="56" t="s">
        <v>12</v>
      </c>
      <c r="E288" s="55">
        <v>35290</v>
      </c>
      <c r="F288" s="54">
        <f t="shared" ca="1" si="13"/>
        <v>20</v>
      </c>
      <c r="G288" s="53"/>
      <c r="H288" s="52">
        <v>41840</v>
      </c>
      <c r="I288" s="51">
        <v>2</v>
      </c>
    </row>
    <row r="289" spans="1:9" x14ac:dyDescent="0.25">
      <c r="A289" s="56" t="s">
        <v>20</v>
      </c>
      <c r="B289" s="58" t="s">
        <v>13</v>
      </c>
      <c r="C289" s="56" t="s">
        <v>20</v>
      </c>
      <c r="D289" s="56" t="s">
        <v>15</v>
      </c>
      <c r="E289" s="55">
        <v>35294</v>
      </c>
      <c r="F289" s="54">
        <f t="shared" ca="1" si="13"/>
        <v>20</v>
      </c>
      <c r="G289" s="53" t="s">
        <v>4</v>
      </c>
      <c r="H289" s="52">
        <v>46710</v>
      </c>
      <c r="I289" s="51">
        <v>3</v>
      </c>
    </row>
    <row r="290" spans="1:9" x14ac:dyDescent="0.25">
      <c r="A290" s="56" t="s">
        <v>20</v>
      </c>
      <c r="B290" s="58" t="s">
        <v>17</v>
      </c>
      <c r="C290" s="56" t="s">
        <v>20</v>
      </c>
      <c r="D290" s="56" t="s">
        <v>12</v>
      </c>
      <c r="E290" s="55">
        <v>35327</v>
      </c>
      <c r="F290" s="54">
        <f t="shared" ca="1" si="13"/>
        <v>20</v>
      </c>
      <c r="G290" s="53"/>
      <c r="H290" s="52">
        <v>57600</v>
      </c>
      <c r="I290" s="51">
        <v>3</v>
      </c>
    </row>
    <row r="291" spans="1:9" x14ac:dyDescent="0.25">
      <c r="A291" s="56" t="s">
        <v>20</v>
      </c>
      <c r="B291" s="58" t="s">
        <v>39</v>
      </c>
      <c r="C291" s="56" t="s">
        <v>20</v>
      </c>
      <c r="D291" s="56" t="s">
        <v>5</v>
      </c>
      <c r="E291" s="55">
        <v>35388</v>
      </c>
      <c r="F291" s="54">
        <f t="shared" ca="1" si="13"/>
        <v>19</v>
      </c>
      <c r="G291" s="53" t="s">
        <v>19</v>
      </c>
      <c r="H291" s="52">
        <v>23650</v>
      </c>
      <c r="I291" s="51">
        <v>1</v>
      </c>
    </row>
    <row r="292" spans="1:9" x14ac:dyDescent="0.25">
      <c r="A292" s="56" t="s">
        <v>20</v>
      </c>
      <c r="B292" s="58" t="s">
        <v>10</v>
      </c>
      <c r="C292" s="56" t="s">
        <v>20</v>
      </c>
      <c r="D292" s="56" t="s">
        <v>12</v>
      </c>
      <c r="E292" s="55">
        <v>35394</v>
      </c>
      <c r="F292" s="54">
        <f t="shared" ca="1" si="13"/>
        <v>19</v>
      </c>
      <c r="G292" s="53"/>
      <c r="H292" s="52">
        <v>57760</v>
      </c>
      <c r="I292" s="51">
        <v>3</v>
      </c>
    </row>
    <row r="293" spans="1:9" x14ac:dyDescent="0.25">
      <c r="A293" s="56" t="s">
        <v>20</v>
      </c>
      <c r="B293" s="58" t="s">
        <v>13</v>
      </c>
      <c r="C293" s="56" t="s">
        <v>20</v>
      </c>
      <c r="D293" s="56" t="s">
        <v>5</v>
      </c>
      <c r="E293" s="55">
        <v>35397</v>
      </c>
      <c r="F293" s="54">
        <f t="shared" ca="1" si="13"/>
        <v>19</v>
      </c>
      <c r="G293" s="53" t="s">
        <v>8</v>
      </c>
      <c r="H293" s="52">
        <v>38870</v>
      </c>
      <c r="I293" s="51">
        <v>2</v>
      </c>
    </row>
    <row r="294" spans="1:9" x14ac:dyDescent="0.25">
      <c r="A294" s="56" t="s">
        <v>20</v>
      </c>
      <c r="B294" s="58" t="s">
        <v>13</v>
      </c>
      <c r="C294" s="56" t="s">
        <v>20</v>
      </c>
      <c r="D294" s="56" t="s">
        <v>12</v>
      </c>
      <c r="E294" s="55">
        <v>35408</v>
      </c>
      <c r="F294" s="54">
        <f t="shared" ca="1" si="13"/>
        <v>19</v>
      </c>
      <c r="G294" s="53"/>
      <c r="H294" s="52">
        <v>89520</v>
      </c>
      <c r="I294" s="51">
        <v>5</v>
      </c>
    </row>
    <row r="295" spans="1:9" x14ac:dyDescent="0.25">
      <c r="A295" s="56" t="s">
        <v>20</v>
      </c>
      <c r="B295" s="58" t="s">
        <v>13</v>
      </c>
      <c r="C295" s="56" t="s">
        <v>20</v>
      </c>
      <c r="D295" s="56" t="s">
        <v>12</v>
      </c>
      <c r="E295" s="55">
        <v>35419</v>
      </c>
      <c r="F295" s="54">
        <f t="shared" ref="F295:F326" ca="1" si="14">DATEDIF(E295,TODAY(),"Y")</f>
        <v>19</v>
      </c>
      <c r="G295" s="53"/>
      <c r="H295" s="52">
        <v>45420</v>
      </c>
      <c r="I295" s="51">
        <v>1</v>
      </c>
    </row>
    <row r="296" spans="1:9" x14ac:dyDescent="0.25">
      <c r="A296" s="56" t="s">
        <v>20</v>
      </c>
      <c r="B296" s="58" t="s">
        <v>13</v>
      </c>
      <c r="C296" s="56" t="s">
        <v>20</v>
      </c>
      <c r="D296" s="56" t="s">
        <v>12</v>
      </c>
      <c r="E296" s="55">
        <v>35667</v>
      </c>
      <c r="F296" s="54">
        <f t="shared" ca="1" si="14"/>
        <v>19</v>
      </c>
      <c r="G296" s="53"/>
      <c r="H296" s="52">
        <v>68510</v>
      </c>
      <c r="I296" s="51">
        <v>5</v>
      </c>
    </row>
    <row r="297" spans="1:9" x14ac:dyDescent="0.25">
      <c r="A297" s="56" t="s">
        <v>20</v>
      </c>
      <c r="B297" s="58" t="s">
        <v>13</v>
      </c>
      <c r="C297" s="56" t="s">
        <v>20</v>
      </c>
      <c r="D297" s="56" t="s">
        <v>5</v>
      </c>
      <c r="E297" s="55">
        <v>35758</v>
      </c>
      <c r="F297" s="54">
        <f t="shared" ca="1" si="14"/>
        <v>18</v>
      </c>
      <c r="G297" s="53" t="s">
        <v>34</v>
      </c>
      <c r="H297" s="52">
        <v>66010</v>
      </c>
      <c r="I297" s="51">
        <v>5</v>
      </c>
    </row>
    <row r="298" spans="1:9" x14ac:dyDescent="0.25">
      <c r="A298" s="56" t="s">
        <v>20</v>
      </c>
      <c r="B298" s="58" t="s">
        <v>10</v>
      </c>
      <c r="C298" s="56" t="s">
        <v>20</v>
      </c>
      <c r="D298" s="56" t="s">
        <v>5</v>
      </c>
      <c r="E298" s="55">
        <v>35919</v>
      </c>
      <c r="F298" s="54">
        <f t="shared" ca="1" si="14"/>
        <v>18</v>
      </c>
      <c r="G298" s="53" t="s">
        <v>4</v>
      </c>
      <c r="H298" s="52">
        <v>25310</v>
      </c>
      <c r="I298" s="51">
        <v>4</v>
      </c>
    </row>
    <row r="299" spans="1:9" x14ac:dyDescent="0.25">
      <c r="A299" s="56" t="s">
        <v>20</v>
      </c>
      <c r="B299" s="58" t="s">
        <v>56</v>
      </c>
      <c r="C299" s="56" t="s">
        <v>20</v>
      </c>
      <c r="D299" s="56" t="s">
        <v>12</v>
      </c>
      <c r="E299" s="55">
        <v>36016</v>
      </c>
      <c r="F299" s="54">
        <f t="shared" ca="1" si="14"/>
        <v>18</v>
      </c>
      <c r="G299" s="53"/>
      <c r="H299" s="52">
        <v>52770</v>
      </c>
      <c r="I299" s="51">
        <v>2</v>
      </c>
    </row>
    <row r="300" spans="1:9" x14ac:dyDescent="0.25">
      <c r="A300" s="56" t="s">
        <v>20</v>
      </c>
      <c r="B300" s="58" t="s">
        <v>17</v>
      </c>
      <c r="C300" s="56" t="s">
        <v>20</v>
      </c>
      <c r="D300" s="56" t="s">
        <v>5</v>
      </c>
      <c r="E300" s="55">
        <v>36021</v>
      </c>
      <c r="F300" s="54">
        <f t="shared" ca="1" si="14"/>
        <v>18</v>
      </c>
      <c r="G300" s="53" t="s">
        <v>4</v>
      </c>
      <c r="H300" s="52">
        <v>62750</v>
      </c>
      <c r="I300" s="51">
        <v>3</v>
      </c>
    </row>
    <row r="301" spans="1:9" x14ac:dyDescent="0.25">
      <c r="A301" s="56" t="s">
        <v>20</v>
      </c>
      <c r="B301" s="58" t="s">
        <v>13</v>
      </c>
      <c r="C301" s="56" t="s">
        <v>20</v>
      </c>
      <c r="D301" s="56" t="s">
        <v>5</v>
      </c>
      <c r="E301" s="55">
        <v>36084</v>
      </c>
      <c r="F301" s="54">
        <f t="shared" ca="1" si="14"/>
        <v>18</v>
      </c>
      <c r="G301" s="53" t="s">
        <v>32</v>
      </c>
      <c r="H301" s="52">
        <v>28970</v>
      </c>
      <c r="I301" s="51">
        <v>3</v>
      </c>
    </row>
    <row r="302" spans="1:9" x14ac:dyDescent="0.25">
      <c r="A302" s="56" t="s">
        <v>20</v>
      </c>
      <c r="B302" s="58" t="s">
        <v>17</v>
      </c>
      <c r="C302" s="56" t="s">
        <v>20</v>
      </c>
      <c r="D302" s="56" t="s">
        <v>5</v>
      </c>
      <c r="E302" s="55">
        <v>36126</v>
      </c>
      <c r="F302" s="54">
        <f t="shared" ca="1" si="14"/>
        <v>17</v>
      </c>
      <c r="G302" s="53" t="s">
        <v>19</v>
      </c>
      <c r="H302" s="52">
        <v>64130</v>
      </c>
      <c r="I302" s="51">
        <v>1</v>
      </c>
    </row>
    <row r="303" spans="1:9" x14ac:dyDescent="0.25">
      <c r="A303" s="56" t="s">
        <v>20</v>
      </c>
      <c r="B303" s="58" t="s">
        <v>17</v>
      </c>
      <c r="C303" s="56" t="s">
        <v>20</v>
      </c>
      <c r="D303" s="56" t="s">
        <v>5</v>
      </c>
      <c r="E303" s="55">
        <v>36199</v>
      </c>
      <c r="F303" s="54">
        <f t="shared" ca="1" si="14"/>
        <v>17</v>
      </c>
      <c r="G303" s="53" t="s">
        <v>4</v>
      </c>
      <c r="H303" s="52">
        <v>69080</v>
      </c>
      <c r="I303" s="51">
        <v>3</v>
      </c>
    </row>
    <row r="304" spans="1:9" x14ac:dyDescent="0.25">
      <c r="A304" s="56" t="s">
        <v>20</v>
      </c>
      <c r="B304" s="58" t="s">
        <v>39</v>
      </c>
      <c r="C304" s="56" t="s">
        <v>20</v>
      </c>
      <c r="D304" s="56" t="s">
        <v>15</v>
      </c>
      <c r="E304" s="55">
        <v>36310</v>
      </c>
      <c r="F304" s="54">
        <f t="shared" ca="1" si="14"/>
        <v>17</v>
      </c>
      <c r="G304" s="53" t="s">
        <v>32</v>
      </c>
      <c r="H304" s="52">
        <v>24460</v>
      </c>
      <c r="I304" s="51">
        <v>1</v>
      </c>
    </row>
    <row r="305" spans="1:9" x14ac:dyDescent="0.25">
      <c r="A305" s="56" t="s">
        <v>20</v>
      </c>
      <c r="B305" s="58" t="s">
        <v>13</v>
      </c>
      <c r="C305" s="56" t="s">
        <v>20</v>
      </c>
      <c r="D305" s="56" t="s">
        <v>12</v>
      </c>
      <c r="E305" s="55">
        <v>36324</v>
      </c>
      <c r="F305" s="54">
        <f t="shared" ca="1" si="14"/>
        <v>17</v>
      </c>
      <c r="G305" s="53"/>
      <c r="H305" s="52">
        <v>61370</v>
      </c>
      <c r="I305" s="51">
        <v>3</v>
      </c>
    </row>
    <row r="306" spans="1:9" x14ac:dyDescent="0.25">
      <c r="A306" s="56" t="s">
        <v>20</v>
      </c>
      <c r="B306" s="58" t="s">
        <v>13</v>
      </c>
      <c r="C306" s="56" t="s">
        <v>20</v>
      </c>
      <c r="D306" s="56" t="s">
        <v>0</v>
      </c>
      <c r="E306" s="55">
        <v>36420</v>
      </c>
      <c r="F306" s="54">
        <f t="shared" ca="1" si="14"/>
        <v>17</v>
      </c>
      <c r="G306" s="53"/>
      <c r="H306" s="52">
        <v>8892</v>
      </c>
      <c r="I306" s="51">
        <v>1</v>
      </c>
    </row>
    <row r="307" spans="1:9" x14ac:dyDescent="0.25">
      <c r="A307" s="56" t="s">
        <v>20</v>
      </c>
      <c r="B307" s="58" t="s">
        <v>2</v>
      </c>
      <c r="C307" s="56" t="s">
        <v>20</v>
      </c>
      <c r="D307" s="56" t="s">
        <v>12</v>
      </c>
      <c r="E307" s="55">
        <v>36510</v>
      </c>
      <c r="F307" s="54">
        <f t="shared" ca="1" si="14"/>
        <v>16</v>
      </c>
      <c r="G307" s="53"/>
      <c r="H307" s="52">
        <v>75420</v>
      </c>
      <c r="I307" s="51">
        <v>1</v>
      </c>
    </row>
    <row r="308" spans="1:9" x14ac:dyDescent="0.25">
      <c r="A308" s="56" t="s">
        <v>20</v>
      </c>
      <c r="B308" s="58" t="s">
        <v>13</v>
      </c>
      <c r="C308" s="56" t="s">
        <v>20</v>
      </c>
      <c r="D308" s="56" t="s">
        <v>5</v>
      </c>
      <c r="E308" s="55">
        <v>36556</v>
      </c>
      <c r="F308" s="54">
        <f t="shared" ca="1" si="14"/>
        <v>16</v>
      </c>
      <c r="G308" s="53" t="s">
        <v>34</v>
      </c>
      <c r="H308" s="52">
        <v>54230</v>
      </c>
      <c r="I308" s="51">
        <v>5</v>
      </c>
    </row>
    <row r="309" spans="1:9" x14ac:dyDescent="0.25">
      <c r="A309" s="56" t="s">
        <v>20</v>
      </c>
      <c r="B309" s="58" t="s">
        <v>2</v>
      </c>
      <c r="C309" s="56" t="s">
        <v>20</v>
      </c>
      <c r="D309" s="56" t="s">
        <v>12</v>
      </c>
      <c r="E309" s="55">
        <v>36589</v>
      </c>
      <c r="F309" s="54">
        <f t="shared" ca="1" si="14"/>
        <v>16</v>
      </c>
      <c r="G309" s="53"/>
      <c r="H309" s="52">
        <v>64220</v>
      </c>
      <c r="I309" s="51">
        <v>5</v>
      </c>
    </row>
    <row r="310" spans="1:9" x14ac:dyDescent="0.25">
      <c r="A310" s="56" t="s">
        <v>20</v>
      </c>
      <c r="B310" s="58" t="s">
        <v>2</v>
      </c>
      <c r="C310" s="56" t="s">
        <v>20</v>
      </c>
      <c r="D310" s="56" t="s">
        <v>5</v>
      </c>
      <c r="E310" s="55">
        <v>36626</v>
      </c>
      <c r="F310" s="54">
        <f t="shared" ca="1" si="14"/>
        <v>16</v>
      </c>
      <c r="G310" s="53" t="s">
        <v>4</v>
      </c>
      <c r="H310" s="52">
        <v>30920</v>
      </c>
      <c r="I310" s="51">
        <v>5</v>
      </c>
    </row>
    <row r="311" spans="1:9" x14ac:dyDescent="0.25">
      <c r="A311" s="56" t="s">
        <v>20</v>
      </c>
      <c r="B311" s="58" t="s">
        <v>17</v>
      </c>
      <c r="C311" s="56" t="s">
        <v>20</v>
      </c>
      <c r="D311" s="56" t="s">
        <v>5</v>
      </c>
      <c r="E311" s="55">
        <v>36633</v>
      </c>
      <c r="F311" s="54">
        <f t="shared" ca="1" si="14"/>
        <v>16</v>
      </c>
      <c r="G311" s="53" t="s">
        <v>32</v>
      </c>
      <c r="H311" s="52">
        <v>75176</v>
      </c>
      <c r="I311" s="51">
        <v>3</v>
      </c>
    </row>
    <row r="312" spans="1:9" x14ac:dyDescent="0.25">
      <c r="A312" s="56" t="s">
        <v>20</v>
      </c>
      <c r="B312" s="58" t="s">
        <v>13</v>
      </c>
      <c r="C312" s="56" t="s">
        <v>20</v>
      </c>
      <c r="D312" s="56" t="s">
        <v>12</v>
      </c>
      <c r="E312" s="55">
        <v>36734</v>
      </c>
      <c r="F312" s="54">
        <f t="shared" ca="1" si="14"/>
        <v>16</v>
      </c>
      <c r="G312" s="53"/>
      <c r="H312" s="52">
        <v>57410</v>
      </c>
      <c r="I312" s="51">
        <v>2</v>
      </c>
    </row>
    <row r="313" spans="1:9" x14ac:dyDescent="0.25">
      <c r="A313" s="56" t="s">
        <v>20</v>
      </c>
      <c r="B313" s="58" t="s">
        <v>13</v>
      </c>
      <c r="C313" s="56" t="s">
        <v>20</v>
      </c>
      <c r="D313" s="56" t="s">
        <v>12</v>
      </c>
      <c r="E313" s="55">
        <v>36763</v>
      </c>
      <c r="F313" s="54">
        <f t="shared" ca="1" si="14"/>
        <v>16</v>
      </c>
      <c r="G313" s="53"/>
      <c r="H313" s="52">
        <v>39300</v>
      </c>
      <c r="I313" s="51">
        <v>2</v>
      </c>
    </row>
    <row r="314" spans="1:9" x14ac:dyDescent="0.25">
      <c r="A314" s="56" t="s">
        <v>20</v>
      </c>
      <c r="B314" s="58" t="s">
        <v>39</v>
      </c>
      <c r="C314" s="56" t="s">
        <v>20</v>
      </c>
      <c r="D314" s="56" t="s">
        <v>5</v>
      </c>
      <c r="E314" s="55">
        <v>36836</v>
      </c>
      <c r="F314" s="54">
        <f t="shared" ca="1" si="14"/>
        <v>15</v>
      </c>
      <c r="G314" s="53" t="s">
        <v>32</v>
      </c>
      <c r="H314" s="52">
        <v>47340</v>
      </c>
      <c r="I314" s="51">
        <v>2</v>
      </c>
    </row>
    <row r="315" spans="1:9" x14ac:dyDescent="0.25">
      <c r="A315" s="56" t="s">
        <v>20</v>
      </c>
      <c r="B315" s="58" t="s">
        <v>39</v>
      </c>
      <c r="C315" s="56" t="s">
        <v>20</v>
      </c>
      <c r="D315" s="56" t="s">
        <v>12</v>
      </c>
      <c r="E315" s="55">
        <v>36979</v>
      </c>
      <c r="F315" s="54">
        <f t="shared" ca="1" si="14"/>
        <v>15</v>
      </c>
      <c r="G315" s="53"/>
      <c r="H315" s="52">
        <v>71830</v>
      </c>
      <c r="I315" s="51">
        <v>3</v>
      </c>
    </row>
    <row r="316" spans="1:9" x14ac:dyDescent="0.25">
      <c r="A316" s="56" t="s">
        <v>20</v>
      </c>
      <c r="B316" s="58" t="s">
        <v>13</v>
      </c>
      <c r="C316" s="56" t="s">
        <v>20</v>
      </c>
      <c r="D316" s="56" t="s">
        <v>12</v>
      </c>
      <c r="E316" s="55">
        <v>37011</v>
      </c>
      <c r="F316" s="54">
        <f t="shared" ca="1" si="14"/>
        <v>15</v>
      </c>
      <c r="G316" s="53"/>
      <c r="H316" s="52">
        <v>37980</v>
      </c>
      <c r="I316" s="51">
        <v>4</v>
      </c>
    </row>
    <row r="317" spans="1:9" x14ac:dyDescent="0.25">
      <c r="A317" s="56" t="s">
        <v>20</v>
      </c>
      <c r="B317" s="58" t="s">
        <v>2</v>
      </c>
      <c r="C317" s="56" t="s">
        <v>20</v>
      </c>
      <c r="D317" s="56" t="s">
        <v>5</v>
      </c>
      <c r="E317" s="55">
        <v>37011</v>
      </c>
      <c r="F317" s="54">
        <f t="shared" ca="1" si="14"/>
        <v>15</v>
      </c>
      <c r="G317" s="53" t="s">
        <v>34</v>
      </c>
      <c r="H317" s="52">
        <v>70760</v>
      </c>
      <c r="I317" s="51">
        <v>1</v>
      </c>
    </row>
    <row r="318" spans="1:9" x14ac:dyDescent="0.25">
      <c r="A318" s="56" t="s">
        <v>20</v>
      </c>
      <c r="B318" s="58" t="s">
        <v>13</v>
      </c>
      <c r="C318" s="56" t="s">
        <v>20</v>
      </c>
      <c r="D318" s="56" t="s">
        <v>5</v>
      </c>
      <c r="E318" s="55">
        <v>37067</v>
      </c>
      <c r="F318" s="54">
        <f t="shared" ca="1" si="14"/>
        <v>15</v>
      </c>
      <c r="G318" s="53" t="s">
        <v>32</v>
      </c>
      <c r="H318" s="52">
        <v>87760</v>
      </c>
      <c r="I318" s="51">
        <v>1</v>
      </c>
    </row>
    <row r="319" spans="1:9" x14ac:dyDescent="0.25">
      <c r="A319" s="56" t="s">
        <v>20</v>
      </c>
      <c r="B319" s="58" t="s">
        <v>10</v>
      </c>
      <c r="C319" s="56" t="s">
        <v>20</v>
      </c>
      <c r="D319" s="56" t="s">
        <v>5</v>
      </c>
      <c r="E319" s="55">
        <v>37067</v>
      </c>
      <c r="F319" s="54">
        <f t="shared" ca="1" si="14"/>
        <v>15</v>
      </c>
      <c r="G319" s="53" t="s">
        <v>32</v>
      </c>
      <c r="H319" s="52">
        <v>41060</v>
      </c>
      <c r="I319" s="51">
        <v>3</v>
      </c>
    </row>
    <row r="320" spans="1:9" x14ac:dyDescent="0.25">
      <c r="A320" s="56" t="s">
        <v>20</v>
      </c>
      <c r="B320" s="58" t="s">
        <v>13</v>
      </c>
      <c r="C320" s="56" t="s">
        <v>20</v>
      </c>
      <c r="D320" s="56" t="s">
        <v>12</v>
      </c>
      <c r="E320" s="55">
        <v>37197</v>
      </c>
      <c r="F320" s="54">
        <f t="shared" ca="1" si="14"/>
        <v>15</v>
      </c>
      <c r="G320" s="53"/>
      <c r="H320" s="52">
        <v>40940</v>
      </c>
      <c r="I320" s="51">
        <v>2</v>
      </c>
    </row>
    <row r="321" spans="1:9" x14ac:dyDescent="0.25">
      <c r="A321" s="56" t="s">
        <v>20</v>
      </c>
      <c r="B321" s="58" t="s">
        <v>39</v>
      </c>
      <c r="C321" s="56" t="s">
        <v>20</v>
      </c>
      <c r="D321" s="56" t="s">
        <v>12</v>
      </c>
      <c r="E321" s="55">
        <v>37227</v>
      </c>
      <c r="F321" s="54">
        <f t="shared" ca="1" si="14"/>
        <v>14</v>
      </c>
      <c r="G321" s="53"/>
      <c r="H321" s="52">
        <v>39680</v>
      </c>
      <c r="I321" s="51">
        <v>1</v>
      </c>
    </row>
    <row r="322" spans="1:9" x14ac:dyDescent="0.25">
      <c r="A322" s="56" t="s">
        <v>20</v>
      </c>
      <c r="B322" s="58" t="s">
        <v>13</v>
      </c>
      <c r="C322" s="56" t="s">
        <v>20</v>
      </c>
      <c r="D322" s="56" t="s">
        <v>5</v>
      </c>
      <c r="E322" s="55">
        <v>37354</v>
      </c>
      <c r="F322" s="54">
        <f t="shared" ca="1" si="14"/>
        <v>14</v>
      </c>
      <c r="G322" s="53" t="s">
        <v>32</v>
      </c>
      <c r="H322" s="52">
        <v>61060</v>
      </c>
      <c r="I322" s="51">
        <v>5</v>
      </c>
    </row>
    <row r="323" spans="1:9" x14ac:dyDescent="0.25">
      <c r="A323" s="56" t="s">
        <v>20</v>
      </c>
      <c r="B323" s="58" t="s">
        <v>39</v>
      </c>
      <c r="C323" s="56" t="s">
        <v>20</v>
      </c>
      <c r="D323" s="56" t="s">
        <v>5</v>
      </c>
      <c r="E323" s="55">
        <v>37423</v>
      </c>
      <c r="F323" s="54">
        <f t="shared" ca="1" si="14"/>
        <v>14</v>
      </c>
      <c r="G323" s="53" t="s">
        <v>8</v>
      </c>
      <c r="H323" s="52">
        <v>68710</v>
      </c>
      <c r="I323" s="51">
        <v>4</v>
      </c>
    </row>
    <row r="324" spans="1:9" x14ac:dyDescent="0.25">
      <c r="A324" s="56" t="s">
        <v>20</v>
      </c>
      <c r="B324" s="58" t="s">
        <v>39</v>
      </c>
      <c r="C324" s="56" t="s">
        <v>20</v>
      </c>
      <c r="D324" s="56" t="s">
        <v>5</v>
      </c>
      <c r="E324" s="55">
        <v>37499</v>
      </c>
      <c r="F324" s="54">
        <f t="shared" ca="1" si="14"/>
        <v>14</v>
      </c>
      <c r="G324" s="53" t="s">
        <v>34</v>
      </c>
      <c r="H324" s="52">
        <v>76584</v>
      </c>
      <c r="I324" s="51">
        <v>1</v>
      </c>
    </row>
    <row r="325" spans="1:9" x14ac:dyDescent="0.25">
      <c r="A325" s="56" t="s">
        <v>20</v>
      </c>
      <c r="B325" s="58" t="s">
        <v>13</v>
      </c>
      <c r="C325" s="56" t="s">
        <v>20</v>
      </c>
      <c r="D325" s="56" t="s">
        <v>5</v>
      </c>
      <c r="E325" s="55">
        <v>37511</v>
      </c>
      <c r="F325" s="54">
        <f t="shared" ca="1" si="14"/>
        <v>14</v>
      </c>
      <c r="G325" s="53" t="s">
        <v>4</v>
      </c>
      <c r="H325" s="52">
        <v>65720</v>
      </c>
      <c r="I325" s="51">
        <v>1</v>
      </c>
    </row>
    <row r="326" spans="1:9" x14ac:dyDescent="0.25">
      <c r="A326" s="56" t="s">
        <v>20</v>
      </c>
      <c r="B326" s="58" t="s">
        <v>13</v>
      </c>
      <c r="C326" s="56" t="s">
        <v>20</v>
      </c>
      <c r="D326" s="56" t="s">
        <v>5</v>
      </c>
      <c r="E326" s="55">
        <v>37522</v>
      </c>
      <c r="F326" s="54">
        <f t="shared" ca="1" si="14"/>
        <v>14</v>
      </c>
      <c r="G326" s="53" t="s">
        <v>8</v>
      </c>
      <c r="H326" s="52">
        <v>29420</v>
      </c>
      <c r="I326" s="51">
        <v>5</v>
      </c>
    </row>
    <row r="327" spans="1:9" x14ac:dyDescent="0.25">
      <c r="A327" s="56" t="s">
        <v>20</v>
      </c>
      <c r="B327" s="58" t="s">
        <v>10</v>
      </c>
      <c r="C327" s="56" t="s">
        <v>20</v>
      </c>
      <c r="D327" s="56" t="s">
        <v>12</v>
      </c>
      <c r="E327" s="55">
        <v>37564</v>
      </c>
      <c r="F327" s="54">
        <f t="shared" ref="F327:F352" ca="1" si="15">DATEDIF(E327,TODAY(),"Y")</f>
        <v>13</v>
      </c>
      <c r="G327" s="53"/>
      <c r="H327" s="52">
        <v>59330</v>
      </c>
      <c r="I327" s="51">
        <v>4</v>
      </c>
    </row>
    <row r="328" spans="1:9" x14ac:dyDescent="0.25">
      <c r="A328" s="56" t="s">
        <v>20</v>
      </c>
      <c r="B328" s="58" t="s">
        <v>56</v>
      </c>
      <c r="C328" s="56" t="s">
        <v>20</v>
      </c>
      <c r="D328" s="56" t="s">
        <v>12</v>
      </c>
      <c r="E328" s="55">
        <v>37602</v>
      </c>
      <c r="F328" s="54">
        <f t="shared" ca="1" si="15"/>
        <v>13</v>
      </c>
      <c r="G328" s="53"/>
      <c r="H328" s="52">
        <v>80330</v>
      </c>
      <c r="I328" s="51">
        <v>4</v>
      </c>
    </row>
    <row r="329" spans="1:9" x14ac:dyDescent="0.25">
      <c r="A329" s="56" t="s">
        <v>20</v>
      </c>
      <c r="B329" s="58" t="s">
        <v>39</v>
      </c>
      <c r="C329" s="56" t="s">
        <v>20</v>
      </c>
      <c r="D329" s="56" t="s">
        <v>0</v>
      </c>
      <c r="E329" s="55">
        <v>37777</v>
      </c>
      <c r="F329" s="54">
        <f t="shared" ca="1" si="15"/>
        <v>13</v>
      </c>
      <c r="G329" s="53"/>
      <c r="H329" s="52">
        <v>14416</v>
      </c>
      <c r="I329" s="51">
        <v>4</v>
      </c>
    </row>
    <row r="330" spans="1:9" x14ac:dyDescent="0.25">
      <c r="A330" s="56" t="s">
        <v>20</v>
      </c>
      <c r="B330" s="58" t="s">
        <v>13</v>
      </c>
      <c r="C330" s="56" t="s">
        <v>20</v>
      </c>
      <c r="D330" s="56" t="s">
        <v>12</v>
      </c>
      <c r="E330" s="55">
        <v>37879</v>
      </c>
      <c r="F330" s="54">
        <f t="shared" ca="1" si="15"/>
        <v>13</v>
      </c>
      <c r="G330" s="53"/>
      <c r="H330" s="52">
        <v>63850</v>
      </c>
      <c r="I330" s="51">
        <v>2</v>
      </c>
    </row>
    <row r="331" spans="1:9" x14ac:dyDescent="0.25">
      <c r="A331" s="56" t="s">
        <v>20</v>
      </c>
      <c r="B331" s="58" t="s">
        <v>2</v>
      </c>
      <c r="C331" s="56" t="s">
        <v>20</v>
      </c>
      <c r="D331" s="56" t="s">
        <v>5</v>
      </c>
      <c r="E331" s="55">
        <v>38002</v>
      </c>
      <c r="F331" s="54">
        <f t="shared" ca="1" si="15"/>
        <v>12</v>
      </c>
      <c r="G331" s="53" t="s">
        <v>34</v>
      </c>
      <c r="H331" s="52">
        <v>71030</v>
      </c>
      <c r="I331" s="51">
        <v>3</v>
      </c>
    </row>
    <row r="332" spans="1:9" x14ac:dyDescent="0.25">
      <c r="A332" s="56" t="s">
        <v>20</v>
      </c>
      <c r="B332" s="58" t="s">
        <v>10</v>
      </c>
      <c r="C332" s="56" t="s">
        <v>20</v>
      </c>
      <c r="D332" s="56" t="s">
        <v>5</v>
      </c>
      <c r="E332" s="55">
        <v>38038</v>
      </c>
      <c r="F332" s="54">
        <f t="shared" ca="1" si="15"/>
        <v>12</v>
      </c>
      <c r="G332" s="53" t="s">
        <v>32</v>
      </c>
      <c r="H332" s="52">
        <v>46220</v>
      </c>
      <c r="I332" s="51">
        <v>2</v>
      </c>
    </row>
    <row r="333" spans="1:9" x14ac:dyDescent="0.25">
      <c r="A333" s="56" t="s">
        <v>20</v>
      </c>
      <c r="B333" s="58" t="s">
        <v>17</v>
      </c>
      <c r="C333" s="56" t="s">
        <v>20</v>
      </c>
      <c r="D333" s="56" t="s">
        <v>5</v>
      </c>
      <c r="E333" s="55">
        <v>38080</v>
      </c>
      <c r="F333" s="54">
        <f t="shared" ca="1" si="15"/>
        <v>12</v>
      </c>
      <c r="G333" s="53" t="s">
        <v>19</v>
      </c>
      <c r="H333" s="52">
        <v>71490</v>
      </c>
      <c r="I333" s="51">
        <v>5</v>
      </c>
    </row>
    <row r="334" spans="1:9" x14ac:dyDescent="0.25">
      <c r="A334" s="56" t="s">
        <v>20</v>
      </c>
      <c r="B334" s="58" t="s">
        <v>2</v>
      </c>
      <c r="C334" s="56" t="s">
        <v>20</v>
      </c>
      <c r="D334" s="56" t="s">
        <v>5</v>
      </c>
      <c r="E334" s="55">
        <v>38145</v>
      </c>
      <c r="F334" s="54">
        <f t="shared" ca="1" si="15"/>
        <v>12</v>
      </c>
      <c r="G334" s="53" t="s">
        <v>4</v>
      </c>
      <c r="H334" s="52">
        <v>59420</v>
      </c>
      <c r="I334" s="51">
        <v>4</v>
      </c>
    </row>
    <row r="335" spans="1:9" x14ac:dyDescent="0.25">
      <c r="A335" s="56" t="s">
        <v>20</v>
      </c>
      <c r="B335" s="58" t="s">
        <v>39</v>
      </c>
      <c r="C335" s="56" t="s">
        <v>20</v>
      </c>
      <c r="D335" s="56" t="s">
        <v>12</v>
      </c>
      <c r="E335" s="55">
        <v>38228</v>
      </c>
      <c r="F335" s="54">
        <f t="shared" ca="1" si="15"/>
        <v>12</v>
      </c>
      <c r="G335" s="53"/>
      <c r="H335" s="52">
        <v>62780</v>
      </c>
      <c r="I335" s="51">
        <v>4</v>
      </c>
    </row>
    <row r="336" spans="1:9" x14ac:dyDescent="0.25">
      <c r="A336" s="56" t="s">
        <v>20</v>
      </c>
      <c r="B336" s="58" t="s">
        <v>17</v>
      </c>
      <c r="C336" s="56" t="s">
        <v>20</v>
      </c>
      <c r="D336" s="56" t="s">
        <v>12</v>
      </c>
      <c r="E336" s="55">
        <v>38235</v>
      </c>
      <c r="F336" s="54">
        <f t="shared" ca="1" si="15"/>
        <v>12</v>
      </c>
      <c r="G336" s="53"/>
      <c r="H336" s="52">
        <v>84170</v>
      </c>
      <c r="I336" s="51">
        <v>2</v>
      </c>
    </row>
    <row r="337" spans="1:9" x14ac:dyDescent="0.25">
      <c r="A337" s="56" t="s">
        <v>20</v>
      </c>
      <c r="B337" s="58" t="s">
        <v>17</v>
      </c>
      <c r="C337" s="56" t="s">
        <v>20</v>
      </c>
      <c r="D337" s="56" t="s">
        <v>5</v>
      </c>
      <c r="E337" s="55">
        <v>38386</v>
      </c>
      <c r="F337" s="54">
        <f t="shared" ca="1" si="15"/>
        <v>11</v>
      </c>
      <c r="G337" s="53" t="s">
        <v>32</v>
      </c>
      <c r="H337" s="52">
        <v>69320</v>
      </c>
      <c r="I337" s="51">
        <v>3</v>
      </c>
    </row>
    <row r="338" spans="1:9" x14ac:dyDescent="0.25">
      <c r="A338" s="56" t="s">
        <v>20</v>
      </c>
      <c r="B338" s="58" t="s">
        <v>2</v>
      </c>
      <c r="C338" s="56" t="s">
        <v>20</v>
      </c>
      <c r="D338" s="56" t="s">
        <v>0</v>
      </c>
      <c r="E338" s="55">
        <v>38437</v>
      </c>
      <c r="F338" s="54">
        <f t="shared" ca="1" si="15"/>
        <v>11</v>
      </c>
      <c r="G338" s="53"/>
      <c r="H338" s="52">
        <v>10572</v>
      </c>
      <c r="I338" s="51">
        <v>4</v>
      </c>
    </row>
    <row r="339" spans="1:9" x14ac:dyDescent="0.25">
      <c r="A339" s="56" t="s">
        <v>20</v>
      </c>
      <c r="B339" s="58" t="s">
        <v>39</v>
      </c>
      <c r="C339" s="56" t="s">
        <v>20</v>
      </c>
      <c r="D339" s="56" t="s">
        <v>12</v>
      </c>
      <c r="E339" s="55">
        <v>38512</v>
      </c>
      <c r="F339" s="54">
        <f t="shared" ca="1" si="15"/>
        <v>11</v>
      </c>
      <c r="G339" s="53"/>
      <c r="H339" s="52">
        <v>60040</v>
      </c>
      <c r="I339" s="51">
        <v>5</v>
      </c>
    </row>
    <row r="340" spans="1:9" x14ac:dyDescent="0.25">
      <c r="A340" s="56" t="s">
        <v>20</v>
      </c>
      <c r="B340" s="58" t="s">
        <v>39</v>
      </c>
      <c r="C340" s="56" t="s">
        <v>20</v>
      </c>
      <c r="D340" s="56" t="s">
        <v>12</v>
      </c>
      <c r="E340" s="55">
        <v>38520</v>
      </c>
      <c r="F340" s="54">
        <f t="shared" ca="1" si="15"/>
        <v>11</v>
      </c>
      <c r="G340" s="53"/>
      <c r="H340" s="52">
        <v>78520</v>
      </c>
      <c r="I340" s="51">
        <v>4</v>
      </c>
    </row>
    <row r="341" spans="1:9" x14ac:dyDescent="0.25">
      <c r="A341" s="56" t="s">
        <v>20</v>
      </c>
      <c r="B341" s="58" t="s">
        <v>10</v>
      </c>
      <c r="C341" s="56" t="s">
        <v>20</v>
      </c>
      <c r="D341" s="56" t="s">
        <v>5</v>
      </c>
      <c r="E341" s="55">
        <v>38662</v>
      </c>
      <c r="F341" s="54">
        <f t="shared" ca="1" si="15"/>
        <v>10</v>
      </c>
      <c r="G341" s="53" t="s">
        <v>32</v>
      </c>
      <c r="H341" s="52">
        <v>78170</v>
      </c>
      <c r="I341" s="51">
        <v>5</v>
      </c>
    </row>
    <row r="342" spans="1:9" x14ac:dyDescent="0.25">
      <c r="A342" s="56" t="s">
        <v>20</v>
      </c>
      <c r="B342" s="58" t="s">
        <v>2</v>
      </c>
      <c r="C342" s="56" t="s">
        <v>20</v>
      </c>
      <c r="D342" s="56" t="s">
        <v>5</v>
      </c>
      <c r="E342" s="55">
        <v>38865</v>
      </c>
      <c r="F342" s="54">
        <f t="shared" ca="1" si="15"/>
        <v>10</v>
      </c>
      <c r="G342" s="53" t="s">
        <v>19</v>
      </c>
      <c r="H342" s="52">
        <v>34690</v>
      </c>
      <c r="I342" s="51">
        <v>2</v>
      </c>
    </row>
    <row r="343" spans="1:9" x14ac:dyDescent="0.25">
      <c r="A343" s="56" t="s">
        <v>20</v>
      </c>
      <c r="B343" s="58" t="s">
        <v>13</v>
      </c>
      <c r="C343" s="56" t="s">
        <v>20</v>
      </c>
      <c r="D343" s="56" t="s">
        <v>5</v>
      </c>
      <c r="E343" s="55">
        <v>38893</v>
      </c>
      <c r="F343" s="54">
        <f t="shared" ca="1" si="15"/>
        <v>10</v>
      </c>
      <c r="G343" s="53" t="s">
        <v>32</v>
      </c>
      <c r="H343" s="52">
        <v>35600</v>
      </c>
      <c r="I343" s="51">
        <v>5</v>
      </c>
    </row>
    <row r="344" spans="1:9" x14ac:dyDescent="0.25">
      <c r="A344" s="56" t="s">
        <v>20</v>
      </c>
      <c r="B344" s="58" t="s">
        <v>17</v>
      </c>
      <c r="C344" s="56" t="s">
        <v>20</v>
      </c>
      <c r="D344" s="56" t="s">
        <v>5</v>
      </c>
      <c r="E344" s="55">
        <v>38960</v>
      </c>
      <c r="F344" s="54">
        <f t="shared" ca="1" si="15"/>
        <v>10</v>
      </c>
      <c r="G344" s="53" t="s">
        <v>4</v>
      </c>
      <c r="H344" s="52">
        <v>35300</v>
      </c>
      <c r="I344" s="51">
        <v>5</v>
      </c>
    </row>
    <row r="345" spans="1:9" x14ac:dyDescent="0.25">
      <c r="A345" s="56" t="s">
        <v>20</v>
      </c>
      <c r="B345" s="58" t="s">
        <v>13</v>
      </c>
      <c r="C345" s="56" t="s">
        <v>20</v>
      </c>
      <c r="D345" s="56" t="s">
        <v>12</v>
      </c>
      <c r="E345" s="59">
        <v>39139</v>
      </c>
      <c r="F345" s="54">
        <f t="shared" ca="1" si="15"/>
        <v>9</v>
      </c>
      <c r="G345" s="53"/>
      <c r="H345" s="52">
        <v>88840</v>
      </c>
      <c r="I345" s="51">
        <v>5</v>
      </c>
    </row>
    <row r="346" spans="1:9" x14ac:dyDescent="0.25">
      <c r="A346" s="56" t="s">
        <v>20</v>
      </c>
      <c r="B346" s="58" t="s">
        <v>17</v>
      </c>
      <c r="C346" s="56" t="s">
        <v>20</v>
      </c>
      <c r="D346" s="56" t="s">
        <v>12</v>
      </c>
      <c r="E346" s="55">
        <v>39160</v>
      </c>
      <c r="F346" s="54">
        <f t="shared" ca="1" si="15"/>
        <v>9</v>
      </c>
      <c r="G346" s="53"/>
      <c r="H346" s="52">
        <v>37840</v>
      </c>
      <c r="I346" s="51">
        <v>1</v>
      </c>
    </row>
    <row r="347" spans="1:9" x14ac:dyDescent="0.25">
      <c r="A347" s="56" t="s">
        <v>20</v>
      </c>
      <c r="B347" s="58" t="s">
        <v>17</v>
      </c>
      <c r="C347" s="56" t="s">
        <v>20</v>
      </c>
      <c r="D347" s="56" t="s">
        <v>12</v>
      </c>
      <c r="E347" s="55">
        <v>39160</v>
      </c>
      <c r="F347" s="54">
        <f t="shared" ca="1" si="15"/>
        <v>9</v>
      </c>
      <c r="G347" s="53"/>
      <c r="H347" s="52">
        <v>37840</v>
      </c>
      <c r="I347" s="51">
        <v>1</v>
      </c>
    </row>
    <row r="348" spans="1:9" x14ac:dyDescent="0.25">
      <c r="A348" s="56" t="s">
        <v>20</v>
      </c>
      <c r="B348" s="58" t="s">
        <v>17</v>
      </c>
      <c r="C348" s="56" t="s">
        <v>20</v>
      </c>
      <c r="D348" s="56" t="s">
        <v>0</v>
      </c>
      <c r="E348" s="55">
        <v>39264</v>
      </c>
      <c r="F348" s="54">
        <f t="shared" ca="1" si="15"/>
        <v>9</v>
      </c>
      <c r="G348" s="53"/>
      <c r="H348" s="52">
        <v>28424</v>
      </c>
      <c r="I348" s="51">
        <v>4</v>
      </c>
    </row>
    <row r="349" spans="1:9" x14ac:dyDescent="0.25">
      <c r="A349" s="56" t="s">
        <v>20</v>
      </c>
      <c r="B349" s="58" t="s">
        <v>39</v>
      </c>
      <c r="C349" s="56" t="s">
        <v>20</v>
      </c>
      <c r="D349" s="56" t="s">
        <v>5</v>
      </c>
      <c r="E349" s="55">
        <v>39268</v>
      </c>
      <c r="F349" s="54">
        <f t="shared" ca="1" si="15"/>
        <v>9</v>
      </c>
      <c r="G349" s="53" t="s">
        <v>32</v>
      </c>
      <c r="H349" s="52">
        <v>43820</v>
      </c>
      <c r="I349" s="51">
        <v>2</v>
      </c>
    </row>
    <row r="350" spans="1:9" x14ac:dyDescent="0.25">
      <c r="A350" s="56" t="s">
        <v>20</v>
      </c>
      <c r="B350" s="58" t="s">
        <v>13</v>
      </c>
      <c r="C350" s="56" t="s">
        <v>20</v>
      </c>
      <c r="D350" s="56" t="s">
        <v>5</v>
      </c>
      <c r="E350" s="59">
        <v>39293</v>
      </c>
      <c r="F350" s="54">
        <f t="shared" ca="1" si="15"/>
        <v>9</v>
      </c>
      <c r="G350" s="53" t="s">
        <v>19</v>
      </c>
      <c r="H350" s="52">
        <v>44260</v>
      </c>
      <c r="I350" s="51">
        <v>1</v>
      </c>
    </row>
    <row r="351" spans="1:9" x14ac:dyDescent="0.25">
      <c r="A351" s="56" t="s">
        <v>20</v>
      </c>
      <c r="B351" s="58" t="s">
        <v>17</v>
      </c>
      <c r="C351" s="56" t="s">
        <v>20</v>
      </c>
      <c r="D351" s="56" t="s">
        <v>5</v>
      </c>
      <c r="E351" s="55">
        <v>39324</v>
      </c>
      <c r="F351" s="54">
        <f t="shared" ca="1" si="15"/>
        <v>9</v>
      </c>
      <c r="G351" s="53" t="s">
        <v>32</v>
      </c>
      <c r="H351" s="52">
        <v>47440</v>
      </c>
      <c r="I351" s="51">
        <v>3</v>
      </c>
    </row>
    <row r="352" spans="1:9" x14ac:dyDescent="0.25">
      <c r="A352" s="56" t="s">
        <v>20</v>
      </c>
      <c r="B352" s="58" t="s">
        <v>17</v>
      </c>
      <c r="C352" s="56" t="s">
        <v>20</v>
      </c>
      <c r="D352" s="56" t="s">
        <v>12</v>
      </c>
      <c r="E352" s="59">
        <v>39370</v>
      </c>
      <c r="F352" s="54">
        <f t="shared" ca="1" si="15"/>
        <v>9</v>
      </c>
      <c r="G352" s="53"/>
      <c r="H352" s="52">
        <v>57110</v>
      </c>
      <c r="I352" s="51">
        <v>3</v>
      </c>
    </row>
    <row r="353" spans="1:9" x14ac:dyDescent="0.25">
      <c r="A353" s="57" t="s">
        <v>823</v>
      </c>
      <c r="B353" s="58"/>
      <c r="C353" s="57"/>
      <c r="D353" s="56"/>
      <c r="E353" s="59"/>
      <c r="F353" s="54"/>
      <c r="G353" s="53"/>
      <c r="H353" s="52"/>
      <c r="I353" s="51"/>
    </row>
    <row r="354" spans="1:9" x14ac:dyDescent="0.25">
      <c r="A354" s="56" t="s">
        <v>95</v>
      </c>
      <c r="B354" s="58" t="s">
        <v>10</v>
      </c>
      <c r="C354" s="56" t="s">
        <v>95</v>
      </c>
      <c r="D354" s="56" t="s">
        <v>5</v>
      </c>
      <c r="E354" s="55">
        <v>32522</v>
      </c>
      <c r="F354" s="54">
        <f t="shared" ref="F354:F360" ca="1" si="16">DATEDIF(E354,TODAY(),"Y")</f>
        <v>27</v>
      </c>
      <c r="G354" s="53" t="s">
        <v>32</v>
      </c>
      <c r="H354" s="52">
        <v>39160</v>
      </c>
      <c r="I354" s="51">
        <v>3</v>
      </c>
    </row>
    <row r="355" spans="1:9" x14ac:dyDescent="0.25">
      <c r="A355" s="56" t="s">
        <v>95</v>
      </c>
      <c r="B355" s="58" t="s">
        <v>39</v>
      </c>
      <c r="C355" s="56" t="s">
        <v>95</v>
      </c>
      <c r="D355" s="56" t="s">
        <v>12</v>
      </c>
      <c r="E355" s="55">
        <v>35455</v>
      </c>
      <c r="F355" s="54">
        <f t="shared" ca="1" si="16"/>
        <v>19</v>
      </c>
      <c r="G355" s="53"/>
      <c r="H355" s="52">
        <v>74500</v>
      </c>
      <c r="I355" s="51">
        <v>4</v>
      </c>
    </row>
    <row r="356" spans="1:9" x14ac:dyDescent="0.25">
      <c r="A356" s="56" t="s">
        <v>95</v>
      </c>
      <c r="B356" s="58" t="s">
        <v>56</v>
      </c>
      <c r="C356" s="56" t="s">
        <v>95</v>
      </c>
      <c r="D356" s="56" t="s">
        <v>5</v>
      </c>
      <c r="E356" s="55">
        <v>36097</v>
      </c>
      <c r="F356" s="54">
        <f t="shared" ca="1" si="16"/>
        <v>18</v>
      </c>
      <c r="G356" s="53" t="s">
        <v>32</v>
      </c>
      <c r="H356" s="52">
        <v>59140</v>
      </c>
      <c r="I356" s="51">
        <v>5</v>
      </c>
    </row>
    <row r="357" spans="1:9" x14ac:dyDescent="0.25">
      <c r="A357" s="56" t="s">
        <v>95</v>
      </c>
      <c r="B357" s="58" t="s">
        <v>13</v>
      </c>
      <c r="C357" s="56" t="s">
        <v>95</v>
      </c>
      <c r="D357" s="56" t="s">
        <v>5</v>
      </c>
      <c r="E357" s="55">
        <v>36626</v>
      </c>
      <c r="F357" s="54">
        <f t="shared" ca="1" si="16"/>
        <v>16</v>
      </c>
      <c r="G357" s="53" t="s">
        <v>4</v>
      </c>
      <c r="H357" s="52">
        <v>53870</v>
      </c>
      <c r="I357" s="51">
        <v>2</v>
      </c>
    </row>
    <row r="358" spans="1:9" x14ac:dyDescent="0.25">
      <c r="A358" s="56" t="s">
        <v>95</v>
      </c>
      <c r="B358" s="58" t="s">
        <v>39</v>
      </c>
      <c r="C358" s="56" t="s">
        <v>95</v>
      </c>
      <c r="D358" s="56" t="s">
        <v>5</v>
      </c>
      <c r="E358" s="55">
        <v>37728</v>
      </c>
      <c r="F358" s="54">
        <f t="shared" ca="1" si="16"/>
        <v>13</v>
      </c>
      <c r="G358" s="53" t="s">
        <v>8</v>
      </c>
      <c r="H358" s="52">
        <v>71400</v>
      </c>
      <c r="I358" s="51">
        <v>4</v>
      </c>
    </row>
    <row r="359" spans="1:9" x14ac:dyDescent="0.25">
      <c r="A359" s="56" t="s">
        <v>95</v>
      </c>
      <c r="B359" s="58" t="s">
        <v>2</v>
      </c>
      <c r="C359" s="56" t="s">
        <v>95</v>
      </c>
      <c r="D359" s="56" t="s">
        <v>12</v>
      </c>
      <c r="E359" s="59">
        <v>38982</v>
      </c>
      <c r="F359" s="54">
        <f t="shared" ca="1" si="16"/>
        <v>10</v>
      </c>
      <c r="G359" s="53"/>
      <c r="H359" s="52">
        <v>61890</v>
      </c>
      <c r="I359" s="51">
        <v>2</v>
      </c>
    </row>
    <row r="360" spans="1:9" x14ac:dyDescent="0.25">
      <c r="A360" s="56" t="s">
        <v>95</v>
      </c>
      <c r="B360" s="58" t="s">
        <v>2</v>
      </c>
      <c r="C360" s="56" t="s">
        <v>95</v>
      </c>
      <c r="D360" s="56" t="s">
        <v>5</v>
      </c>
      <c r="E360" s="59">
        <v>39003</v>
      </c>
      <c r="F360" s="54">
        <f t="shared" ca="1" si="16"/>
        <v>10</v>
      </c>
      <c r="G360" s="53" t="s">
        <v>4</v>
      </c>
      <c r="H360" s="52">
        <v>27250</v>
      </c>
      <c r="I360" s="51">
        <v>5</v>
      </c>
    </row>
    <row r="361" spans="1:9" x14ac:dyDescent="0.25">
      <c r="A361" s="57" t="s">
        <v>822</v>
      </c>
      <c r="B361" s="58"/>
      <c r="C361" s="57"/>
      <c r="D361" s="56"/>
      <c r="E361" s="59"/>
      <c r="F361" s="54"/>
      <c r="G361" s="53"/>
      <c r="H361" s="52"/>
      <c r="I361" s="51"/>
    </row>
    <row r="362" spans="1:9" x14ac:dyDescent="0.25">
      <c r="A362" s="56" t="s">
        <v>60</v>
      </c>
      <c r="B362" s="58" t="s">
        <v>39</v>
      </c>
      <c r="C362" s="56" t="s">
        <v>60</v>
      </c>
      <c r="D362" s="56" t="s">
        <v>5</v>
      </c>
      <c r="E362" s="55">
        <v>31913</v>
      </c>
      <c r="F362" s="54">
        <f t="shared" ref="F362:F393" ca="1" si="17">DATEDIF(E362,TODAY(),"Y")</f>
        <v>29</v>
      </c>
      <c r="G362" s="53" t="s">
        <v>34</v>
      </c>
      <c r="H362" s="52">
        <v>31260</v>
      </c>
      <c r="I362" s="51">
        <v>5</v>
      </c>
    </row>
    <row r="363" spans="1:9" x14ac:dyDescent="0.25">
      <c r="A363" s="56" t="s">
        <v>60</v>
      </c>
      <c r="B363" s="58" t="s">
        <v>10</v>
      </c>
      <c r="C363" s="56" t="s">
        <v>60</v>
      </c>
      <c r="D363" s="56" t="s">
        <v>5</v>
      </c>
      <c r="E363" s="55">
        <v>31937</v>
      </c>
      <c r="F363" s="54">
        <f t="shared" ca="1" si="17"/>
        <v>29</v>
      </c>
      <c r="G363" s="53" t="s">
        <v>32</v>
      </c>
      <c r="H363" s="52">
        <v>62740</v>
      </c>
      <c r="I363" s="51">
        <v>4</v>
      </c>
    </row>
    <row r="364" spans="1:9" x14ac:dyDescent="0.25">
      <c r="A364" s="56" t="s">
        <v>60</v>
      </c>
      <c r="B364" s="58" t="s">
        <v>13</v>
      </c>
      <c r="C364" s="56" t="s">
        <v>60</v>
      </c>
      <c r="D364" s="56" t="s">
        <v>0</v>
      </c>
      <c r="E364" s="55">
        <v>31995</v>
      </c>
      <c r="F364" s="54">
        <f t="shared" ca="1" si="17"/>
        <v>29</v>
      </c>
      <c r="G364" s="53"/>
      <c r="H364" s="52">
        <v>36844</v>
      </c>
      <c r="I364" s="51">
        <v>4</v>
      </c>
    </row>
    <row r="365" spans="1:9" x14ac:dyDescent="0.25">
      <c r="A365" s="56" t="s">
        <v>60</v>
      </c>
      <c r="B365" s="58" t="s">
        <v>17</v>
      </c>
      <c r="C365" s="56" t="s">
        <v>60</v>
      </c>
      <c r="D365" s="56" t="s">
        <v>15</v>
      </c>
      <c r="E365" s="55">
        <v>32009</v>
      </c>
      <c r="F365" s="54">
        <f t="shared" ca="1" si="17"/>
        <v>29</v>
      </c>
      <c r="G365" s="53" t="s">
        <v>19</v>
      </c>
      <c r="H365" s="52">
        <v>13090</v>
      </c>
      <c r="I365" s="51">
        <v>4</v>
      </c>
    </row>
    <row r="366" spans="1:9" x14ac:dyDescent="0.25">
      <c r="A366" s="56" t="s">
        <v>60</v>
      </c>
      <c r="B366" s="58" t="s">
        <v>56</v>
      </c>
      <c r="C366" s="56" t="s">
        <v>60</v>
      </c>
      <c r="D366" s="56" t="s">
        <v>5</v>
      </c>
      <c r="E366" s="55">
        <v>32097</v>
      </c>
      <c r="F366" s="54">
        <f t="shared" ca="1" si="17"/>
        <v>28</v>
      </c>
      <c r="G366" s="53" t="s">
        <v>32</v>
      </c>
      <c r="H366" s="52">
        <v>22900</v>
      </c>
      <c r="I366" s="51">
        <v>1</v>
      </c>
    </row>
    <row r="367" spans="1:9" x14ac:dyDescent="0.25">
      <c r="A367" s="56" t="s">
        <v>60</v>
      </c>
      <c r="B367" s="58" t="s">
        <v>13</v>
      </c>
      <c r="C367" s="56" t="s">
        <v>60</v>
      </c>
      <c r="D367" s="56" t="s">
        <v>5</v>
      </c>
      <c r="E367" s="55">
        <v>32296</v>
      </c>
      <c r="F367" s="54">
        <f t="shared" ca="1" si="17"/>
        <v>28</v>
      </c>
      <c r="G367" s="53" t="s">
        <v>34</v>
      </c>
      <c r="H367" s="52">
        <v>87120</v>
      </c>
      <c r="I367" s="51">
        <v>3</v>
      </c>
    </row>
    <row r="368" spans="1:9" x14ac:dyDescent="0.25">
      <c r="A368" s="56" t="s">
        <v>60</v>
      </c>
      <c r="B368" s="58" t="s">
        <v>13</v>
      </c>
      <c r="C368" s="56" t="s">
        <v>60</v>
      </c>
      <c r="D368" s="56" t="s">
        <v>5</v>
      </c>
      <c r="E368" s="55">
        <v>32385</v>
      </c>
      <c r="F368" s="54">
        <f t="shared" ca="1" si="17"/>
        <v>28</v>
      </c>
      <c r="G368" s="53" t="s">
        <v>34</v>
      </c>
      <c r="H368" s="52">
        <v>60560</v>
      </c>
      <c r="I368" s="51">
        <v>4</v>
      </c>
    </row>
    <row r="369" spans="1:9" x14ac:dyDescent="0.25">
      <c r="A369" s="56" t="s">
        <v>60</v>
      </c>
      <c r="B369" s="58" t="s">
        <v>39</v>
      </c>
      <c r="C369" s="56" t="s">
        <v>60</v>
      </c>
      <c r="D369" s="56" t="s">
        <v>5</v>
      </c>
      <c r="E369" s="55">
        <v>32392</v>
      </c>
      <c r="F369" s="54">
        <f t="shared" ca="1" si="17"/>
        <v>28</v>
      </c>
      <c r="G369" s="53" t="s">
        <v>32</v>
      </c>
      <c r="H369" s="52">
        <v>37020</v>
      </c>
      <c r="I369" s="51">
        <v>2</v>
      </c>
    </row>
    <row r="370" spans="1:9" x14ac:dyDescent="0.25">
      <c r="A370" s="56" t="s">
        <v>60</v>
      </c>
      <c r="B370" s="58" t="s">
        <v>56</v>
      </c>
      <c r="C370" s="56" t="s">
        <v>60</v>
      </c>
      <c r="D370" s="56" t="s">
        <v>5</v>
      </c>
      <c r="E370" s="55">
        <v>32455</v>
      </c>
      <c r="F370" s="54">
        <f t="shared" ca="1" si="17"/>
        <v>27</v>
      </c>
      <c r="G370" s="53" t="s">
        <v>34</v>
      </c>
      <c r="H370" s="52">
        <v>73930</v>
      </c>
      <c r="I370" s="51">
        <v>1</v>
      </c>
    </row>
    <row r="371" spans="1:9" x14ac:dyDescent="0.25">
      <c r="A371" s="56" t="s">
        <v>60</v>
      </c>
      <c r="B371" s="58" t="s">
        <v>13</v>
      </c>
      <c r="C371" s="56" t="s">
        <v>60</v>
      </c>
      <c r="D371" s="56" t="s">
        <v>5</v>
      </c>
      <c r="E371" s="55">
        <v>32724</v>
      </c>
      <c r="F371" s="54">
        <f t="shared" ca="1" si="17"/>
        <v>27</v>
      </c>
      <c r="G371" s="53" t="s">
        <v>19</v>
      </c>
      <c r="H371" s="52">
        <v>45180</v>
      </c>
      <c r="I371" s="51">
        <v>5</v>
      </c>
    </row>
    <row r="372" spans="1:9" x14ac:dyDescent="0.25">
      <c r="A372" s="56" t="s">
        <v>60</v>
      </c>
      <c r="B372" s="58" t="s">
        <v>2</v>
      </c>
      <c r="C372" s="56" t="s">
        <v>60</v>
      </c>
      <c r="D372" s="56" t="s">
        <v>12</v>
      </c>
      <c r="E372" s="55">
        <v>32744</v>
      </c>
      <c r="F372" s="54">
        <f t="shared" ca="1" si="17"/>
        <v>27</v>
      </c>
      <c r="G372" s="53"/>
      <c r="H372" s="52">
        <v>29000</v>
      </c>
      <c r="I372" s="51">
        <v>5</v>
      </c>
    </row>
    <row r="373" spans="1:9" x14ac:dyDescent="0.25">
      <c r="A373" s="56" t="s">
        <v>60</v>
      </c>
      <c r="B373" s="58" t="s">
        <v>13</v>
      </c>
      <c r="C373" s="56" t="s">
        <v>60</v>
      </c>
      <c r="D373" s="56" t="s">
        <v>5</v>
      </c>
      <c r="E373" s="55">
        <v>32757</v>
      </c>
      <c r="F373" s="54">
        <f t="shared" ca="1" si="17"/>
        <v>27</v>
      </c>
      <c r="G373" s="53" t="s">
        <v>19</v>
      </c>
      <c r="H373" s="52">
        <v>86540</v>
      </c>
      <c r="I373" s="51">
        <v>4</v>
      </c>
    </row>
    <row r="374" spans="1:9" x14ac:dyDescent="0.25">
      <c r="A374" s="56" t="s">
        <v>60</v>
      </c>
      <c r="B374" s="58" t="s">
        <v>13</v>
      </c>
      <c r="C374" s="56" t="s">
        <v>60</v>
      </c>
      <c r="D374" s="56" t="s">
        <v>5</v>
      </c>
      <c r="E374" s="55">
        <v>32867</v>
      </c>
      <c r="F374" s="54">
        <f t="shared" ca="1" si="17"/>
        <v>26</v>
      </c>
      <c r="G374" s="53" t="s">
        <v>4</v>
      </c>
      <c r="H374" s="52">
        <v>65250</v>
      </c>
      <c r="I374" s="51">
        <v>2</v>
      </c>
    </row>
    <row r="375" spans="1:9" x14ac:dyDescent="0.25">
      <c r="A375" s="56" t="s">
        <v>60</v>
      </c>
      <c r="B375" s="58" t="s">
        <v>13</v>
      </c>
      <c r="C375" s="56" t="s">
        <v>60</v>
      </c>
      <c r="D375" s="56" t="s">
        <v>5</v>
      </c>
      <c r="E375" s="55">
        <v>33565</v>
      </c>
      <c r="F375" s="54">
        <f t="shared" ca="1" si="17"/>
        <v>24</v>
      </c>
      <c r="G375" s="53" t="s">
        <v>8</v>
      </c>
      <c r="H375" s="52">
        <v>66920</v>
      </c>
      <c r="I375" s="51">
        <v>2</v>
      </c>
    </row>
    <row r="376" spans="1:9" x14ac:dyDescent="0.25">
      <c r="A376" s="56" t="s">
        <v>60</v>
      </c>
      <c r="B376" s="58" t="s">
        <v>10</v>
      </c>
      <c r="C376" s="56" t="s">
        <v>60</v>
      </c>
      <c r="D376" s="56" t="s">
        <v>12</v>
      </c>
      <c r="E376" s="55">
        <v>33637</v>
      </c>
      <c r="F376" s="54">
        <f t="shared" ca="1" si="17"/>
        <v>24</v>
      </c>
      <c r="G376" s="53"/>
      <c r="H376" s="52">
        <v>81930</v>
      </c>
      <c r="I376" s="51">
        <v>5</v>
      </c>
    </row>
    <row r="377" spans="1:9" x14ac:dyDescent="0.25">
      <c r="A377" s="56" t="s">
        <v>60</v>
      </c>
      <c r="B377" s="58" t="s">
        <v>10</v>
      </c>
      <c r="C377" s="56" t="s">
        <v>60</v>
      </c>
      <c r="D377" s="56" t="s">
        <v>12</v>
      </c>
      <c r="E377" s="55">
        <v>33637</v>
      </c>
      <c r="F377" s="54">
        <f t="shared" ca="1" si="17"/>
        <v>24</v>
      </c>
      <c r="G377" s="53"/>
      <c r="H377" s="52">
        <v>81930</v>
      </c>
      <c r="I377" s="51">
        <v>5</v>
      </c>
    </row>
    <row r="378" spans="1:9" x14ac:dyDescent="0.25">
      <c r="A378" s="56" t="s">
        <v>60</v>
      </c>
      <c r="B378" s="58" t="s">
        <v>39</v>
      </c>
      <c r="C378" s="56" t="s">
        <v>60</v>
      </c>
      <c r="D378" s="56" t="s">
        <v>5</v>
      </c>
      <c r="E378" s="55">
        <v>33910</v>
      </c>
      <c r="F378" s="54">
        <f t="shared" ca="1" si="17"/>
        <v>24</v>
      </c>
      <c r="G378" s="53" t="s">
        <v>19</v>
      </c>
      <c r="H378" s="52">
        <v>70480</v>
      </c>
      <c r="I378" s="51">
        <v>4</v>
      </c>
    </row>
    <row r="379" spans="1:9" x14ac:dyDescent="0.25">
      <c r="A379" s="56" t="s">
        <v>60</v>
      </c>
      <c r="B379" s="58" t="s">
        <v>39</v>
      </c>
      <c r="C379" s="56" t="s">
        <v>60</v>
      </c>
      <c r="D379" s="56" t="s">
        <v>5</v>
      </c>
      <c r="E379" s="55">
        <v>33944</v>
      </c>
      <c r="F379" s="54">
        <f t="shared" ca="1" si="17"/>
        <v>23</v>
      </c>
      <c r="G379" s="53" t="s">
        <v>32</v>
      </c>
      <c r="H379" s="52">
        <v>48800</v>
      </c>
      <c r="I379" s="51">
        <v>4</v>
      </c>
    </row>
    <row r="380" spans="1:9" x14ac:dyDescent="0.25">
      <c r="A380" s="56" t="s">
        <v>60</v>
      </c>
      <c r="B380" s="58" t="s">
        <v>56</v>
      </c>
      <c r="C380" s="56" t="s">
        <v>60</v>
      </c>
      <c r="D380" s="56" t="s">
        <v>5</v>
      </c>
      <c r="E380" s="55">
        <v>33972</v>
      </c>
      <c r="F380" s="54">
        <f t="shared" ca="1" si="17"/>
        <v>23</v>
      </c>
      <c r="G380" s="53" t="s">
        <v>32</v>
      </c>
      <c r="H380" s="52">
        <v>57560</v>
      </c>
      <c r="I380" s="51">
        <v>4</v>
      </c>
    </row>
    <row r="381" spans="1:9" x14ac:dyDescent="0.25">
      <c r="A381" s="56" t="s">
        <v>60</v>
      </c>
      <c r="B381" s="58" t="s">
        <v>2</v>
      </c>
      <c r="C381" s="56" t="s">
        <v>60</v>
      </c>
      <c r="D381" s="56" t="s">
        <v>12</v>
      </c>
      <c r="E381" s="55">
        <v>34208</v>
      </c>
      <c r="F381" s="54">
        <f t="shared" ca="1" si="17"/>
        <v>23</v>
      </c>
      <c r="G381" s="53"/>
      <c r="H381" s="52">
        <v>53870</v>
      </c>
      <c r="I381" s="51">
        <v>2</v>
      </c>
    </row>
    <row r="382" spans="1:9" x14ac:dyDescent="0.25">
      <c r="A382" s="56" t="s">
        <v>60</v>
      </c>
      <c r="B382" s="58" t="s">
        <v>13</v>
      </c>
      <c r="C382" s="56" t="s">
        <v>60</v>
      </c>
      <c r="D382" s="56" t="s">
        <v>5</v>
      </c>
      <c r="E382" s="55">
        <v>34237</v>
      </c>
      <c r="F382" s="54">
        <f t="shared" ca="1" si="17"/>
        <v>23</v>
      </c>
      <c r="G382" s="53" t="s">
        <v>32</v>
      </c>
      <c r="H382" s="52">
        <v>81640</v>
      </c>
      <c r="I382" s="51">
        <v>4</v>
      </c>
    </row>
    <row r="383" spans="1:9" x14ac:dyDescent="0.25">
      <c r="A383" s="56" t="s">
        <v>60</v>
      </c>
      <c r="B383" s="58" t="s">
        <v>13</v>
      </c>
      <c r="C383" s="56" t="s">
        <v>60</v>
      </c>
      <c r="D383" s="56" t="s">
        <v>5</v>
      </c>
      <c r="E383" s="55">
        <v>34237</v>
      </c>
      <c r="F383" s="54">
        <f t="shared" ca="1" si="17"/>
        <v>23</v>
      </c>
      <c r="G383" s="53" t="s">
        <v>32</v>
      </c>
      <c r="H383" s="52">
        <v>81640</v>
      </c>
      <c r="I383" s="51">
        <v>4</v>
      </c>
    </row>
    <row r="384" spans="1:9" x14ac:dyDescent="0.25">
      <c r="A384" s="56" t="s">
        <v>60</v>
      </c>
      <c r="B384" s="58" t="s">
        <v>13</v>
      </c>
      <c r="C384" s="56" t="s">
        <v>60</v>
      </c>
      <c r="D384" s="56" t="s">
        <v>12</v>
      </c>
      <c r="E384" s="55">
        <v>34372</v>
      </c>
      <c r="F384" s="54">
        <f t="shared" ca="1" si="17"/>
        <v>22</v>
      </c>
      <c r="G384" s="53"/>
      <c r="H384" s="52">
        <v>63850</v>
      </c>
      <c r="I384" s="51">
        <v>2</v>
      </c>
    </row>
    <row r="385" spans="1:9" x14ac:dyDescent="0.25">
      <c r="A385" s="56" t="s">
        <v>60</v>
      </c>
      <c r="B385" s="58" t="s">
        <v>17</v>
      </c>
      <c r="C385" s="56" t="s">
        <v>60</v>
      </c>
      <c r="D385" s="56" t="s">
        <v>12</v>
      </c>
      <c r="E385" s="55">
        <v>34466</v>
      </c>
      <c r="F385" s="54">
        <f t="shared" ca="1" si="17"/>
        <v>22</v>
      </c>
      <c r="G385" s="53"/>
      <c r="H385" s="52">
        <v>77930</v>
      </c>
      <c r="I385" s="51">
        <v>5</v>
      </c>
    </row>
    <row r="386" spans="1:9" x14ac:dyDescent="0.25">
      <c r="A386" s="56" t="s">
        <v>60</v>
      </c>
      <c r="B386" s="58" t="s">
        <v>39</v>
      </c>
      <c r="C386" s="56" t="s">
        <v>60</v>
      </c>
      <c r="D386" s="56" t="s">
        <v>5</v>
      </c>
      <c r="E386" s="55">
        <v>34546</v>
      </c>
      <c r="F386" s="54">
        <f t="shared" ca="1" si="17"/>
        <v>22</v>
      </c>
      <c r="G386" s="53" t="s">
        <v>8</v>
      </c>
      <c r="H386" s="52">
        <v>86830</v>
      </c>
      <c r="I386" s="51">
        <v>3</v>
      </c>
    </row>
    <row r="387" spans="1:9" x14ac:dyDescent="0.25">
      <c r="A387" s="56" t="s">
        <v>60</v>
      </c>
      <c r="B387" s="58" t="s">
        <v>17</v>
      </c>
      <c r="C387" s="56" t="s">
        <v>60</v>
      </c>
      <c r="D387" s="56" t="s">
        <v>5</v>
      </c>
      <c r="E387" s="55">
        <v>34547</v>
      </c>
      <c r="F387" s="54">
        <f t="shared" ca="1" si="17"/>
        <v>22</v>
      </c>
      <c r="G387" s="53" t="s">
        <v>4</v>
      </c>
      <c r="H387" s="52">
        <v>82110</v>
      </c>
      <c r="I387" s="51">
        <v>3</v>
      </c>
    </row>
    <row r="388" spans="1:9" x14ac:dyDescent="0.25">
      <c r="A388" s="56" t="s">
        <v>60</v>
      </c>
      <c r="B388" s="58" t="s">
        <v>13</v>
      </c>
      <c r="C388" s="56" t="s">
        <v>60</v>
      </c>
      <c r="D388" s="56" t="s">
        <v>15</v>
      </c>
      <c r="E388" s="55">
        <v>34784</v>
      </c>
      <c r="F388" s="54">
        <f t="shared" ca="1" si="17"/>
        <v>21</v>
      </c>
      <c r="G388" s="53" t="s">
        <v>32</v>
      </c>
      <c r="H388" s="52">
        <v>47885</v>
      </c>
      <c r="I388" s="51">
        <v>1</v>
      </c>
    </row>
    <row r="389" spans="1:9" x14ac:dyDescent="0.25">
      <c r="A389" s="56" t="s">
        <v>60</v>
      </c>
      <c r="B389" s="58" t="s">
        <v>13</v>
      </c>
      <c r="C389" s="56" t="s">
        <v>60</v>
      </c>
      <c r="D389" s="56" t="s">
        <v>5</v>
      </c>
      <c r="E389" s="55">
        <v>34806</v>
      </c>
      <c r="F389" s="54">
        <f t="shared" ca="1" si="17"/>
        <v>21</v>
      </c>
      <c r="G389" s="53" t="s">
        <v>8</v>
      </c>
      <c r="H389" s="52">
        <v>49770</v>
      </c>
      <c r="I389" s="51">
        <v>1</v>
      </c>
    </row>
    <row r="390" spans="1:9" x14ac:dyDescent="0.25">
      <c r="A390" s="56" t="s">
        <v>60</v>
      </c>
      <c r="B390" s="58" t="s">
        <v>39</v>
      </c>
      <c r="C390" s="56" t="s">
        <v>60</v>
      </c>
      <c r="D390" s="56" t="s">
        <v>15</v>
      </c>
      <c r="E390" s="55">
        <v>34811</v>
      </c>
      <c r="F390" s="54">
        <f t="shared" ca="1" si="17"/>
        <v>21</v>
      </c>
      <c r="G390" s="53" t="s">
        <v>4</v>
      </c>
      <c r="H390" s="52">
        <v>28880</v>
      </c>
      <c r="I390" s="51">
        <v>3</v>
      </c>
    </row>
    <row r="391" spans="1:9" x14ac:dyDescent="0.25">
      <c r="A391" s="56" t="s">
        <v>60</v>
      </c>
      <c r="B391" s="58" t="s">
        <v>39</v>
      </c>
      <c r="C391" s="56" t="s">
        <v>60</v>
      </c>
      <c r="D391" s="56" t="s">
        <v>12</v>
      </c>
      <c r="E391" s="55">
        <v>34882</v>
      </c>
      <c r="F391" s="54">
        <f t="shared" ca="1" si="17"/>
        <v>21</v>
      </c>
      <c r="G391" s="53"/>
      <c r="H391" s="52">
        <v>47620</v>
      </c>
      <c r="I391" s="51">
        <v>5</v>
      </c>
    </row>
    <row r="392" spans="1:9" x14ac:dyDescent="0.25">
      <c r="A392" s="56" t="s">
        <v>60</v>
      </c>
      <c r="B392" s="58" t="s">
        <v>56</v>
      </c>
      <c r="C392" s="56" t="s">
        <v>60</v>
      </c>
      <c r="D392" s="56" t="s">
        <v>12</v>
      </c>
      <c r="E392" s="55">
        <v>34889</v>
      </c>
      <c r="F392" s="54">
        <f t="shared" ca="1" si="17"/>
        <v>21</v>
      </c>
      <c r="G392" s="53"/>
      <c r="H392" s="52">
        <v>31270</v>
      </c>
      <c r="I392" s="51">
        <v>5</v>
      </c>
    </row>
    <row r="393" spans="1:9" x14ac:dyDescent="0.25">
      <c r="A393" s="56" t="s">
        <v>60</v>
      </c>
      <c r="B393" s="58" t="s">
        <v>2</v>
      </c>
      <c r="C393" s="56" t="s">
        <v>60</v>
      </c>
      <c r="D393" s="56" t="s">
        <v>5</v>
      </c>
      <c r="E393" s="55">
        <v>34987</v>
      </c>
      <c r="F393" s="54">
        <f t="shared" ca="1" si="17"/>
        <v>21</v>
      </c>
      <c r="G393" s="53" t="s">
        <v>32</v>
      </c>
      <c r="H393" s="52">
        <v>46030</v>
      </c>
      <c r="I393" s="51">
        <v>2</v>
      </c>
    </row>
    <row r="394" spans="1:9" x14ac:dyDescent="0.25">
      <c r="A394" s="56" t="s">
        <v>60</v>
      </c>
      <c r="B394" s="58" t="s">
        <v>10</v>
      </c>
      <c r="C394" s="56" t="s">
        <v>60</v>
      </c>
      <c r="D394" s="56" t="s">
        <v>15</v>
      </c>
      <c r="E394" s="55">
        <v>35061</v>
      </c>
      <c r="F394" s="54">
        <f t="shared" ref="F394:F416" ca="1" si="18">DATEDIF(E394,TODAY(),"Y")</f>
        <v>20</v>
      </c>
      <c r="G394" s="53" t="s">
        <v>4</v>
      </c>
      <c r="H394" s="52">
        <v>26790</v>
      </c>
      <c r="I394" s="51">
        <v>2</v>
      </c>
    </row>
    <row r="395" spans="1:9" x14ac:dyDescent="0.25">
      <c r="A395" s="56" t="s">
        <v>60</v>
      </c>
      <c r="B395" s="58" t="s">
        <v>56</v>
      </c>
      <c r="C395" s="56" t="s">
        <v>60</v>
      </c>
      <c r="D395" s="56" t="s">
        <v>5</v>
      </c>
      <c r="E395" s="55">
        <v>35082</v>
      </c>
      <c r="F395" s="54">
        <f t="shared" ca="1" si="18"/>
        <v>20</v>
      </c>
      <c r="G395" s="53" t="s">
        <v>4</v>
      </c>
      <c r="H395" s="52">
        <v>51410</v>
      </c>
      <c r="I395" s="51">
        <v>4</v>
      </c>
    </row>
    <row r="396" spans="1:9" x14ac:dyDescent="0.25">
      <c r="A396" s="56" t="s">
        <v>60</v>
      </c>
      <c r="B396" s="58" t="s">
        <v>17</v>
      </c>
      <c r="C396" s="56" t="s">
        <v>60</v>
      </c>
      <c r="D396" s="56" t="s">
        <v>5</v>
      </c>
      <c r="E396" s="55">
        <v>35146</v>
      </c>
      <c r="F396" s="54">
        <f t="shared" ca="1" si="18"/>
        <v>20</v>
      </c>
      <c r="G396" s="53" t="s">
        <v>4</v>
      </c>
      <c r="H396" s="52">
        <v>43460</v>
      </c>
      <c r="I396" s="51">
        <v>5</v>
      </c>
    </row>
    <row r="397" spans="1:9" x14ac:dyDescent="0.25">
      <c r="A397" s="56" t="s">
        <v>60</v>
      </c>
      <c r="B397" s="58" t="s">
        <v>13</v>
      </c>
      <c r="C397" s="56" t="s">
        <v>60</v>
      </c>
      <c r="D397" s="56" t="s">
        <v>5</v>
      </c>
      <c r="E397" s="55">
        <v>35153</v>
      </c>
      <c r="F397" s="54">
        <f t="shared" ca="1" si="18"/>
        <v>20</v>
      </c>
      <c r="G397" s="53" t="s">
        <v>32</v>
      </c>
      <c r="H397" s="52">
        <v>44220</v>
      </c>
      <c r="I397" s="51">
        <v>3</v>
      </c>
    </row>
    <row r="398" spans="1:9" x14ac:dyDescent="0.25">
      <c r="A398" s="56" t="s">
        <v>60</v>
      </c>
      <c r="B398" s="58" t="s">
        <v>39</v>
      </c>
      <c r="C398" s="56" t="s">
        <v>60</v>
      </c>
      <c r="D398" s="56" t="s">
        <v>5</v>
      </c>
      <c r="E398" s="55">
        <v>35352</v>
      </c>
      <c r="F398" s="54">
        <f t="shared" ca="1" si="18"/>
        <v>20</v>
      </c>
      <c r="G398" s="53" t="s">
        <v>4</v>
      </c>
      <c r="H398" s="52">
        <v>52490</v>
      </c>
      <c r="I398" s="51">
        <v>4</v>
      </c>
    </row>
    <row r="399" spans="1:9" x14ac:dyDescent="0.25">
      <c r="A399" s="56" t="s">
        <v>60</v>
      </c>
      <c r="B399" s="58" t="s">
        <v>13</v>
      </c>
      <c r="C399" s="56" t="s">
        <v>60</v>
      </c>
      <c r="D399" s="56" t="s">
        <v>12</v>
      </c>
      <c r="E399" s="55">
        <v>35393</v>
      </c>
      <c r="F399" s="54">
        <f t="shared" ca="1" si="18"/>
        <v>19</v>
      </c>
      <c r="G399" s="53"/>
      <c r="H399" s="52">
        <v>50200</v>
      </c>
      <c r="I399" s="51">
        <v>4</v>
      </c>
    </row>
    <row r="400" spans="1:9" x14ac:dyDescent="0.25">
      <c r="A400" s="56" t="s">
        <v>60</v>
      </c>
      <c r="B400" s="58" t="s">
        <v>39</v>
      </c>
      <c r="C400" s="56" t="s">
        <v>60</v>
      </c>
      <c r="D400" s="56" t="s">
        <v>5</v>
      </c>
      <c r="E400" s="55">
        <v>35630</v>
      </c>
      <c r="F400" s="54">
        <f t="shared" ca="1" si="18"/>
        <v>19</v>
      </c>
      <c r="G400" s="53" t="s">
        <v>32</v>
      </c>
      <c r="H400" s="52">
        <v>48990</v>
      </c>
      <c r="I400" s="51">
        <v>5</v>
      </c>
    </row>
    <row r="401" spans="1:9" x14ac:dyDescent="0.25">
      <c r="A401" s="56" t="s">
        <v>60</v>
      </c>
      <c r="B401" s="58" t="s">
        <v>39</v>
      </c>
      <c r="C401" s="56" t="s">
        <v>60</v>
      </c>
      <c r="D401" s="56" t="s">
        <v>15</v>
      </c>
      <c r="E401" s="55">
        <v>35828</v>
      </c>
      <c r="F401" s="54">
        <f t="shared" ca="1" si="18"/>
        <v>18</v>
      </c>
      <c r="G401" s="53" t="s">
        <v>34</v>
      </c>
      <c r="H401" s="52">
        <v>31110</v>
      </c>
      <c r="I401" s="51">
        <v>1</v>
      </c>
    </row>
    <row r="402" spans="1:9" x14ac:dyDescent="0.25">
      <c r="A402" s="56" t="s">
        <v>60</v>
      </c>
      <c r="B402" s="58" t="s">
        <v>10</v>
      </c>
      <c r="C402" s="56" t="s">
        <v>60</v>
      </c>
      <c r="D402" s="56" t="s">
        <v>15</v>
      </c>
      <c r="E402" s="55">
        <v>35831</v>
      </c>
      <c r="F402" s="54">
        <f t="shared" ca="1" si="18"/>
        <v>18</v>
      </c>
      <c r="G402" s="53" t="s">
        <v>8</v>
      </c>
      <c r="H402" s="52">
        <v>15910</v>
      </c>
      <c r="I402" s="51">
        <v>3</v>
      </c>
    </row>
    <row r="403" spans="1:9" x14ac:dyDescent="0.25">
      <c r="A403" s="56" t="s">
        <v>60</v>
      </c>
      <c r="B403" s="58" t="s">
        <v>17</v>
      </c>
      <c r="C403" s="56" t="s">
        <v>60</v>
      </c>
      <c r="D403" s="56" t="s">
        <v>15</v>
      </c>
      <c r="E403" s="55">
        <v>35856</v>
      </c>
      <c r="F403" s="54">
        <f t="shared" ca="1" si="18"/>
        <v>18</v>
      </c>
      <c r="G403" s="53" t="s">
        <v>34</v>
      </c>
      <c r="H403" s="52">
        <v>47295</v>
      </c>
      <c r="I403" s="51">
        <v>4</v>
      </c>
    </row>
    <row r="404" spans="1:9" x14ac:dyDescent="0.25">
      <c r="A404" s="56" t="s">
        <v>60</v>
      </c>
      <c r="B404" s="58" t="s">
        <v>13</v>
      </c>
      <c r="C404" s="56" t="s">
        <v>60</v>
      </c>
      <c r="D404" s="56" t="s">
        <v>15</v>
      </c>
      <c r="E404" s="55">
        <v>37052</v>
      </c>
      <c r="F404" s="54">
        <f t="shared" ca="1" si="18"/>
        <v>15</v>
      </c>
      <c r="G404" s="53" t="s">
        <v>32</v>
      </c>
      <c r="H404" s="52">
        <v>31255</v>
      </c>
      <c r="I404" s="51">
        <v>5</v>
      </c>
    </row>
    <row r="405" spans="1:9" x14ac:dyDescent="0.25">
      <c r="A405" s="56" t="s">
        <v>60</v>
      </c>
      <c r="B405" s="58" t="s">
        <v>56</v>
      </c>
      <c r="C405" s="56" t="s">
        <v>60</v>
      </c>
      <c r="D405" s="56" t="s">
        <v>12</v>
      </c>
      <c r="E405" s="55">
        <v>37186</v>
      </c>
      <c r="F405" s="54">
        <f t="shared" ca="1" si="18"/>
        <v>15</v>
      </c>
      <c r="G405" s="53"/>
      <c r="H405" s="52">
        <v>57520</v>
      </c>
      <c r="I405" s="51">
        <v>3</v>
      </c>
    </row>
    <row r="406" spans="1:9" x14ac:dyDescent="0.25">
      <c r="A406" s="56" t="s">
        <v>60</v>
      </c>
      <c r="B406" s="58" t="s">
        <v>39</v>
      </c>
      <c r="C406" s="56" t="s">
        <v>60</v>
      </c>
      <c r="D406" s="56" t="s">
        <v>15</v>
      </c>
      <c r="E406" s="55">
        <v>37788</v>
      </c>
      <c r="F406" s="54">
        <f t="shared" ca="1" si="18"/>
        <v>13</v>
      </c>
      <c r="G406" s="53" t="s">
        <v>4</v>
      </c>
      <c r="H406" s="52">
        <v>47705</v>
      </c>
      <c r="I406" s="51">
        <v>5</v>
      </c>
    </row>
    <row r="407" spans="1:9" x14ac:dyDescent="0.25">
      <c r="A407" s="56" t="s">
        <v>60</v>
      </c>
      <c r="B407" s="58" t="s">
        <v>39</v>
      </c>
      <c r="C407" s="56" t="s">
        <v>60</v>
      </c>
      <c r="D407" s="56" t="s">
        <v>15</v>
      </c>
      <c r="E407" s="55">
        <v>37788</v>
      </c>
      <c r="F407" s="54">
        <f t="shared" ca="1" si="18"/>
        <v>13</v>
      </c>
      <c r="G407" s="53" t="s">
        <v>4</v>
      </c>
      <c r="H407" s="52">
        <v>47705</v>
      </c>
      <c r="I407" s="51">
        <v>5</v>
      </c>
    </row>
    <row r="408" spans="1:9" x14ac:dyDescent="0.25">
      <c r="A408" s="56" t="s">
        <v>60</v>
      </c>
      <c r="B408" s="58" t="s">
        <v>39</v>
      </c>
      <c r="C408" s="56" t="s">
        <v>60</v>
      </c>
      <c r="D408" s="56" t="s">
        <v>5</v>
      </c>
      <c r="E408" s="55">
        <v>37847</v>
      </c>
      <c r="F408" s="54">
        <f t="shared" ca="1" si="18"/>
        <v>13</v>
      </c>
      <c r="G408" s="53" t="s">
        <v>4</v>
      </c>
      <c r="H408" s="52">
        <v>47610</v>
      </c>
      <c r="I408" s="51">
        <v>4</v>
      </c>
    </row>
    <row r="409" spans="1:9" x14ac:dyDescent="0.25">
      <c r="A409" s="56" t="s">
        <v>60</v>
      </c>
      <c r="B409" s="58" t="s">
        <v>17</v>
      </c>
      <c r="C409" s="56" t="s">
        <v>60</v>
      </c>
      <c r="D409" s="56" t="s">
        <v>12</v>
      </c>
      <c r="E409" s="55">
        <v>37973</v>
      </c>
      <c r="F409" s="54">
        <f t="shared" ca="1" si="18"/>
        <v>12</v>
      </c>
      <c r="G409" s="53"/>
      <c r="H409" s="52">
        <v>74470</v>
      </c>
      <c r="I409" s="51">
        <v>3</v>
      </c>
    </row>
    <row r="410" spans="1:9" x14ac:dyDescent="0.25">
      <c r="A410" s="56" t="s">
        <v>60</v>
      </c>
      <c r="B410" s="58" t="s">
        <v>39</v>
      </c>
      <c r="C410" s="56" t="s">
        <v>60</v>
      </c>
      <c r="D410" s="56" t="s">
        <v>15</v>
      </c>
      <c r="E410" s="55">
        <v>38561</v>
      </c>
      <c r="F410" s="54">
        <f t="shared" ca="1" si="18"/>
        <v>11</v>
      </c>
      <c r="G410" s="53" t="s">
        <v>19</v>
      </c>
      <c r="H410" s="52">
        <v>38575</v>
      </c>
      <c r="I410" s="51">
        <v>2</v>
      </c>
    </row>
    <row r="411" spans="1:9" x14ac:dyDescent="0.25">
      <c r="A411" s="56" t="s">
        <v>60</v>
      </c>
      <c r="B411" s="58" t="s">
        <v>2</v>
      </c>
      <c r="C411" s="56" t="s">
        <v>60</v>
      </c>
      <c r="D411" s="56" t="s">
        <v>5</v>
      </c>
      <c r="E411" s="55">
        <v>38773</v>
      </c>
      <c r="F411" s="54">
        <f t="shared" ca="1" si="18"/>
        <v>10</v>
      </c>
      <c r="G411" s="53" t="s">
        <v>4</v>
      </c>
      <c r="H411" s="52">
        <v>44150</v>
      </c>
      <c r="I411" s="51">
        <v>4</v>
      </c>
    </row>
    <row r="412" spans="1:9" x14ac:dyDescent="0.25">
      <c r="A412" s="56" t="s">
        <v>60</v>
      </c>
      <c r="B412" s="58" t="s">
        <v>17</v>
      </c>
      <c r="C412" s="56" t="s">
        <v>60</v>
      </c>
      <c r="D412" s="56" t="s">
        <v>5</v>
      </c>
      <c r="E412" s="55">
        <v>38899</v>
      </c>
      <c r="F412" s="54">
        <f t="shared" ca="1" si="18"/>
        <v>10</v>
      </c>
      <c r="G412" s="53" t="s">
        <v>4</v>
      </c>
      <c r="H412" s="52">
        <v>45260</v>
      </c>
      <c r="I412" s="51">
        <v>4</v>
      </c>
    </row>
    <row r="413" spans="1:9" x14ac:dyDescent="0.25">
      <c r="A413" s="56" t="s">
        <v>60</v>
      </c>
      <c r="B413" s="58" t="s">
        <v>17</v>
      </c>
      <c r="C413" s="56" t="s">
        <v>60</v>
      </c>
      <c r="D413" s="56" t="s">
        <v>15</v>
      </c>
      <c r="E413" s="55">
        <v>39041</v>
      </c>
      <c r="F413" s="54">
        <f t="shared" ca="1" si="18"/>
        <v>9</v>
      </c>
      <c r="G413" s="53" t="s">
        <v>4</v>
      </c>
      <c r="H413" s="52">
        <v>20040</v>
      </c>
      <c r="I413" s="51">
        <v>3</v>
      </c>
    </row>
    <row r="414" spans="1:9" x14ac:dyDescent="0.25">
      <c r="A414" s="56" t="s">
        <v>60</v>
      </c>
      <c r="B414" s="58" t="s">
        <v>17</v>
      </c>
      <c r="C414" s="56" t="s">
        <v>60</v>
      </c>
      <c r="D414" s="56" t="s">
        <v>5</v>
      </c>
      <c r="E414" s="55">
        <v>39051</v>
      </c>
      <c r="F414" s="54">
        <f t="shared" ca="1" si="18"/>
        <v>9</v>
      </c>
      <c r="G414" s="53" t="s">
        <v>19</v>
      </c>
      <c r="H414" s="52">
        <v>75780</v>
      </c>
      <c r="I414" s="51">
        <v>2</v>
      </c>
    </row>
    <row r="415" spans="1:9" x14ac:dyDescent="0.25">
      <c r="A415" s="56" t="s">
        <v>60</v>
      </c>
      <c r="B415" s="58" t="s">
        <v>17</v>
      </c>
      <c r="C415" s="56" t="s">
        <v>60</v>
      </c>
      <c r="D415" s="56" t="s">
        <v>5</v>
      </c>
      <c r="E415" s="55">
        <v>39137</v>
      </c>
      <c r="F415" s="54">
        <f t="shared" ca="1" si="18"/>
        <v>9</v>
      </c>
      <c r="G415" s="53" t="s">
        <v>32</v>
      </c>
      <c r="H415" s="52">
        <v>33970</v>
      </c>
      <c r="I415" s="51">
        <v>4</v>
      </c>
    </row>
    <row r="416" spans="1:9" x14ac:dyDescent="0.25">
      <c r="A416" s="56" t="s">
        <v>60</v>
      </c>
      <c r="B416" s="58" t="s">
        <v>17</v>
      </c>
      <c r="C416" s="56" t="s">
        <v>60</v>
      </c>
      <c r="D416" s="56" t="s">
        <v>5</v>
      </c>
      <c r="E416" s="55">
        <v>39137</v>
      </c>
      <c r="F416" s="54">
        <f t="shared" ca="1" si="18"/>
        <v>9</v>
      </c>
      <c r="G416" s="53" t="s">
        <v>32</v>
      </c>
      <c r="H416" s="52">
        <v>33970</v>
      </c>
      <c r="I416" s="51">
        <v>4</v>
      </c>
    </row>
    <row r="417" spans="1:9" x14ac:dyDescent="0.25">
      <c r="A417" s="57" t="s">
        <v>821</v>
      </c>
      <c r="B417" s="58"/>
      <c r="C417" s="57"/>
      <c r="D417" s="56"/>
      <c r="E417" s="55"/>
      <c r="F417" s="54"/>
      <c r="G417" s="53"/>
      <c r="H417" s="52"/>
      <c r="I417" s="51"/>
    </row>
    <row r="418" spans="1:9" x14ac:dyDescent="0.25">
      <c r="A418" s="56" t="s">
        <v>9</v>
      </c>
      <c r="B418" s="58" t="s">
        <v>10</v>
      </c>
      <c r="C418" s="56" t="s">
        <v>9</v>
      </c>
      <c r="D418" s="56" t="s">
        <v>5</v>
      </c>
      <c r="E418" s="55">
        <v>32307</v>
      </c>
      <c r="F418" s="54">
        <f t="shared" ref="F418:F438" ca="1" si="19">DATEDIF(E418,TODAY(),"Y")</f>
        <v>28</v>
      </c>
      <c r="G418" s="53" t="s">
        <v>32</v>
      </c>
      <c r="H418" s="52">
        <v>39110</v>
      </c>
      <c r="I418" s="51">
        <v>5</v>
      </c>
    </row>
    <row r="419" spans="1:9" x14ac:dyDescent="0.25">
      <c r="A419" s="56" t="s">
        <v>9</v>
      </c>
      <c r="B419" s="58" t="s">
        <v>13</v>
      </c>
      <c r="C419" s="56" t="s">
        <v>9</v>
      </c>
      <c r="D419" s="56" t="s">
        <v>5</v>
      </c>
      <c r="E419" s="55">
        <v>32431</v>
      </c>
      <c r="F419" s="54">
        <f t="shared" ca="1" si="19"/>
        <v>28</v>
      </c>
      <c r="G419" s="53" t="s">
        <v>32</v>
      </c>
      <c r="H419" s="52">
        <v>48550</v>
      </c>
      <c r="I419" s="51">
        <v>5</v>
      </c>
    </row>
    <row r="420" spans="1:9" x14ac:dyDescent="0.25">
      <c r="A420" s="56" t="s">
        <v>9</v>
      </c>
      <c r="B420" s="58" t="s">
        <v>13</v>
      </c>
      <c r="C420" s="56" t="s">
        <v>9</v>
      </c>
      <c r="D420" s="56" t="s">
        <v>5</v>
      </c>
      <c r="E420" s="55">
        <v>32594</v>
      </c>
      <c r="F420" s="54">
        <f t="shared" ca="1" si="19"/>
        <v>27</v>
      </c>
      <c r="G420" s="53" t="s">
        <v>34</v>
      </c>
      <c r="H420" s="52">
        <v>87980</v>
      </c>
      <c r="I420" s="51">
        <v>1</v>
      </c>
    </row>
    <row r="421" spans="1:9" x14ac:dyDescent="0.25">
      <c r="A421" s="56" t="s">
        <v>9</v>
      </c>
      <c r="B421" s="58" t="s">
        <v>13</v>
      </c>
      <c r="C421" s="56" t="s">
        <v>9</v>
      </c>
      <c r="D421" s="56" t="s">
        <v>5</v>
      </c>
      <c r="E421" s="55">
        <v>33811</v>
      </c>
      <c r="F421" s="54">
        <f t="shared" ca="1" si="19"/>
        <v>24</v>
      </c>
      <c r="G421" s="53" t="s">
        <v>4</v>
      </c>
      <c r="H421" s="52">
        <v>22860</v>
      </c>
      <c r="I421" s="51">
        <v>5</v>
      </c>
    </row>
    <row r="422" spans="1:9" x14ac:dyDescent="0.25">
      <c r="A422" s="56" t="s">
        <v>9</v>
      </c>
      <c r="B422" s="58" t="s">
        <v>10</v>
      </c>
      <c r="C422" s="56" t="s">
        <v>9</v>
      </c>
      <c r="D422" s="56" t="s">
        <v>15</v>
      </c>
      <c r="E422" s="55">
        <v>33840</v>
      </c>
      <c r="F422" s="54">
        <f t="shared" ca="1" si="19"/>
        <v>24</v>
      </c>
      <c r="G422" s="53" t="s">
        <v>32</v>
      </c>
      <c r="H422" s="52">
        <v>49405</v>
      </c>
      <c r="I422" s="51">
        <v>4</v>
      </c>
    </row>
    <row r="423" spans="1:9" x14ac:dyDescent="0.25">
      <c r="A423" s="56" t="s">
        <v>9</v>
      </c>
      <c r="B423" s="58" t="s">
        <v>17</v>
      </c>
      <c r="C423" s="56" t="s">
        <v>9</v>
      </c>
      <c r="D423" s="56" t="s">
        <v>0</v>
      </c>
      <c r="E423" s="55">
        <v>34071</v>
      </c>
      <c r="F423" s="54">
        <f t="shared" ca="1" si="19"/>
        <v>23</v>
      </c>
      <c r="G423" s="53"/>
      <c r="H423" s="52">
        <v>35312</v>
      </c>
      <c r="I423" s="51">
        <v>3</v>
      </c>
    </row>
    <row r="424" spans="1:9" x14ac:dyDescent="0.25">
      <c r="A424" s="56" t="s">
        <v>9</v>
      </c>
      <c r="B424" s="58" t="s">
        <v>13</v>
      </c>
      <c r="C424" s="56" t="s">
        <v>9</v>
      </c>
      <c r="D424" s="56" t="s">
        <v>12</v>
      </c>
      <c r="E424" s="55">
        <v>34137</v>
      </c>
      <c r="F424" s="54">
        <f t="shared" ca="1" si="19"/>
        <v>23</v>
      </c>
      <c r="G424" s="53"/>
      <c r="H424" s="52">
        <v>54190</v>
      </c>
      <c r="I424" s="51">
        <v>4</v>
      </c>
    </row>
    <row r="425" spans="1:9" x14ac:dyDescent="0.25">
      <c r="A425" s="56" t="s">
        <v>9</v>
      </c>
      <c r="B425" s="58" t="s">
        <v>56</v>
      </c>
      <c r="C425" s="56" t="s">
        <v>9</v>
      </c>
      <c r="D425" s="56" t="s">
        <v>12</v>
      </c>
      <c r="E425" s="55">
        <v>34414</v>
      </c>
      <c r="F425" s="54">
        <f t="shared" ca="1" si="19"/>
        <v>22</v>
      </c>
      <c r="G425" s="53"/>
      <c r="H425" s="52">
        <v>86470</v>
      </c>
      <c r="I425" s="51">
        <v>4</v>
      </c>
    </row>
    <row r="426" spans="1:9" x14ac:dyDescent="0.25">
      <c r="A426" s="56" t="s">
        <v>9</v>
      </c>
      <c r="B426" s="58" t="s">
        <v>17</v>
      </c>
      <c r="C426" s="56" t="s">
        <v>9</v>
      </c>
      <c r="D426" s="56" t="s">
        <v>15</v>
      </c>
      <c r="E426" s="55">
        <v>34651</v>
      </c>
      <c r="F426" s="54">
        <f t="shared" ca="1" si="19"/>
        <v>21</v>
      </c>
      <c r="G426" s="53" t="s">
        <v>32</v>
      </c>
      <c r="H426" s="52">
        <v>20500</v>
      </c>
      <c r="I426" s="51">
        <v>3</v>
      </c>
    </row>
    <row r="427" spans="1:9" x14ac:dyDescent="0.25">
      <c r="A427" s="56" t="s">
        <v>9</v>
      </c>
      <c r="B427" s="58" t="s">
        <v>39</v>
      </c>
      <c r="C427" s="56" t="s">
        <v>9</v>
      </c>
      <c r="D427" s="56" t="s">
        <v>12</v>
      </c>
      <c r="E427" s="55">
        <v>34737</v>
      </c>
      <c r="F427" s="54">
        <f t="shared" ca="1" si="19"/>
        <v>21</v>
      </c>
      <c r="G427" s="53"/>
      <c r="H427" s="52">
        <v>72480</v>
      </c>
      <c r="I427" s="51">
        <v>2</v>
      </c>
    </row>
    <row r="428" spans="1:9" x14ac:dyDescent="0.25">
      <c r="A428" s="56" t="s">
        <v>9</v>
      </c>
      <c r="B428" s="58" t="s">
        <v>17</v>
      </c>
      <c r="C428" s="56" t="s">
        <v>9</v>
      </c>
      <c r="D428" s="56" t="s">
        <v>0</v>
      </c>
      <c r="E428" s="55">
        <v>34774</v>
      </c>
      <c r="F428" s="54">
        <f t="shared" ca="1" si="19"/>
        <v>21</v>
      </c>
      <c r="G428" s="53"/>
      <c r="H428" s="52">
        <v>21668</v>
      </c>
      <c r="I428" s="51">
        <v>4</v>
      </c>
    </row>
    <row r="429" spans="1:9" x14ac:dyDescent="0.25">
      <c r="A429" s="56" t="s">
        <v>9</v>
      </c>
      <c r="B429" s="58" t="s">
        <v>17</v>
      </c>
      <c r="C429" s="56" t="s">
        <v>9</v>
      </c>
      <c r="D429" s="56" t="s">
        <v>5</v>
      </c>
      <c r="E429" s="55">
        <v>34865</v>
      </c>
      <c r="F429" s="54">
        <f t="shared" ca="1" si="19"/>
        <v>21</v>
      </c>
      <c r="G429" s="53" t="s">
        <v>4</v>
      </c>
      <c r="H429" s="52">
        <v>23520</v>
      </c>
      <c r="I429" s="51">
        <v>2</v>
      </c>
    </row>
    <row r="430" spans="1:9" x14ac:dyDescent="0.25">
      <c r="A430" s="56" t="s">
        <v>9</v>
      </c>
      <c r="B430" s="58" t="s">
        <v>2</v>
      </c>
      <c r="C430" s="56" t="s">
        <v>9</v>
      </c>
      <c r="D430" s="56" t="s">
        <v>5</v>
      </c>
      <c r="E430" s="55">
        <v>35156</v>
      </c>
      <c r="F430" s="54">
        <f t="shared" ca="1" si="19"/>
        <v>20</v>
      </c>
      <c r="G430" s="53" t="s">
        <v>4</v>
      </c>
      <c r="H430" s="52">
        <v>68410</v>
      </c>
      <c r="I430" s="51">
        <v>5</v>
      </c>
    </row>
    <row r="431" spans="1:9" x14ac:dyDescent="0.25">
      <c r="A431" s="56" t="s">
        <v>9</v>
      </c>
      <c r="B431" s="58" t="s">
        <v>10</v>
      </c>
      <c r="C431" s="56" t="s">
        <v>9</v>
      </c>
      <c r="D431" s="56" t="s">
        <v>5</v>
      </c>
      <c r="E431" s="55">
        <v>35257</v>
      </c>
      <c r="F431" s="54">
        <f t="shared" ca="1" si="19"/>
        <v>20</v>
      </c>
      <c r="G431" s="53" t="s">
        <v>8</v>
      </c>
      <c r="H431" s="52">
        <v>45450</v>
      </c>
      <c r="I431" s="51">
        <v>5</v>
      </c>
    </row>
    <row r="432" spans="1:9" x14ac:dyDescent="0.25">
      <c r="A432" s="56" t="s">
        <v>9</v>
      </c>
      <c r="B432" s="58" t="s">
        <v>17</v>
      </c>
      <c r="C432" s="56" t="s">
        <v>9</v>
      </c>
      <c r="D432" s="56" t="s">
        <v>5</v>
      </c>
      <c r="E432" s="55">
        <v>35588</v>
      </c>
      <c r="F432" s="54">
        <f t="shared" ca="1" si="19"/>
        <v>19</v>
      </c>
      <c r="G432" s="53" t="s">
        <v>32</v>
      </c>
      <c r="H432" s="52">
        <v>71820</v>
      </c>
      <c r="I432" s="51">
        <v>2</v>
      </c>
    </row>
    <row r="433" spans="1:9" x14ac:dyDescent="0.25">
      <c r="A433" s="56" t="s">
        <v>9</v>
      </c>
      <c r="B433" s="58" t="s">
        <v>39</v>
      </c>
      <c r="C433" s="56" t="s">
        <v>9</v>
      </c>
      <c r="D433" s="56" t="s">
        <v>12</v>
      </c>
      <c r="E433" s="55">
        <v>35926</v>
      </c>
      <c r="F433" s="54">
        <f t="shared" ca="1" si="19"/>
        <v>18</v>
      </c>
      <c r="G433" s="53"/>
      <c r="H433" s="52">
        <v>29540</v>
      </c>
      <c r="I433" s="51">
        <v>3</v>
      </c>
    </row>
    <row r="434" spans="1:9" x14ac:dyDescent="0.25">
      <c r="A434" s="56" t="s">
        <v>9</v>
      </c>
      <c r="B434" s="58" t="s">
        <v>13</v>
      </c>
      <c r="C434" s="56" t="s">
        <v>9</v>
      </c>
      <c r="D434" s="56" t="s">
        <v>12</v>
      </c>
      <c r="E434" s="55">
        <v>36493</v>
      </c>
      <c r="F434" s="54">
        <f t="shared" ca="1" si="19"/>
        <v>16</v>
      </c>
      <c r="G434" s="53"/>
      <c r="H434" s="52">
        <v>78100</v>
      </c>
      <c r="I434" s="51">
        <v>3</v>
      </c>
    </row>
    <row r="435" spans="1:9" x14ac:dyDescent="0.25">
      <c r="A435" s="56" t="s">
        <v>9</v>
      </c>
      <c r="B435" s="58" t="s">
        <v>2</v>
      </c>
      <c r="C435" s="56" t="s">
        <v>9</v>
      </c>
      <c r="D435" s="56" t="s">
        <v>0</v>
      </c>
      <c r="E435" s="55">
        <v>36517</v>
      </c>
      <c r="F435" s="54">
        <f t="shared" ca="1" si="19"/>
        <v>16</v>
      </c>
      <c r="G435" s="53"/>
      <c r="H435" s="52">
        <v>11044</v>
      </c>
      <c r="I435" s="51">
        <v>2</v>
      </c>
    </row>
    <row r="436" spans="1:9" x14ac:dyDescent="0.25">
      <c r="A436" s="56" t="s">
        <v>9</v>
      </c>
      <c r="B436" s="58" t="s">
        <v>56</v>
      </c>
      <c r="C436" s="56" t="s">
        <v>9</v>
      </c>
      <c r="D436" s="56" t="s">
        <v>12</v>
      </c>
      <c r="E436" s="55">
        <v>39023</v>
      </c>
      <c r="F436" s="54">
        <f t="shared" ca="1" si="19"/>
        <v>10</v>
      </c>
      <c r="G436" s="53"/>
      <c r="H436" s="52">
        <v>74020</v>
      </c>
      <c r="I436" s="51">
        <v>2</v>
      </c>
    </row>
    <row r="437" spans="1:9" x14ac:dyDescent="0.25">
      <c r="A437" s="56" t="s">
        <v>9</v>
      </c>
      <c r="B437" s="58" t="s">
        <v>17</v>
      </c>
      <c r="C437" s="56" t="s">
        <v>9</v>
      </c>
      <c r="D437" s="56" t="s">
        <v>12</v>
      </c>
      <c r="E437" s="55">
        <v>39062</v>
      </c>
      <c r="F437" s="54">
        <f t="shared" ca="1" si="19"/>
        <v>9</v>
      </c>
      <c r="G437" s="53"/>
      <c r="H437" s="52">
        <v>75100</v>
      </c>
      <c r="I437" s="51">
        <v>4</v>
      </c>
    </row>
    <row r="438" spans="1:9" x14ac:dyDescent="0.25">
      <c r="A438" s="56" t="s">
        <v>9</v>
      </c>
      <c r="B438" s="58" t="s">
        <v>10</v>
      </c>
      <c r="C438" s="56" t="s">
        <v>9</v>
      </c>
      <c r="D438" s="56" t="s">
        <v>5</v>
      </c>
      <c r="E438" s="55">
        <v>39223</v>
      </c>
      <c r="F438" s="54">
        <f t="shared" ca="1" si="19"/>
        <v>9</v>
      </c>
      <c r="G438" s="53" t="s">
        <v>8</v>
      </c>
      <c r="H438" s="52">
        <v>62180</v>
      </c>
      <c r="I438" s="51">
        <v>2</v>
      </c>
    </row>
    <row r="439" spans="1:9" x14ac:dyDescent="0.25">
      <c r="A439" s="57" t="s">
        <v>820</v>
      </c>
      <c r="B439" s="58"/>
      <c r="C439" s="57"/>
      <c r="D439" s="56"/>
      <c r="E439" s="55"/>
      <c r="F439" s="54"/>
      <c r="G439" s="53"/>
      <c r="H439" s="52"/>
      <c r="I439" s="51"/>
    </row>
    <row r="440" spans="1:9" x14ac:dyDescent="0.25">
      <c r="A440" s="56" t="s">
        <v>485</v>
      </c>
      <c r="B440" s="58" t="s">
        <v>39</v>
      </c>
      <c r="C440" s="56" t="s">
        <v>485</v>
      </c>
      <c r="D440" s="56" t="s">
        <v>12</v>
      </c>
      <c r="E440" s="55">
        <v>33098</v>
      </c>
      <c r="F440" s="54">
        <f ca="1">DATEDIF(E440,TODAY(),"Y")</f>
        <v>26</v>
      </c>
      <c r="G440" s="53"/>
      <c r="H440" s="52">
        <v>71700</v>
      </c>
      <c r="I440" s="51">
        <v>2</v>
      </c>
    </row>
    <row r="441" spans="1:9" x14ac:dyDescent="0.25">
      <c r="A441" s="56" t="s">
        <v>485</v>
      </c>
      <c r="B441" s="58" t="s">
        <v>13</v>
      </c>
      <c r="C441" s="56" t="s">
        <v>485</v>
      </c>
      <c r="D441" s="56" t="s">
        <v>5</v>
      </c>
      <c r="E441" s="55">
        <v>33504</v>
      </c>
      <c r="F441" s="54">
        <f ca="1">DATEDIF(E441,TODAY(),"Y")</f>
        <v>25</v>
      </c>
      <c r="G441" s="53" t="s">
        <v>32</v>
      </c>
      <c r="H441" s="52">
        <v>63190</v>
      </c>
      <c r="I441" s="51">
        <v>1</v>
      </c>
    </row>
    <row r="442" spans="1:9" x14ac:dyDescent="0.25">
      <c r="A442" s="56" t="s">
        <v>485</v>
      </c>
      <c r="B442" s="58" t="s">
        <v>39</v>
      </c>
      <c r="C442" s="56" t="s">
        <v>485</v>
      </c>
      <c r="D442" s="56" t="s">
        <v>12</v>
      </c>
      <c r="E442" s="55">
        <v>34141</v>
      </c>
      <c r="F442" s="54">
        <f ca="1">DATEDIF(E442,TODAY(),"Y")</f>
        <v>23</v>
      </c>
      <c r="G442" s="53"/>
      <c r="H442" s="52">
        <v>25120</v>
      </c>
      <c r="I442" s="51">
        <v>2</v>
      </c>
    </row>
    <row r="443" spans="1:9" x14ac:dyDescent="0.25">
      <c r="A443" s="56" t="s">
        <v>485</v>
      </c>
      <c r="B443" s="58" t="s">
        <v>17</v>
      </c>
      <c r="C443" s="56" t="s">
        <v>485</v>
      </c>
      <c r="D443" s="56" t="s">
        <v>12</v>
      </c>
      <c r="E443" s="55">
        <v>34257</v>
      </c>
      <c r="F443" s="54">
        <f ca="1">DATEDIF(E443,TODAY(),"Y")</f>
        <v>23</v>
      </c>
      <c r="G443" s="53"/>
      <c r="H443" s="52">
        <v>44820</v>
      </c>
      <c r="I443" s="51">
        <v>4</v>
      </c>
    </row>
    <row r="444" spans="1:9" x14ac:dyDescent="0.25">
      <c r="A444" s="57" t="s">
        <v>819</v>
      </c>
      <c r="B444" s="58"/>
      <c r="C444" s="57"/>
      <c r="D444" s="56"/>
      <c r="E444" s="55"/>
      <c r="F444" s="54"/>
      <c r="G444" s="53"/>
      <c r="H444" s="52"/>
      <c r="I444" s="51"/>
    </row>
    <row r="445" spans="1:9" x14ac:dyDescent="0.25">
      <c r="A445" s="56" t="s">
        <v>28</v>
      </c>
      <c r="B445" s="58" t="s">
        <v>13</v>
      </c>
      <c r="C445" s="56" t="s">
        <v>28</v>
      </c>
      <c r="D445" s="56" t="s">
        <v>5</v>
      </c>
      <c r="E445" s="55">
        <v>32147</v>
      </c>
      <c r="F445" s="54">
        <f t="shared" ref="F445:F488" ca="1" si="20">DATEDIF(E445,TODAY(),"Y")</f>
        <v>28</v>
      </c>
      <c r="G445" s="53" t="s">
        <v>19</v>
      </c>
      <c r="H445" s="52">
        <v>61470</v>
      </c>
      <c r="I445" s="51">
        <v>5</v>
      </c>
    </row>
    <row r="446" spans="1:9" x14ac:dyDescent="0.25">
      <c r="A446" s="56" t="s">
        <v>28</v>
      </c>
      <c r="B446" s="58" t="s">
        <v>17</v>
      </c>
      <c r="C446" s="56" t="s">
        <v>28</v>
      </c>
      <c r="D446" s="56" t="s">
        <v>15</v>
      </c>
      <c r="E446" s="55">
        <v>32192</v>
      </c>
      <c r="F446" s="54">
        <f t="shared" ca="1" si="20"/>
        <v>28</v>
      </c>
      <c r="G446" s="53" t="s">
        <v>34</v>
      </c>
      <c r="H446" s="52">
        <v>35045</v>
      </c>
      <c r="I446" s="51">
        <v>4</v>
      </c>
    </row>
    <row r="447" spans="1:9" x14ac:dyDescent="0.25">
      <c r="A447" s="56" t="s">
        <v>28</v>
      </c>
      <c r="B447" s="58" t="s">
        <v>17</v>
      </c>
      <c r="C447" s="56" t="s">
        <v>28</v>
      </c>
      <c r="D447" s="56" t="s">
        <v>5</v>
      </c>
      <c r="E447" s="55">
        <v>32268</v>
      </c>
      <c r="F447" s="54">
        <f t="shared" ca="1" si="20"/>
        <v>28</v>
      </c>
      <c r="G447" s="53" t="s">
        <v>32</v>
      </c>
      <c r="H447" s="52">
        <v>43580</v>
      </c>
      <c r="I447" s="51">
        <v>5</v>
      </c>
    </row>
    <row r="448" spans="1:9" x14ac:dyDescent="0.25">
      <c r="A448" s="56" t="s">
        <v>28</v>
      </c>
      <c r="B448" s="58" t="s">
        <v>39</v>
      </c>
      <c r="C448" s="56" t="s">
        <v>28</v>
      </c>
      <c r="D448" s="56" t="s">
        <v>5</v>
      </c>
      <c r="E448" s="55">
        <v>32310</v>
      </c>
      <c r="F448" s="54">
        <f t="shared" ca="1" si="20"/>
        <v>28</v>
      </c>
      <c r="G448" s="53" t="s">
        <v>4</v>
      </c>
      <c r="H448" s="52">
        <v>43190</v>
      </c>
      <c r="I448" s="51">
        <v>2</v>
      </c>
    </row>
    <row r="449" spans="1:9" x14ac:dyDescent="0.25">
      <c r="A449" s="56" t="s">
        <v>28</v>
      </c>
      <c r="B449" s="58" t="s">
        <v>39</v>
      </c>
      <c r="C449" s="56" t="s">
        <v>28</v>
      </c>
      <c r="D449" s="56" t="s">
        <v>5</v>
      </c>
      <c r="E449" s="55">
        <v>32326</v>
      </c>
      <c r="F449" s="54">
        <f t="shared" ca="1" si="20"/>
        <v>28</v>
      </c>
      <c r="G449" s="53" t="s">
        <v>32</v>
      </c>
      <c r="H449" s="52">
        <v>26360</v>
      </c>
      <c r="I449" s="51">
        <v>1</v>
      </c>
    </row>
    <row r="450" spans="1:9" x14ac:dyDescent="0.25">
      <c r="A450" s="56" t="s">
        <v>28</v>
      </c>
      <c r="B450" s="58" t="s">
        <v>13</v>
      </c>
      <c r="C450" s="56" t="s">
        <v>28</v>
      </c>
      <c r="D450" s="56" t="s">
        <v>5</v>
      </c>
      <c r="E450" s="55">
        <v>32332</v>
      </c>
      <c r="F450" s="54">
        <f t="shared" ca="1" si="20"/>
        <v>28</v>
      </c>
      <c r="G450" s="53" t="s">
        <v>32</v>
      </c>
      <c r="H450" s="52">
        <v>79770</v>
      </c>
      <c r="I450" s="51">
        <v>4</v>
      </c>
    </row>
    <row r="451" spans="1:9" x14ac:dyDescent="0.25">
      <c r="A451" s="56" t="s">
        <v>28</v>
      </c>
      <c r="B451" s="58" t="s">
        <v>13</v>
      </c>
      <c r="C451" s="56" t="s">
        <v>28</v>
      </c>
      <c r="D451" s="56" t="s">
        <v>12</v>
      </c>
      <c r="E451" s="55">
        <v>32501</v>
      </c>
      <c r="F451" s="54">
        <f t="shared" ca="1" si="20"/>
        <v>27</v>
      </c>
      <c r="G451" s="53"/>
      <c r="H451" s="52">
        <v>32650</v>
      </c>
      <c r="I451" s="51">
        <v>1</v>
      </c>
    </row>
    <row r="452" spans="1:9" x14ac:dyDescent="0.25">
      <c r="A452" s="56" t="s">
        <v>28</v>
      </c>
      <c r="B452" s="58" t="s">
        <v>13</v>
      </c>
      <c r="C452" s="56" t="s">
        <v>28</v>
      </c>
      <c r="D452" s="56" t="s">
        <v>5</v>
      </c>
      <c r="E452" s="55">
        <v>32568</v>
      </c>
      <c r="F452" s="54">
        <f t="shared" ca="1" si="20"/>
        <v>27</v>
      </c>
      <c r="G452" s="53" t="s">
        <v>8</v>
      </c>
      <c r="H452" s="52">
        <v>75370</v>
      </c>
      <c r="I452" s="51">
        <v>2</v>
      </c>
    </row>
    <row r="453" spans="1:9" x14ac:dyDescent="0.25">
      <c r="A453" s="56" t="s">
        <v>28</v>
      </c>
      <c r="B453" s="58" t="s">
        <v>17</v>
      </c>
      <c r="C453" s="56" t="s">
        <v>28</v>
      </c>
      <c r="D453" s="56" t="s">
        <v>5</v>
      </c>
      <c r="E453" s="55">
        <v>32571</v>
      </c>
      <c r="F453" s="54">
        <f t="shared" ca="1" si="20"/>
        <v>27</v>
      </c>
      <c r="G453" s="53" t="s">
        <v>8</v>
      </c>
      <c r="H453" s="52">
        <v>46910</v>
      </c>
      <c r="I453" s="51">
        <v>3</v>
      </c>
    </row>
    <row r="454" spans="1:9" x14ac:dyDescent="0.25">
      <c r="A454" s="56" t="s">
        <v>28</v>
      </c>
      <c r="B454" s="58" t="s">
        <v>13</v>
      </c>
      <c r="C454" s="56" t="s">
        <v>28</v>
      </c>
      <c r="D454" s="56" t="s">
        <v>5</v>
      </c>
      <c r="E454" s="55">
        <v>32618</v>
      </c>
      <c r="F454" s="54">
        <f t="shared" ca="1" si="20"/>
        <v>27</v>
      </c>
      <c r="G454" s="53" t="s">
        <v>34</v>
      </c>
      <c r="H454" s="52">
        <v>68010</v>
      </c>
      <c r="I454" s="51">
        <v>1</v>
      </c>
    </row>
    <row r="455" spans="1:9" x14ac:dyDescent="0.25">
      <c r="A455" s="56" t="s">
        <v>28</v>
      </c>
      <c r="B455" s="58" t="s">
        <v>17</v>
      </c>
      <c r="C455" s="56" t="s">
        <v>28</v>
      </c>
      <c r="D455" s="56" t="s">
        <v>5</v>
      </c>
      <c r="E455" s="55">
        <v>32801</v>
      </c>
      <c r="F455" s="54">
        <f t="shared" ca="1" si="20"/>
        <v>27</v>
      </c>
      <c r="G455" s="53" t="s">
        <v>4</v>
      </c>
      <c r="H455" s="52">
        <v>73030</v>
      </c>
      <c r="I455" s="51">
        <v>5</v>
      </c>
    </row>
    <row r="456" spans="1:9" x14ac:dyDescent="0.25">
      <c r="A456" s="56" t="s">
        <v>28</v>
      </c>
      <c r="B456" s="58" t="s">
        <v>56</v>
      </c>
      <c r="C456" s="56" t="s">
        <v>28</v>
      </c>
      <c r="D456" s="56" t="s">
        <v>12</v>
      </c>
      <c r="E456" s="55">
        <v>33192</v>
      </c>
      <c r="F456" s="54">
        <f t="shared" ca="1" si="20"/>
        <v>25</v>
      </c>
      <c r="G456" s="53"/>
      <c r="H456" s="52">
        <v>66710</v>
      </c>
      <c r="I456" s="51">
        <v>2</v>
      </c>
    </row>
    <row r="457" spans="1:9" x14ac:dyDescent="0.25">
      <c r="A457" s="56" t="s">
        <v>28</v>
      </c>
      <c r="B457" s="58" t="s">
        <v>56</v>
      </c>
      <c r="C457" s="56" t="s">
        <v>28</v>
      </c>
      <c r="D457" s="56" t="s">
        <v>15</v>
      </c>
      <c r="E457" s="55">
        <v>33307</v>
      </c>
      <c r="F457" s="54">
        <f t="shared" ca="1" si="20"/>
        <v>25</v>
      </c>
      <c r="G457" s="53" t="s">
        <v>32</v>
      </c>
      <c r="H457" s="52">
        <v>13435</v>
      </c>
      <c r="I457" s="51">
        <v>1</v>
      </c>
    </row>
    <row r="458" spans="1:9" x14ac:dyDescent="0.25">
      <c r="A458" s="56" t="s">
        <v>28</v>
      </c>
      <c r="B458" s="58" t="s">
        <v>10</v>
      </c>
      <c r="C458" s="56" t="s">
        <v>28</v>
      </c>
      <c r="D458" s="56" t="s">
        <v>5</v>
      </c>
      <c r="E458" s="55">
        <v>33392</v>
      </c>
      <c r="F458" s="54">
        <f t="shared" ca="1" si="20"/>
        <v>25</v>
      </c>
      <c r="G458" s="53" t="s">
        <v>32</v>
      </c>
      <c r="H458" s="52">
        <v>87030</v>
      </c>
      <c r="I458" s="51">
        <v>3</v>
      </c>
    </row>
    <row r="459" spans="1:9" x14ac:dyDescent="0.25">
      <c r="A459" s="56" t="s">
        <v>28</v>
      </c>
      <c r="B459" s="58" t="s">
        <v>13</v>
      </c>
      <c r="C459" s="56" t="s">
        <v>28</v>
      </c>
      <c r="D459" s="56" t="s">
        <v>5</v>
      </c>
      <c r="E459" s="55">
        <v>33427</v>
      </c>
      <c r="F459" s="54">
        <f t="shared" ca="1" si="20"/>
        <v>25</v>
      </c>
      <c r="G459" s="53" t="s">
        <v>32</v>
      </c>
      <c r="H459" s="52">
        <v>88850</v>
      </c>
      <c r="I459" s="51">
        <v>3</v>
      </c>
    </row>
    <row r="460" spans="1:9" x14ac:dyDescent="0.25">
      <c r="A460" s="56" t="s">
        <v>28</v>
      </c>
      <c r="B460" s="58" t="s">
        <v>2</v>
      </c>
      <c r="C460" s="56" t="s">
        <v>28</v>
      </c>
      <c r="D460" s="56" t="s">
        <v>5</v>
      </c>
      <c r="E460" s="55">
        <v>33430</v>
      </c>
      <c r="F460" s="54">
        <f t="shared" ca="1" si="20"/>
        <v>25</v>
      </c>
      <c r="G460" s="53" t="s">
        <v>19</v>
      </c>
      <c r="H460" s="52">
        <v>77840</v>
      </c>
      <c r="I460" s="51">
        <v>2</v>
      </c>
    </row>
    <row r="461" spans="1:9" x14ac:dyDescent="0.25">
      <c r="A461" s="56" t="s">
        <v>28</v>
      </c>
      <c r="B461" s="58" t="s">
        <v>17</v>
      </c>
      <c r="C461" s="56" t="s">
        <v>28</v>
      </c>
      <c r="D461" s="56" t="s">
        <v>5</v>
      </c>
      <c r="E461" s="55">
        <v>33591</v>
      </c>
      <c r="F461" s="54">
        <f t="shared" ca="1" si="20"/>
        <v>24</v>
      </c>
      <c r="G461" s="53" t="s">
        <v>32</v>
      </c>
      <c r="H461" s="52">
        <v>25830</v>
      </c>
      <c r="I461" s="51">
        <v>5</v>
      </c>
    </row>
    <row r="462" spans="1:9" x14ac:dyDescent="0.25">
      <c r="A462" s="56" t="s">
        <v>28</v>
      </c>
      <c r="B462" s="58" t="s">
        <v>10</v>
      </c>
      <c r="C462" s="56" t="s">
        <v>28</v>
      </c>
      <c r="D462" s="56" t="s">
        <v>5</v>
      </c>
      <c r="E462" s="55">
        <v>33823</v>
      </c>
      <c r="F462" s="54">
        <f t="shared" ca="1" si="20"/>
        <v>24</v>
      </c>
      <c r="G462" s="53" t="s">
        <v>4</v>
      </c>
      <c r="H462" s="52">
        <v>63080</v>
      </c>
      <c r="I462" s="51">
        <v>5</v>
      </c>
    </row>
    <row r="463" spans="1:9" x14ac:dyDescent="0.25">
      <c r="A463" s="56" t="s">
        <v>28</v>
      </c>
      <c r="B463" s="58" t="s">
        <v>39</v>
      </c>
      <c r="C463" s="56" t="s">
        <v>28</v>
      </c>
      <c r="D463" s="56" t="s">
        <v>5</v>
      </c>
      <c r="E463" s="55">
        <v>34029</v>
      </c>
      <c r="F463" s="54">
        <f t="shared" ca="1" si="20"/>
        <v>23</v>
      </c>
      <c r="G463" s="53" t="s">
        <v>4</v>
      </c>
      <c r="H463" s="52">
        <v>43410</v>
      </c>
      <c r="I463" s="51">
        <v>1</v>
      </c>
    </row>
    <row r="464" spans="1:9" x14ac:dyDescent="0.25">
      <c r="A464" s="56" t="s">
        <v>28</v>
      </c>
      <c r="B464" s="58" t="s">
        <v>13</v>
      </c>
      <c r="C464" s="56" t="s">
        <v>28</v>
      </c>
      <c r="D464" s="56" t="s">
        <v>5</v>
      </c>
      <c r="E464" s="55">
        <v>34069</v>
      </c>
      <c r="F464" s="54">
        <f t="shared" ca="1" si="20"/>
        <v>23</v>
      </c>
      <c r="G464" s="53" t="s">
        <v>8</v>
      </c>
      <c r="H464" s="52">
        <v>67230</v>
      </c>
      <c r="I464" s="51">
        <v>4</v>
      </c>
    </row>
    <row r="465" spans="1:9" x14ac:dyDescent="0.25">
      <c r="A465" s="56" t="s">
        <v>28</v>
      </c>
      <c r="B465" s="58" t="s">
        <v>17</v>
      </c>
      <c r="C465" s="56" t="s">
        <v>28</v>
      </c>
      <c r="D465" s="56" t="s">
        <v>5</v>
      </c>
      <c r="E465" s="55">
        <v>34102</v>
      </c>
      <c r="F465" s="54">
        <f t="shared" ca="1" si="20"/>
        <v>23</v>
      </c>
      <c r="G465" s="53" t="s">
        <v>34</v>
      </c>
      <c r="H465" s="52">
        <v>77950</v>
      </c>
      <c r="I465" s="51">
        <v>4</v>
      </c>
    </row>
    <row r="466" spans="1:9" x14ac:dyDescent="0.25">
      <c r="A466" s="56" t="s">
        <v>28</v>
      </c>
      <c r="B466" s="58" t="s">
        <v>13</v>
      </c>
      <c r="C466" s="56" t="s">
        <v>28</v>
      </c>
      <c r="D466" s="56" t="s">
        <v>5</v>
      </c>
      <c r="E466" s="55">
        <v>34593</v>
      </c>
      <c r="F466" s="54">
        <f t="shared" ca="1" si="20"/>
        <v>22</v>
      </c>
      <c r="G466" s="53" t="s">
        <v>32</v>
      </c>
      <c r="H466" s="52">
        <v>68520</v>
      </c>
      <c r="I466" s="51">
        <v>5</v>
      </c>
    </row>
    <row r="467" spans="1:9" x14ac:dyDescent="0.25">
      <c r="A467" s="56" t="s">
        <v>28</v>
      </c>
      <c r="B467" s="58" t="s">
        <v>10</v>
      </c>
      <c r="C467" s="56" t="s">
        <v>28</v>
      </c>
      <c r="D467" s="56" t="s">
        <v>12</v>
      </c>
      <c r="E467" s="55">
        <v>34611</v>
      </c>
      <c r="F467" s="54">
        <f t="shared" ca="1" si="20"/>
        <v>22</v>
      </c>
      <c r="G467" s="53"/>
      <c r="H467" s="52">
        <v>63330</v>
      </c>
      <c r="I467" s="51">
        <v>4</v>
      </c>
    </row>
    <row r="468" spans="1:9" x14ac:dyDescent="0.25">
      <c r="A468" s="56" t="s">
        <v>28</v>
      </c>
      <c r="B468" s="58" t="s">
        <v>17</v>
      </c>
      <c r="C468" s="56" t="s">
        <v>28</v>
      </c>
      <c r="D468" s="56" t="s">
        <v>5</v>
      </c>
      <c r="E468" s="55">
        <v>34659</v>
      </c>
      <c r="F468" s="54">
        <f t="shared" ca="1" si="20"/>
        <v>21</v>
      </c>
      <c r="G468" s="53" t="s">
        <v>32</v>
      </c>
      <c r="H468" s="52">
        <v>74530</v>
      </c>
      <c r="I468" s="51">
        <v>5</v>
      </c>
    </row>
    <row r="469" spans="1:9" x14ac:dyDescent="0.25">
      <c r="A469" s="56" t="s">
        <v>28</v>
      </c>
      <c r="B469" s="58" t="s">
        <v>17</v>
      </c>
      <c r="C469" s="56" t="s">
        <v>28</v>
      </c>
      <c r="D469" s="56" t="s">
        <v>0</v>
      </c>
      <c r="E469" s="55">
        <v>35019</v>
      </c>
      <c r="F469" s="54">
        <f t="shared" ca="1" si="20"/>
        <v>20</v>
      </c>
      <c r="G469" s="53"/>
      <c r="H469" s="52">
        <v>39764</v>
      </c>
      <c r="I469" s="51">
        <v>1</v>
      </c>
    </row>
    <row r="470" spans="1:9" x14ac:dyDescent="0.25">
      <c r="A470" s="56" t="s">
        <v>28</v>
      </c>
      <c r="B470" s="58" t="s">
        <v>17</v>
      </c>
      <c r="C470" s="56" t="s">
        <v>28</v>
      </c>
      <c r="D470" s="56" t="s">
        <v>12</v>
      </c>
      <c r="E470" s="55">
        <v>35313</v>
      </c>
      <c r="F470" s="54">
        <f t="shared" ca="1" si="20"/>
        <v>20</v>
      </c>
      <c r="G470" s="53"/>
      <c r="H470" s="52">
        <v>30300</v>
      </c>
      <c r="I470" s="51">
        <v>1</v>
      </c>
    </row>
    <row r="471" spans="1:9" x14ac:dyDescent="0.25">
      <c r="A471" s="56" t="s">
        <v>28</v>
      </c>
      <c r="B471" s="58" t="s">
        <v>13</v>
      </c>
      <c r="C471" s="56" t="s">
        <v>28</v>
      </c>
      <c r="D471" s="56" t="s">
        <v>15</v>
      </c>
      <c r="E471" s="55">
        <v>35385</v>
      </c>
      <c r="F471" s="54">
        <f t="shared" ca="1" si="20"/>
        <v>19</v>
      </c>
      <c r="G471" s="53" t="s">
        <v>4</v>
      </c>
      <c r="H471" s="52">
        <v>29005</v>
      </c>
      <c r="I471" s="51">
        <v>1</v>
      </c>
    </row>
    <row r="472" spans="1:9" x14ac:dyDescent="0.25">
      <c r="A472" s="56" t="s">
        <v>28</v>
      </c>
      <c r="B472" s="58" t="s">
        <v>39</v>
      </c>
      <c r="C472" s="56" t="s">
        <v>28</v>
      </c>
      <c r="D472" s="56" t="s">
        <v>15</v>
      </c>
      <c r="E472" s="55">
        <v>36160</v>
      </c>
      <c r="F472" s="54">
        <f t="shared" ca="1" si="20"/>
        <v>17</v>
      </c>
      <c r="G472" s="53" t="s">
        <v>32</v>
      </c>
      <c r="H472" s="52">
        <v>33810</v>
      </c>
      <c r="I472" s="51">
        <v>5</v>
      </c>
    </row>
    <row r="473" spans="1:9" x14ac:dyDescent="0.25">
      <c r="A473" s="56" t="s">
        <v>28</v>
      </c>
      <c r="B473" s="58" t="s">
        <v>17</v>
      </c>
      <c r="C473" s="56" t="s">
        <v>28</v>
      </c>
      <c r="D473" s="56" t="s">
        <v>0</v>
      </c>
      <c r="E473" s="55">
        <v>36401</v>
      </c>
      <c r="F473" s="54">
        <f t="shared" ca="1" si="20"/>
        <v>17</v>
      </c>
      <c r="G473" s="53"/>
      <c r="H473" s="52">
        <v>21648</v>
      </c>
      <c r="I473" s="51">
        <v>2</v>
      </c>
    </row>
    <row r="474" spans="1:9" x14ac:dyDescent="0.25">
      <c r="A474" s="56" t="s">
        <v>28</v>
      </c>
      <c r="B474" s="58" t="s">
        <v>13</v>
      </c>
      <c r="C474" s="56" t="s">
        <v>28</v>
      </c>
      <c r="D474" s="56" t="s">
        <v>0</v>
      </c>
      <c r="E474" s="55">
        <v>36834</v>
      </c>
      <c r="F474" s="54">
        <f t="shared" ca="1" si="20"/>
        <v>15</v>
      </c>
      <c r="G474" s="53"/>
      <c r="H474" s="52">
        <v>33512</v>
      </c>
      <c r="I474" s="51">
        <v>4</v>
      </c>
    </row>
    <row r="475" spans="1:9" x14ac:dyDescent="0.25">
      <c r="A475" s="56" t="s">
        <v>28</v>
      </c>
      <c r="B475" s="58" t="s">
        <v>17</v>
      </c>
      <c r="C475" s="56" t="s">
        <v>28</v>
      </c>
      <c r="D475" s="56" t="s">
        <v>5</v>
      </c>
      <c r="E475" s="55">
        <v>36917</v>
      </c>
      <c r="F475" s="54">
        <f t="shared" ca="1" si="20"/>
        <v>15</v>
      </c>
      <c r="G475" s="53" t="s">
        <v>4</v>
      </c>
      <c r="H475" s="52">
        <v>86200</v>
      </c>
      <c r="I475" s="51">
        <v>3</v>
      </c>
    </row>
    <row r="476" spans="1:9" x14ac:dyDescent="0.25">
      <c r="A476" s="56" t="s">
        <v>28</v>
      </c>
      <c r="B476" s="58" t="s">
        <v>13</v>
      </c>
      <c r="C476" s="56" t="s">
        <v>28</v>
      </c>
      <c r="D476" s="56" t="s">
        <v>5</v>
      </c>
      <c r="E476" s="55">
        <v>37497</v>
      </c>
      <c r="F476" s="54">
        <f t="shared" ca="1" si="20"/>
        <v>14</v>
      </c>
      <c r="G476" s="53" t="s">
        <v>32</v>
      </c>
      <c r="H476" s="52">
        <v>47060</v>
      </c>
      <c r="I476" s="51">
        <v>4</v>
      </c>
    </row>
    <row r="477" spans="1:9" x14ac:dyDescent="0.25">
      <c r="A477" s="56" t="s">
        <v>28</v>
      </c>
      <c r="B477" s="58" t="s">
        <v>13</v>
      </c>
      <c r="C477" s="56" t="s">
        <v>28</v>
      </c>
      <c r="D477" s="56" t="s">
        <v>5</v>
      </c>
      <c r="E477" s="55">
        <v>37606</v>
      </c>
      <c r="F477" s="54">
        <f t="shared" ca="1" si="20"/>
        <v>13</v>
      </c>
      <c r="G477" s="53" t="s">
        <v>34</v>
      </c>
      <c r="H477" s="52">
        <v>27560</v>
      </c>
      <c r="I477" s="51">
        <v>2</v>
      </c>
    </row>
    <row r="478" spans="1:9" x14ac:dyDescent="0.25">
      <c r="A478" s="56" t="s">
        <v>28</v>
      </c>
      <c r="B478" s="58" t="s">
        <v>56</v>
      </c>
      <c r="C478" s="56" t="s">
        <v>28</v>
      </c>
      <c r="D478" s="56" t="s">
        <v>15</v>
      </c>
      <c r="E478" s="55">
        <v>37989</v>
      </c>
      <c r="F478" s="54">
        <f t="shared" ca="1" si="20"/>
        <v>12</v>
      </c>
      <c r="G478" s="53" t="s">
        <v>8</v>
      </c>
      <c r="H478" s="52">
        <v>47760</v>
      </c>
      <c r="I478" s="51">
        <v>3</v>
      </c>
    </row>
    <row r="479" spans="1:9" x14ac:dyDescent="0.25">
      <c r="A479" s="56" t="s">
        <v>28</v>
      </c>
      <c r="B479" s="58" t="s">
        <v>13</v>
      </c>
      <c r="C479" s="56" t="s">
        <v>28</v>
      </c>
      <c r="D479" s="56" t="s">
        <v>5</v>
      </c>
      <c r="E479" s="55">
        <v>38094</v>
      </c>
      <c r="F479" s="54">
        <f t="shared" ca="1" si="20"/>
        <v>12</v>
      </c>
      <c r="G479" s="53" t="s">
        <v>19</v>
      </c>
      <c r="H479" s="52">
        <v>50990</v>
      </c>
      <c r="I479" s="51">
        <v>4</v>
      </c>
    </row>
    <row r="480" spans="1:9" x14ac:dyDescent="0.25">
      <c r="A480" s="56" t="s">
        <v>28</v>
      </c>
      <c r="B480" s="58" t="s">
        <v>39</v>
      </c>
      <c r="C480" s="56" t="s">
        <v>28</v>
      </c>
      <c r="D480" s="56" t="s">
        <v>5</v>
      </c>
      <c r="E480" s="55">
        <v>38347</v>
      </c>
      <c r="F480" s="54">
        <f t="shared" ca="1" si="20"/>
        <v>11</v>
      </c>
      <c r="G480" s="53" t="s">
        <v>8</v>
      </c>
      <c r="H480" s="52">
        <v>80880</v>
      </c>
      <c r="I480" s="51">
        <v>1</v>
      </c>
    </row>
    <row r="481" spans="1:9" x14ac:dyDescent="0.25">
      <c r="A481" s="56" t="s">
        <v>28</v>
      </c>
      <c r="B481" s="58" t="s">
        <v>2</v>
      </c>
      <c r="C481" s="56" t="s">
        <v>28</v>
      </c>
      <c r="D481" s="56" t="s">
        <v>5</v>
      </c>
      <c r="E481" s="55">
        <v>38368</v>
      </c>
      <c r="F481" s="54">
        <f t="shared" ca="1" si="20"/>
        <v>11</v>
      </c>
      <c r="G481" s="53" t="s">
        <v>4</v>
      </c>
      <c r="H481" s="52">
        <v>80090</v>
      </c>
      <c r="I481" s="51">
        <v>2</v>
      </c>
    </row>
    <row r="482" spans="1:9" x14ac:dyDescent="0.25">
      <c r="A482" s="56" t="s">
        <v>28</v>
      </c>
      <c r="B482" s="58" t="s">
        <v>10</v>
      </c>
      <c r="C482" s="56" t="s">
        <v>28</v>
      </c>
      <c r="D482" s="56" t="s">
        <v>12</v>
      </c>
      <c r="E482" s="55">
        <v>38473</v>
      </c>
      <c r="F482" s="54">
        <f t="shared" ca="1" si="20"/>
        <v>11</v>
      </c>
      <c r="G482" s="53"/>
      <c r="H482" s="52">
        <v>54000</v>
      </c>
      <c r="I482" s="51">
        <v>3</v>
      </c>
    </row>
    <row r="483" spans="1:9" x14ac:dyDescent="0.25">
      <c r="A483" s="56" t="s">
        <v>28</v>
      </c>
      <c r="B483" s="58" t="s">
        <v>56</v>
      </c>
      <c r="C483" s="56" t="s">
        <v>28</v>
      </c>
      <c r="D483" s="56" t="s">
        <v>5</v>
      </c>
      <c r="E483" s="55">
        <v>39060</v>
      </c>
      <c r="F483" s="54">
        <f t="shared" ca="1" si="20"/>
        <v>9</v>
      </c>
      <c r="G483" s="53" t="s">
        <v>32</v>
      </c>
      <c r="H483" s="52">
        <v>66840</v>
      </c>
      <c r="I483" s="51">
        <v>4</v>
      </c>
    </row>
    <row r="484" spans="1:9" x14ac:dyDescent="0.25">
      <c r="A484" s="56" t="s">
        <v>28</v>
      </c>
      <c r="B484" s="58" t="s">
        <v>2</v>
      </c>
      <c r="C484" s="56" t="s">
        <v>28</v>
      </c>
      <c r="D484" s="56" t="s">
        <v>15</v>
      </c>
      <c r="E484" s="59">
        <v>39083</v>
      </c>
      <c r="F484" s="54">
        <f t="shared" ca="1" si="20"/>
        <v>9</v>
      </c>
      <c r="G484" s="53" t="s">
        <v>32</v>
      </c>
      <c r="H484" s="52">
        <v>16925</v>
      </c>
      <c r="I484" s="51">
        <v>1</v>
      </c>
    </row>
    <row r="485" spans="1:9" x14ac:dyDescent="0.25">
      <c r="A485" s="56" t="s">
        <v>28</v>
      </c>
      <c r="B485" s="58" t="s">
        <v>39</v>
      </c>
      <c r="C485" s="56" t="s">
        <v>28</v>
      </c>
      <c r="D485" s="56" t="s">
        <v>0</v>
      </c>
      <c r="E485" s="59">
        <v>39093</v>
      </c>
      <c r="F485" s="54">
        <f t="shared" ca="1" si="20"/>
        <v>9</v>
      </c>
      <c r="G485" s="53"/>
      <c r="H485" s="52">
        <v>15056</v>
      </c>
      <c r="I485" s="51">
        <v>5</v>
      </c>
    </row>
    <row r="486" spans="1:9" x14ac:dyDescent="0.25">
      <c r="A486" s="56" t="s">
        <v>28</v>
      </c>
      <c r="B486" s="58" t="s">
        <v>17</v>
      </c>
      <c r="C486" s="56" t="s">
        <v>28</v>
      </c>
      <c r="D486" s="56" t="s">
        <v>0</v>
      </c>
      <c r="E486" s="59">
        <v>39142</v>
      </c>
      <c r="F486" s="54">
        <f t="shared" ca="1" si="20"/>
        <v>9</v>
      </c>
      <c r="G486" s="53"/>
      <c r="H486" s="52">
        <v>9180</v>
      </c>
      <c r="I486" s="51">
        <v>3</v>
      </c>
    </row>
    <row r="487" spans="1:9" x14ac:dyDescent="0.25">
      <c r="A487" s="56" t="s">
        <v>28</v>
      </c>
      <c r="B487" s="58" t="s">
        <v>56</v>
      </c>
      <c r="C487" s="56" t="s">
        <v>28</v>
      </c>
      <c r="D487" s="56" t="s">
        <v>12</v>
      </c>
      <c r="E487" s="55">
        <v>39158</v>
      </c>
      <c r="F487" s="54">
        <f t="shared" ca="1" si="20"/>
        <v>9</v>
      </c>
      <c r="G487" s="53"/>
      <c r="H487" s="52">
        <v>39440</v>
      </c>
      <c r="I487" s="51">
        <v>4</v>
      </c>
    </row>
    <row r="488" spans="1:9" x14ac:dyDescent="0.25">
      <c r="A488" s="56" t="s">
        <v>28</v>
      </c>
      <c r="B488" s="58" t="s">
        <v>56</v>
      </c>
      <c r="C488" s="56" t="s">
        <v>28</v>
      </c>
      <c r="D488" s="56" t="s">
        <v>12</v>
      </c>
      <c r="E488" s="59">
        <v>39310</v>
      </c>
      <c r="F488" s="54">
        <f t="shared" ca="1" si="20"/>
        <v>9</v>
      </c>
      <c r="G488" s="53"/>
      <c r="H488" s="52">
        <v>84300</v>
      </c>
      <c r="I488" s="51">
        <v>1</v>
      </c>
    </row>
    <row r="489" spans="1:9" x14ac:dyDescent="0.25">
      <c r="A489" s="57" t="s">
        <v>818</v>
      </c>
      <c r="B489" s="58"/>
      <c r="C489" s="57"/>
      <c r="D489" s="56"/>
      <c r="E489" s="59"/>
      <c r="F489" s="54"/>
      <c r="G489" s="53"/>
      <c r="H489" s="52"/>
      <c r="I489" s="51"/>
    </row>
    <row r="490" spans="1:9" x14ac:dyDescent="0.25">
      <c r="A490" s="56" t="s">
        <v>74</v>
      </c>
      <c r="B490" s="58" t="s">
        <v>13</v>
      </c>
      <c r="C490" s="56" t="s">
        <v>74</v>
      </c>
      <c r="D490" s="56" t="s">
        <v>15</v>
      </c>
      <c r="E490" s="55">
        <v>31802</v>
      </c>
      <c r="F490" s="54">
        <f t="shared" ref="F490:F505" ca="1" si="21">DATEDIF(E490,TODAY(),"Y")</f>
        <v>29</v>
      </c>
      <c r="G490" s="53" t="s">
        <v>19</v>
      </c>
      <c r="H490" s="52">
        <v>24815</v>
      </c>
      <c r="I490" s="51">
        <v>1</v>
      </c>
    </row>
    <row r="491" spans="1:9" x14ac:dyDescent="0.25">
      <c r="A491" s="56" t="s">
        <v>74</v>
      </c>
      <c r="B491" s="58" t="s">
        <v>17</v>
      </c>
      <c r="C491" s="56" t="s">
        <v>74</v>
      </c>
      <c r="D491" s="56" t="s">
        <v>5</v>
      </c>
      <c r="E491" s="55">
        <v>31803</v>
      </c>
      <c r="F491" s="54">
        <f t="shared" ca="1" si="21"/>
        <v>29</v>
      </c>
      <c r="G491" s="53" t="s">
        <v>32</v>
      </c>
      <c r="H491" s="52">
        <v>32600</v>
      </c>
      <c r="I491" s="51">
        <v>5</v>
      </c>
    </row>
    <row r="492" spans="1:9" x14ac:dyDescent="0.25">
      <c r="A492" s="56" t="s">
        <v>74</v>
      </c>
      <c r="B492" s="58" t="s">
        <v>13</v>
      </c>
      <c r="C492" s="56" t="s">
        <v>74</v>
      </c>
      <c r="D492" s="56" t="s">
        <v>0</v>
      </c>
      <c r="E492" s="55">
        <v>31848</v>
      </c>
      <c r="F492" s="54">
        <f t="shared" ca="1" si="21"/>
        <v>29</v>
      </c>
      <c r="G492" s="53"/>
      <c r="H492" s="52">
        <v>33232</v>
      </c>
      <c r="I492" s="51">
        <v>4</v>
      </c>
    </row>
    <row r="493" spans="1:9" x14ac:dyDescent="0.25">
      <c r="A493" s="56" t="s">
        <v>74</v>
      </c>
      <c r="B493" s="58" t="s">
        <v>39</v>
      </c>
      <c r="C493" s="56" t="s">
        <v>74</v>
      </c>
      <c r="D493" s="56" t="s">
        <v>15</v>
      </c>
      <c r="E493" s="55">
        <v>31850</v>
      </c>
      <c r="F493" s="54">
        <f t="shared" ca="1" si="21"/>
        <v>29</v>
      </c>
      <c r="G493" s="53" t="s">
        <v>34</v>
      </c>
      <c r="H493" s="52">
        <v>39620</v>
      </c>
      <c r="I493" s="51">
        <v>5</v>
      </c>
    </row>
    <row r="494" spans="1:9" x14ac:dyDescent="0.25">
      <c r="A494" s="56" t="s">
        <v>74</v>
      </c>
      <c r="B494" s="58" t="s">
        <v>2</v>
      </c>
      <c r="C494" s="56" t="s">
        <v>74</v>
      </c>
      <c r="D494" s="56" t="s">
        <v>5</v>
      </c>
      <c r="E494" s="55">
        <v>31869</v>
      </c>
      <c r="F494" s="54">
        <f t="shared" ca="1" si="21"/>
        <v>29</v>
      </c>
      <c r="G494" s="53" t="s">
        <v>4</v>
      </c>
      <c r="H494" s="52">
        <v>43110</v>
      </c>
      <c r="I494" s="51">
        <v>2</v>
      </c>
    </row>
    <row r="495" spans="1:9" x14ac:dyDescent="0.25">
      <c r="A495" s="56" t="s">
        <v>74</v>
      </c>
      <c r="B495" s="58" t="s">
        <v>13</v>
      </c>
      <c r="C495" s="56" t="s">
        <v>74</v>
      </c>
      <c r="D495" s="56" t="s">
        <v>5</v>
      </c>
      <c r="E495" s="55">
        <v>31876</v>
      </c>
      <c r="F495" s="54">
        <f t="shared" ca="1" si="21"/>
        <v>29</v>
      </c>
      <c r="G495" s="53" t="s">
        <v>32</v>
      </c>
      <c r="H495" s="52">
        <v>40940</v>
      </c>
      <c r="I495" s="51">
        <v>3</v>
      </c>
    </row>
    <row r="496" spans="1:9" x14ac:dyDescent="0.25">
      <c r="A496" s="56" t="s">
        <v>74</v>
      </c>
      <c r="B496" s="58" t="s">
        <v>13</v>
      </c>
      <c r="C496" s="56" t="s">
        <v>74</v>
      </c>
      <c r="D496" s="56" t="s">
        <v>5</v>
      </c>
      <c r="E496" s="55">
        <v>31936</v>
      </c>
      <c r="F496" s="54">
        <f t="shared" ca="1" si="21"/>
        <v>29</v>
      </c>
      <c r="G496" s="53" t="s">
        <v>32</v>
      </c>
      <c r="H496" s="52">
        <v>71730</v>
      </c>
      <c r="I496" s="51">
        <v>1</v>
      </c>
    </row>
    <row r="497" spans="1:9" x14ac:dyDescent="0.25">
      <c r="A497" s="56" t="s">
        <v>74</v>
      </c>
      <c r="B497" s="58" t="s">
        <v>13</v>
      </c>
      <c r="C497" s="56" t="s">
        <v>74</v>
      </c>
      <c r="D497" s="56" t="s">
        <v>5</v>
      </c>
      <c r="E497" s="55">
        <v>31970</v>
      </c>
      <c r="F497" s="54">
        <f t="shared" ca="1" si="21"/>
        <v>29</v>
      </c>
      <c r="G497" s="53" t="s">
        <v>32</v>
      </c>
      <c r="H497" s="52">
        <v>87950</v>
      </c>
      <c r="I497" s="51">
        <v>4</v>
      </c>
    </row>
    <row r="498" spans="1:9" x14ac:dyDescent="0.25">
      <c r="A498" s="56" t="s">
        <v>74</v>
      </c>
      <c r="B498" s="58" t="s">
        <v>56</v>
      </c>
      <c r="C498" s="56" t="s">
        <v>74</v>
      </c>
      <c r="D498" s="56" t="s">
        <v>12</v>
      </c>
      <c r="E498" s="55">
        <v>31976</v>
      </c>
      <c r="F498" s="54">
        <f t="shared" ca="1" si="21"/>
        <v>29</v>
      </c>
      <c r="G498" s="53"/>
      <c r="H498" s="52">
        <v>49070</v>
      </c>
      <c r="I498" s="51">
        <v>3</v>
      </c>
    </row>
    <row r="499" spans="1:9" x14ac:dyDescent="0.25">
      <c r="A499" s="56" t="s">
        <v>74</v>
      </c>
      <c r="B499" s="58" t="s">
        <v>17</v>
      </c>
      <c r="C499" s="56" t="s">
        <v>74</v>
      </c>
      <c r="D499" s="56" t="s">
        <v>5</v>
      </c>
      <c r="E499" s="55">
        <v>32010</v>
      </c>
      <c r="F499" s="54">
        <f t="shared" ca="1" si="21"/>
        <v>29</v>
      </c>
      <c r="G499" s="53" t="s">
        <v>8</v>
      </c>
      <c r="H499" s="52">
        <v>35320</v>
      </c>
      <c r="I499" s="51">
        <v>3</v>
      </c>
    </row>
    <row r="500" spans="1:9" x14ac:dyDescent="0.25">
      <c r="A500" s="56" t="s">
        <v>74</v>
      </c>
      <c r="B500" s="58" t="s">
        <v>13</v>
      </c>
      <c r="C500" s="56" t="s">
        <v>74</v>
      </c>
      <c r="D500" s="56" t="s">
        <v>15</v>
      </c>
      <c r="E500" s="55">
        <v>32039</v>
      </c>
      <c r="F500" s="54">
        <f t="shared" ca="1" si="21"/>
        <v>29</v>
      </c>
      <c r="G500" s="53" t="s">
        <v>8</v>
      </c>
      <c r="H500" s="52">
        <v>16015</v>
      </c>
      <c r="I500" s="51">
        <v>3</v>
      </c>
    </row>
    <row r="501" spans="1:9" x14ac:dyDescent="0.25">
      <c r="A501" s="56" t="s">
        <v>74</v>
      </c>
      <c r="B501" s="58" t="s">
        <v>17</v>
      </c>
      <c r="C501" s="56" t="s">
        <v>74</v>
      </c>
      <c r="D501" s="56" t="s">
        <v>5</v>
      </c>
      <c r="E501" s="55">
        <v>32130</v>
      </c>
      <c r="F501" s="54">
        <f t="shared" ca="1" si="21"/>
        <v>28</v>
      </c>
      <c r="G501" s="53" t="s">
        <v>32</v>
      </c>
      <c r="H501" s="52">
        <v>69400</v>
      </c>
      <c r="I501" s="51">
        <v>5</v>
      </c>
    </row>
    <row r="502" spans="1:9" x14ac:dyDescent="0.25">
      <c r="A502" s="56" t="s">
        <v>74</v>
      </c>
      <c r="B502" s="58" t="s">
        <v>17</v>
      </c>
      <c r="C502" s="56" t="s">
        <v>74</v>
      </c>
      <c r="D502" s="56" t="s">
        <v>5</v>
      </c>
      <c r="E502" s="55">
        <v>32150</v>
      </c>
      <c r="F502" s="54">
        <f t="shared" ca="1" si="21"/>
        <v>28</v>
      </c>
      <c r="G502" s="53" t="s">
        <v>4</v>
      </c>
      <c r="H502" s="52">
        <v>77720</v>
      </c>
      <c r="I502" s="51">
        <v>3</v>
      </c>
    </row>
    <row r="503" spans="1:9" x14ac:dyDescent="0.25">
      <c r="A503" s="56" t="s">
        <v>74</v>
      </c>
      <c r="B503" s="58" t="s">
        <v>2</v>
      </c>
      <c r="C503" s="56" t="s">
        <v>74</v>
      </c>
      <c r="D503" s="56" t="s">
        <v>5</v>
      </c>
      <c r="E503" s="55">
        <v>32203</v>
      </c>
      <c r="F503" s="54">
        <f t="shared" ca="1" si="21"/>
        <v>28</v>
      </c>
      <c r="G503" s="53" t="s">
        <v>19</v>
      </c>
      <c r="H503" s="52">
        <v>44560</v>
      </c>
      <c r="I503" s="51">
        <v>2</v>
      </c>
    </row>
    <row r="504" spans="1:9" x14ac:dyDescent="0.25">
      <c r="A504" s="56" t="s">
        <v>74</v>
      </c>
      <c r="B504" s="58" t="s">
        <v>17</v>
      </c>
      <c r="C504" s="56" t="s">
        <v>74</v>
      </c>
      <c r="D504" s="56" t="s">
        <v>5</v>
      </c>
      <c r="E504" s="55">
        <v>32226</v>
      </c>
      <c r="F504" s="54">
        <f t="shared" ca="1" si="21"/>
        <v>28</v>
      </c>
      <c r="G504" s="53" t="s">
        <v>32</v>
      </c>
      <c r="H504" s="52">
        <v>81530</v>
      </c>
      <c r="I504" s="51">
        <v>5</v>
      </c>
    </row>
    <row r="505" spans="1:9" x14ac:dyDescent="0.25">
      <c r="A505" s="56" t="s">
        <v>74</v>
      </c>
      <c r="B505" s="58" t="s">
        <v>39</v>
      </c>
      <c r="C505" s="56" t="s">
        <v>74</v>
      </c>
      <c r="D505" s="56" t="s">
        <v>5</v>
      </c>
      <c r="E505" s="55">
        <v>32278</v>
      </c>
      <c r="F505" s="54">
        <f t="shared" ca="1" si="21"/>
        <v>28</v>
      </c>
      <c r="G505" s="53" t="s">
        <v>4</v>
      </c>
      <c r="H505" s="52">
        <v>44620</v>
      </c>
      <c r="I505" s="51">
        <v>5</v>
      </c>
    </row>
    <row r="506" spans="1:9" x14ac:dyDescent="0.25">
      <c r="A506" s="57" t="s">
        <v>817</v>
      </c>
      <c r="B506" s="58"/>
      <c r="C506" s="57"/>
      <c r="D506" s="56"/>
      <c r="E506" s="55"/>
      <c r="F506" s="54"/>
      <c r="G506" s="53"/>
      <c r="H506" s="52"/>
      <c r="I506" s="51"/>
    </row>
    <row r="507" spans="1:9" x14ac:dyDescent="0.25">
      <c r="A507" s="56" t="s">
        <v>22</v>
      </c>
      <c r="B507" s="58" t="s">
        <v>17</v>
      </c>
      <c r="C507" s="56" t="s">
        <v>22</v>
      </c>
      <c r="D507" s="56" t="s">
        <v>5</v>
      </c>
      <c r="E507" s="55">
        <v>31788</v>
      </c>
      <c r="F507" s="54">
        <f t="shared" ref="F507:F538" ca="1" si="22">DATEDIF(E507,TODAY(),"Y")</f>
        <v>29</v>
      </c>
      <c r="G507" s="53" t="s">
        <v>32</v>
      </c>
      <c r="H507" s="52">
        <v>48080</v>
      </c>
      <c r="I507" s="51">
        <v>2</v>
      </c>
    </row>
    <row r="508" spans="1:9" x14ac:dyDescent="0.25">
      <c r="A508" s="56" t="s">
        <v>22</v>
      </c>
      <c r="B508" s="58" t="s">
        <v>13</v>
      </c>
      <c r="C508" s="56" t="s">
        <v>22</v>
      </c>
      <c r="D508" s="56" t="s">
        <v>5</v>
      </c>
      <c r="E508" s="55">
        <v>31818</v>
      </c>
      <c r="F508" s="54">
        <f t="shared" ca="1" si="22"/>
        <v>29</v>
      </c>
      <c r="G508" s="53" t="s">
        <v>19</v>
      </c>
      <c r="H508" s="52">
        <v>46110</v>
      </c>
      <c r="I508" s="51">
        <v>4</v>
      </c>
    </row>
    <row r="509" spans="1:9" x14ac:dyDescent="0.25">
      <c r="A509" s="56" t="s">
        <v>22</v>
      </c>
      <c r="B509" s="58" t="s">
        <v>39</v>
      </c>
      <c r="C509" s="56" t="s">
        <v>22</v>
      </c>
      <c r="D509" s="56" t="s">
        <v>12</v>
      </c>
      <c r="E509" s="55">
        <v>31857</v>
      </c>
      <c r="F509" s="54">
        <f t="shared" ca="1" si="22"/>
        <v>29</v>
      </c>
      <c r="G509" s="53"/>
      <c r="H509" s="52">
        <v>23020</v>
      </c>
      <c r="I509" s="51">
        <v>4</v>
      </c>
    </row>
    <row r="510" spans="1:9" x14ac:dyDescent="0.25">
      <c r="A510" s="56" t="s">
        <v>22</v>
      </c>
      <c r="B510" s="58" t="s">
        <v>17</v>
      </c>
      <c r="C510" s="56" t="s">
        <v>22</v>
      </c>
      <c r="D510" s="56" t="s">
        <v>12</v>
      </c>
      <c r="E510" s="55">
        <v>31924</v>
      </c>
      <c r="F510" s="54">
        <f t="shared" ca="1" si="22"/>
        <v>29</v>
      </c>
      <c r="G510" s="53"/>
      <c r="H510" s="52">
        <v>58650</v>
      </c>
      <c r="I510" s="51">
        <v>4</v>
      </c>
    </row>
    <row r="511" spans="1:9" x14ac:dyDescent="0.25">
      <c r="A511" s="56" t="s">
        <v>22</v>
      </c>
      <c r="B511" s="58" t="s">
        <v>17</v>
      </c>
      <c r="C511" s="56" t="s">
        <v>22</v>
      </c>
      <c r="D511" s="56" t="s">
        <v>5</v>
      </c>
      <c r="E511" s="55">
        <v>32051</v>
      </c>
      <c r="F511" s="54">
        <f t="shared" ca="1" si="22"/>
        <v>29</v>
      </c>
      <c r="G511" s="53" t="s">
        <v>32</v>
      </c>
      <c r="H511" s="52">
        <v>24090</v>
      </c>
      <c r="I511" s="51">
        <v>4</v>
      </c>
    </row>
    <row r="512" spans="1:9" x14ac:dyDescent="0.25">
      <c r="A512" s="56" t="s">
        <v>22</v>
      </c>
      <c r="B512" s="58" t="s">
        <v>17</v>
      </c>
      <c r="C512" s="56" t="s">
        <v>22</v>
      </c>
      <c r="D512" s="56" t="s">
        <v>12</v>
      </c>
      <c r="E512" s="55">
        <v>32092</v>
      </c>
      <c r="F512" s="54">
        <f t="shared" ca="1" si="22"/>
        <v>28</v>
      </c>
      <c r="G512" s="53"/>
      <c r="H512" s="52">
        <v>79380</v>
      </c>
      <c r="I512" s="51">
        <v>1</v>
      </c>
    </row>
    <row r="513" spans="1:9" x14ac:dyDescent="0.25">
      <c r="A513" s="56" t="s">
        <v>22</v>
      </c>
      <c r="B513" s="58" t="s">
        <v>17</v>
      </c>
      <c r="C513" s="56" t="s">
        <v>22</v>
      </c>
      <c r="D513" s="56" t="s">
        <v>5</v>
      </c>
      <c r="E513" s="55">
        <v>32150</v>
      </c>
      <c r="F513" s="54">
        <f t="shared" ca="1" si="22"/>
        <v>28</v>
      </c>
      <c r="G513" s="53" t="s">
        <v>19</v>
      </c>
      <c r="H513" s="52">
        <v>77740</v>
      </c>
      <c r="I513" s="51">
        <v>1</v>
      </c>
    </row>
    <row r="514" spans="1:9" x14ac:dyDescent="0.25">
      <c r="A514" s="56" t="s">
        <v>22</v>
      </c>
      <c r="B514" s="58" t="s">
        <v>17</v>
      </c>
      <c r="C514" s="56" t="s">
        <v>22</v>
      </c>
      <c r="D514" s="56" t="s">
        <v>5</v>
      </c>
      <c r="E514" s="55">
        <v>32200</v>
      </c>
      <c r="F514" s="54">
        <f t="shared" ca="1" si="22"/>
        <v>28</v>
      </c>
      <c r="G514" s="53" t="s">
        <v>34</v>
      </c>
      <c r="H514" s="52">
        <v>54500</v>
      </c>
      <c r="I514" s="51">
        <v>5</v>
      </c>
    </row>
    <row r="515" spans="1:9" x14ac:dyDescent="0.25">
      <c r="A515" s="56" t="s">
        <v>22</v>
      </c>
      <c r="B515" s="58" t="s">
        <v>17</v>
      </c>
      <c r="C515" s="56" t="s">
        <v>22</v>
      </c>
      <c r="D515" s="56" t="s">
        <v>12</v>
      </c>
      <c r="E515" s="55">
        <v>32205</v>
      </c>
      <c r="F515" s="54">
        <f t="shared" ca="1" si="22"/>
        <v>28</v>
      </c>
      <c r="G515" s="53"/>
      <c r="H515" s="52">
        <v>52750</v>
      </c>
      <c r="I515" s="51">
        <v>1</v>
      </c>
    </row>
    <row r="516" spans="1:9" x14ac:dyDescent="0.25">
      <c r="A516" s="56" t="s">
        <v>22</v>
      </c>
      <c r="B516" s="58" t="s">
        <v>17</v>
      </c>
      <c r="C516" s="56" t="s">
        <v>22</v>
      </c>
      <c r="D516" s="56" t="s">
        <v>5</v>
      </c>
      <c r="E516" s="55">
        <v>32216</v>
      </c>
      <c r="F516" s="54">
        <f t="shared" ca="1" si="22"/>
        <v>28</v>
      </c>
      <c r="G516" s="53" t="s">
        <v>19</v>
      </c>
      <c r="H516" s="52">
        <v>79400</v>
      </c>
      <c r="I516" s="51">
        <v>4</v>
      </c>
    </row>
    <row r="517" spans="1:9" x14ac:dyDescent="0.25">
      <c r="A517" s="56" t="s">
        <v>22</v>
      </c>
      <c r="B517" s="58" t="s">
        <v>13</v>
      </c>
      <c r="C517" s="56" t="s">
        <v>22</v>
      </c>
      <c r="D517" s="56" t="s">
        <v>5</v>
      </c>
      <c r="E517" s="55">
        <v>32263</v>
      </c>
      <c r="F517" s="54">
        <f t="shared" ca="1" si="22"/>
        <v>28</v>
      </c>
      <c r="G517" s="53" t="s">
        <v>8</v>
      </c>
      <c r="H517" s="52">
        <v>71680</v>
      </c>
      <c r="I517" s="51">
        <v>4</v>
      </c>
    </row>
    <row r="518" spans="1:9" x14ac:dyDescent="0.25">
      <c r="A518" s="56" t="s">
        <v>22</v>
      </c>
      <c r="B518" s="58" t="s">
        <v>39</v>
      </c>
      <c r="C518" s="56" t="s">
        <v>22</v>
      </c>
      <c r="D518" s="56" t="s">
        <v>12</v>
      </c>
      <c r="E518" s="55">
        <v>32268</v>
      </c>
      <c r="F518" s="54">
        <f t="shared" ca="1" si="22"/>
        <v>28</v>
      </c>
      <c r="G518" s="53"/>
      <c r="H518" s="52">
        <v>50840</v>
      </c>
      <c r="I518" s="51">
        <v>4</v>
      </c>
    </row>
    <row r="519" spans="1:9" x14ac:dyDescent="0.25">
      <c r="A519" s="56" t="s">
        <v>22</v>
      </c>
      <c r="B519" s="58" t="s">
        <v>39</v>
      </c>
      <c r="C519" s="56" t="s">
        <v>22</v>
      </c>
      <c r="D519" s="56" t="s">
        <v>12</v>
      </c>
      <c r="E519" s="55">
        <v>32328</v>
      </c>
      <c r="F519" s="54">
        <f t="shared" ca="1" si="22"/>
        <v>28</v>
      </c>
      <c r="G519" s="53"/>
      <c r="H519" s="52">
        <v>47590</v>
      </c>
      <c r="I519" s="51">
        <v>3</v>
      </c>
    </row>
    <row r="520" spans="1:9" x14ac:dyDescent="0.25">
      <c r="A520" s="56" t="s">
        <v>22</v>
      </c>
      <c r="B520" s="58" t="s">
        <v>39</v>
      </c>
      <c r="C520" s="56" t="s">
        <v>22</v>
      </c>
      <c r="D520" s="56" t="s">
        <v>12</v>
      </c>
      <c r="E520" s="55">
        <v>32348</v>
      </c>
      <c r="F520" s="54">
        <f t="shared" ca="1" si="22"/>
        <v>28</v>
      </c>
      <c r="G520" s="53"/>
      <c r="H520" s="52">
        <v>60550</v>
      </c>
      <c r="I520" s="51">
        <v>2</v>
      </c>
    </row>
    <row r="521" spans="1:9" x14ac:dyDescent="0.25">
      <c r="A521" s="56" t="s">
        <v>22</v>
      </c>
      <c r="B521" s="58" t="s">
        <v>39</v>
      </c>
      <c r="C521" s="56" t="s">
        <v>22</v>
      </c>
      <c r="D521" s="56" t="s">
        <v>15</v>
      </c>
      <c r="E521" s="55">
        <v>32361</v>
      </c>
      <c r="F521" s="54">
        <f t="shared" ca="1" si="22"/>
        <v>28</v>
      </c>
      <c r="G521" s="53" t="s">
        <v>32</v>
      </c>
      <c r="H521" s="52">
        <v>46380</v>
      </c>
      <c r="I521" s="51">
        <v>3</v>
      </c>
    </row>
    <row r="522" spans="1:9" x14ac:dyDescent="0.25">
      <c r="A522" s="56" t="s">
        <v>22</v>
      </c>
      <c r="B522" s="58" t="s">
        <v>17</v>
      </c>
      <c r="C522" s="56" t="s">
        <v>22</v>
      </c>
      <c r="D522" s="56" t="s">
        <v>12</v>
      </c>
      <c r="E522" s="55">
        <v>32639</v>
      </c>
      <c r="F522" s="54">
        <f t="shared" ca="1" si="22"/>
        <v>27</v>
      </c>
      <c r="G522" s="53"/>
      <c r="H522" s="52">
        <v>44720</v>
      </c>
      <c r="I522" s="51">
        <v>2</v>
      </c>
    </row>
    <row r="523" spans="1:9" x14ac:dyDescent="0.25">
      <c r="A523" s="56" t="s">
        <v>22</v>
      </c>
      <c r="B523" s="58" t="s">
        <v>17</v>
      </c>
      <c r="C523" s="56" t="s">
        <v>22</v>
      </c>
      <c r="D523" s="56" t="s">
        <v>5</v>
      </c>
      <c r="E523" s="55">
        <v>32751</v>
      </c>
      <c r="F523" s="54">
        <f t="shared" ca="1" si="22"/>
        <v>27</v>
      </c>
      <c r="G523" s="53" t="s">
        <v>32</v>
      </c>
      <c r="H523" s="52">
        <v>23320</v>
      </c>
      <c r="I523" s="51">
        <v>4</v>
      </c>
    </row>
    <row r="524" spans="1:9" x14ac:dyDescent="0.25">
      <c r="A524" s="56" t="s">
        <v>22</v>
      </c>
      <c r="B524" s="58" t="s">
        <v>13</v>
      </c>
      <c r="C524" s="56" t="s">
        <v>22</v>
      </c>
      <c r="D524" s="56" t="s">
        <v>5</v>
      </c>
      <c r="E524" s="55">
        <v>32839</v>
      </c>
      <c r="F524" s="54">
        <f t="shared" ca="1" si="22"/>
        <v>26</v>
      </c>
      <c r="G524" s="53" t="s">
        <v>8</v>
      </c>
      <c r="H524" s="52">
        <v>63440</v>
      </c>
      <c r="I524" s="51">
        <v>3</v>
      </c>
    </row>
    <row r="525" spans="1:9" x14ac:dyDescent="0.25">
      <c r="A525" s="56" t="s">
        <v>22</v>
      </c>
      <c r="B525" s="58" t="s">
        <v>17</v>
      </c>
      <c r="C525" s="56" t="s">
        <v>22</v>
      </c>
      <c r="D525" s="56" t="s">
        <v>5</v>
      </c>
      <c r="E525" s="55">
        <v>32859</v>
      </c>
      <c r="F525" s="54">
        <f t="shared" ca="1" si="22"/>
        <v>26</v>
      </c>
      <c r="G525" s="53" t="s">
        <v>19</v>
      </c>
      <c r="H525" s="52">
        <v>69420</v>
      </c>
      <c r="I525" s="51">
        <v>2</v>
      </c>
    </row>
    <row r="526" spans="1:9" x14ac:dyDescent="0.25">
      <c r="A526" s="56" t="s">
        <v>22</v>
      </c>
      <c r="B526" s="58" t="s">
        <v>17</v>
      </c>
      <c r="C526" s="56" t="s">
        <v>22</v>
      </c>
      <c r="D526" s="56" t="s">
        <v>5</v>
      </c>
      <c r="E526" s="55">
        <v>32912</v>
      </c>
      <c r="F526" s="54">
        <f t="shared" ca="1" si="22"/>
        <v>26</v>
      </c>
      <c r="G526" s="53" t="s">
        <v>32</v>
      </c>
      <c r="H526" s="52">
        <v>62688</v>
      </c>
      <c r="I526" s="51">
        <v>2</v>
      </c>
    </row>
    <row r="527" spans="1:9" x14ac:dyDescent="0.25">
      <c r="A527" s="56" t="s">
        <v>22</v>
      </c>
      <c r="B527" s="58" t="s">
        <v>17</v>
      </c>
      <c r="C527" s="56" t="s">
        <v>22</v>
      </c>
      <c r="D527" s="56" t="s">
        <v>12</v>
      </c>
      <c r="E527" s="55">
        <v>33168</v>
      </c>
      <c r="F527" s="54">
        <f t="shared" ca="1" si="22"/>
        <v>26</v>
      </c>
      <c r="G527" s="53"/>
      <c r="H527" s="52">
        <v>56650</v>
      </c>
      <c r="I527" s="51">
        <v>1</v>
      </c>
    </row>
    <row r="528" spans="1:9" x14ac:dyDescent="0.25">
      <c r="A528" s="56" t="s">
        <v>22</v>
      </c>
      <c r="B528" s="58" t="s">
        <v>13</v>
      </c>
      <c r="C528" s="56" t="s">
        <v>22</v>
      </c>
      <c r="D528" s="56" t="s">
        <v>12</v>
      </c>
      <c r="E528" s="55">
        <v>33348</v>
      </c>
      <c r="F528" s="54">
        <f t="shared" ca="1" si="22"/>
        <v>25</v>
      </c>
      <c r="G528" s="53"/>
      <c r="H528" s="52">
        <v>85980</v>
      </c>
      <c r="I528" s="51">
        <v>2</v>
      </c>
    </row>
    <row r="529" spans="1:9" x14ac:dyDescent="0.25">
      <c r="A529" s="56" t="s">
        <v>22</v>
      </c>
      <c r="B529" s="58" t="s">
        <v>10</v>
      </c>
      <c r="C529" s="56" t="s">
        <v>22</v>
      </c>
      <c r="D529" s="56" t="s">
        <v>5</v>
      </c>
      <c r="E529" s="55">
        <v>33383</v>
      </c>
      <c r="F529" s="54">
        <f t="shared" ca="1" si="22"/>
        <v>25</v>
      </c>
      <c r="G529" s="53" t="s">
        <v>34</v>
      </c>
      <c r="H529" s="52">
        <v>88820</v>
      </c>
      <c r="I529" s="51">
        <v>2</v>
      </c>
    </row>
    <row r="530" spans="1:9" x14ac:dyDescent="0.25">
      <c r="A530" s="56" t="s">
        <v>22</v>
      </c>
      <c r="B530" s="58" t="s">
        <v>17</v>
      </c>
      <c r="C530" s="56" t="s">
        <v>22</v>
      </c>
      <c r="D530" s="56" t="s">
        <v>12</v>
      </c>
      <c r="E530" s="55">
        <v>33416</v>
      </c>
      <c r="F530" s="54">
        <f t="shared" ca="1" si="22"/>
        <v>25</v>
      </c>
      <c r="G530" s="53"/>
      <c r="H530" s="52">
        <v>33120</v>
      </c>
      <c r="I530" s="51">
        <v>2</v>
      </c>
    </row>
    <row r="531" spans="1:9" x14ac:dyDescent="0.25">
      <c r="A531" s="56" t="s">
        <v>22</v>
      </c>
      <c r="B531" s="58" t="s">
        <v>39</v>
      </c>
      <c r="C531" s="56" t="s">
        <v>22</v>
      </c>
      <c r="D531" s="56" t="s">
        <v>15</v>
      </c>
      <c r="E531" s="55">
        <v>33483</v>
      </c>
      <c r="F531" s="54">
        <f t="shared" ca="1" si="22"/>
        <v>25</v>
      </c>
      <c r="G531" s="53" t="s">
        <v>4</v>
      </c>
      <c r="H531" s="52">
        <v>10700</v>
      </c>
      <c r="I531" s="51">
        <v>4</v>
      </c>
    </row>
    <row r="532" spans="1:9" x14ac:dyDescent="0.25">
      <c r="A532" s="56" t="s">
        <v>22</v>
      </c>
      <c r="B532" s="58" t="s">
        <v>10</v>
      </c>
      <c r="C532" s="56" t="s">
        <v>22</v>
      </c>
      <c r="D532" s="56" t="s">
        <v>12</v>
      </c>
      <c r="E532" s="55">
        <v>33605</v>
      </c>
      <c r="F532" s="54">
        <f t="shared" ca="1" si="22"/>
        <v>24</v>
      </c>
      <c r="G532" s="53"/>
      <c r="H532" s="52">
        <v>76870</v>
      </c>
      <c r="I532" s="51">
        <v>5</v>
      </c>
    </row>
    <row r="533" spans="1:9" x14ac:dyDescent="0.25">
      <c r="A533" s="56" t="s">
        <v>22</v>
      </c>
      <c r="B533" s="58" t="s">
        <v>39</v>
      </c>
      <c r="C533" s="56" t="s">
        <v>22</v>
      </c>
      <c r="D533" s="56" t="s">
        <v>5</v>
      </c>
      <c r="E533" s="55">
        <v>33679</v>
      </c>
      <c r="F533" s="54">
        <f t="shared" ca="1" si="22"/>
        <v>24</v>
      </c>
      <c r="G533" s="53" t="s">
        <v>32</v>
      </c>
      <c r="H533" s="52">
        <v>50570</v>
      </c>
      <c r="I533" s="51">
        <v>4</v>
      </c>
    </row>
    <row r="534" spans="1:9" x14ac:dyDescent="0.25">
      <c r="A534" s="56" t="s">
        <v>22</v>
      </c>
      <c r="B534" s="58" t="s">
        <v>39</v>
      </c>
      <c r="C534" s="56" t="s">
        <v>22</v>
      </c>
      <c r="D534" s="56" t="s">
        <v>5</v>
      </c>
      <c r="E534" s="55">
        <v>33784</v>
      </c>
      <c r="F534" s="54">
        <f t="shared" ca="1" si="22"/>
        <v>24</v>
      </c>
      <c r="G534" s="53" t="s">
        <v>34</v>
      </c>
      <c r="H534" s="52">
        <v>61148</v>
      </c>
      <c r="I534" s="51">
        <v>2</v>
      </c>
    </row>
    <row r="535" spans="1:9" x14ac:dyDescent="0.25">
      <c r="A535" s="56" t="s">
        <v>22</v>
      </c>
      <c r="B535" s="58" t="s">
        <v>13</v>
      </c>
      <c r="C535" s="56" t="s">
        <v>22</v>
      </c>
      <c r="D535" s="56" t="s">
        <v>12</v>
      </c>
      <c r="E535" s="55">
        <v>33836</v>
      </c>
      <c r="F535" s="54">
        <f t="shared" ca="1" si="22"/>
        <v>24</v>
      </c>
      <c r="G535" s="53"/>
      <c r="H535" s="52">
        <v>73190</v>
      </c>
      <c r="I535" s="51">
        <v>1</v>
      </c>
    </row>
    <row r="536" spans="1:9" x14ac:dyDescent="0.25">
      <c r="A536" s="56" t="s">
        <v>22</v>
      </c>
      <c r="B536" s="58" t="s">
        <v>39</v>
      </c>
      <c r="C536" s="56" t="s">
        <v>22</v>
      </c>
      <c r="D536" s="56" t="s">
        <v>5</v>
      </c>
      <c r="E536" s="55">
        <v>33841</v>
      </c>
      <c r="F536" s="54">
        <f t="shared" ca="1" si="22"/>
        <v>24</v>
      </c>
      <c r="G536" s="53" t="s">
        <v>8</v>
      </c>
      <c r="H536" s="52">
        <v>29760</v>
      </c>
      <c r="I536" s="51">
        <v>2</v>
      </c>
    </row>
    <row r="537" spans="1:9" x14ac:dyDescent="0.25">
      <c r="A537" s="56" t="s">
        <v>22</v>
      </c>
      <c r="B537" s="58" t="s">
        <v>39</v>
      </c>
      <c r="C537" s="56" t="s">
        <v>22</v>
      </c>
      <c r="D537" s="56" t="s">
        <v>5</v>
      </c>
      <c r="E537" s="55">
        <v>33841</v>
      </c>
      <c r="F537" s="54">
        <f t="shared" ca="1" si="22"/>
        <v>24</v>
      </c>
      <c r="G537" s="53" t="s">
        <v>8</v>
      </c>
      <c r="H537" s="52">
        <v>29760</v>
      </c>
      <c r="I537" s="51">
        <v>2</v>
      </c>
    </row>
    <row r="538" spans="1:9" x14ac:dyDescent="0.25">
      <c r="A538" s="56" t="s">
        <v>22</v>
      </c>
      <c r="B538" s="58" t="s">
        <v>13</v>
      </c>
      <c r="C538" s="56" t="s">
        <v>22</v>
      </c>
      <c r="D538" s="56" t="s">
        <v>5</v>
      </c>
      <c r="E538" s="55">
        <v>33859</v>
      </c>
      <c r="F538" s="54">
        <f t="shared" ca="1" si="22"/>
        <v>24</v>
      </c>
      <c r="G538" s="53" t="s">
        <v>8</v>
      </c>
      <c r="H538" s="52">
        <v>72640</v>
      </c>
      <c r="I538" s="51">
        <v>3</v>
      </c>
    </row>
    <row r="539" spans="1:9" x14ac:dyDescent="0.25">
      <c r="A539" s="56" t="s">
        <v>22</v>
      </c>
      <c r="B539" s="58" t="s">
        <v>17</v>
      </c>
      <c r="C539" s="56" t="s">
        <v>22</v>
      </c>
      <c r="D539" s="56" t="s">
        <v>5</v>
      </c>
      <c r="E539" s="55">
        <v>33909</v>
      </c>
      <c r="F539" s="54">
        <f t="shared" ref="F539:F570" ca="1" si="23">DATEDIF(E539,TODAY(),"Y")</f>
        <v>24</v>
      </c>
      <c r="G539" s="53" t="s">
        <v>32</v>
      </c>
      <c r="H539" s="52">
        <v>47340</v>
      </c>
      <c r="I539" s="51">
        <v>2</v>
      </c>
    </row>
    <row r="540" spans="1:9" x14ac:dyDescent="0.25">
      <c r="A540" s="56" t="s">
        <v>22</v>
      </c>
      <c r="B540" s="58" t="s">
        <v>39</v>
      </c>
      <c r="C540" s="56" t="s">
        <v>22</v>
      </c>
      <c r="D540" s="56" t="s">
        <v>5</v>
      </c>
      <c r="E540" s="55">
        <v>33976</v>
      </c>
      <c r="F540" s="54">
        <f t="shared" ca="1" si="23"/>
        <v>23</v>
      </c>
      <c r="G540" s="53" t="s">
        <v>34</v>
      </c>
      <c r="H540" s="52">
        <v>72700</v>
      </c>
      <c r="I540" s="51">
        <v>5</v>
      </c>
    </row>
    <row r="541" spans="1:9" x14ac:dyDescent="0.25">
      <c r="A541" s="56" t="s">
        <v>22</v>
      </c>
      <c r="B541" s="58" t="s">
        <v>13</v>
      </c>
      <c r="C541" s="56" t="s">
        <v>22</v>
      </c>
      <c r="D541" s="56" t="s">
        <v>12</v>
      </c>
      <c r="E541" s="55">
        <v>33991</v>
      </c>
      <c r="F541" s="54">
        <f t="shared" ca="1" si="23"/>
        <v>23</v>
      </c>
      <c r="G541" s="53"/>
      <c r="H541" s="52">
        <v>60070</v>
      </c>
      <c r="I541" s="51">
        <v>2</v>
      </c>
    </row>
    <row r="542" spans="1:9" x14ac:dyDescent="0.25">
      <c r="A542" s="56" t="s">
        <v>22</v>
      </c>
      <c r="B542" s="58" t="s">
        <v>13</v>
      </c>
      <c r="C542" s="56" t="s">
        <v>22</v>
      </c>
      <c r="D542" s="56" t="s">
        <v>5</v>
      </c>
      <c r="E542" s="55">
        <v>34218</v>
      </c>
      <c r="F542" s="54">
        <f t="shared" ca="1" si="23"/>
        <v>23</v>
      </c>
      <c r="G542" s="53" t="s">
        <v>32</v>
      </c>
      <c r="H542" s="52">
        <v>63270</v>
      </c>
      <c r="I542" s="51">
        <v>1</v>
      </c>
    </row>
    <row r="543" spans="1:9" x14ac:dyDescent="0.25">
      <c r="A543" s="56" t="s">
        <v>22</v>
      </c>
      <c r="B543" s="58" t="s">
        <v>39</v>
      </c>
      <c r="C543" s="56" t="s">
        <v>22</v>
      </c>
      <c r="D543" s="56" t="s">
        <v>12</v>
      </c>
      <c r="E543" s="55">
        <v>34231</v>
      </c>
      <c r="F543" s="54">
        <f t="shared" ca="1" si="23"/>
        <v>23</v>
      </c>
      <c r="G543" s="53"/>
      <c r="H543" s="52">
        <v>49530</v>
      </c>
      <c r="I543" s="51">
        <v>4</v>
      </c>
    </row>
    <row r="544" spans="1:9" x14ac:dyDescent="0.25">
      <c r="A544" s="56" t="s">
        <v>22</v>
      </c>
      <c r="B544" s="58" t="s">
        <v>13</v>
      </c>
      <c r="C544" s="56" t="s">
        <v>22</v>
      </c>
      <c r="D544" s="56" t="s">
        <v>5</v>
      </c>
      <c r="E544" s="55">
        <v>34306</v>
      </c>
      <c r="F544" s="54">
        <f t="shared" ca="1" si="23"/>
        <v>22</v>
      </c>
      <c r="G544" s="53" t="s">
        <v>4</v>
      </c>
      <c r="H544" s="52">
        <v>34060</v>
      </c>
      <c r="I544" s="51">
        <v>2</v>
      </c>
    </row>
    <row r="545" spans="1:9" x14ac:dyDescent="0.25">
      <c r="A545" s="56" t="s">
        <v>22</v>
      </c>
      <c r="B545" s="58" t="s">
        <v>13</v>
      </c>
      <c r="C545" s="56" t="s">
        <v>22</v>
      </c>
      <c r="D545" s="56" t="s">
        <v>5</v>
      </c>
      <c r="E545" s="55">
        <v>34383</v>
      </c>
      <c r="F545" s="54">
        <f t="shared" ca="1" si="23"/>
        <v>22</v>
      </c>
      <c r="G545" s="53" t="s">
        <v>34</v>
      </c>
      <c r="H545" s="52">
        <v>24340</v>
      </c>
      <c r="I545" s="51">
        <v>4</v>
      </c>
    </row>
    <row r="546" spans="1:9" x14ac:dyDescent="0.25">
      <c r="A546" s="56" t="s">
        <v>22</v>
      </c>
      <c r="B546" s="58" t="s">
        <v>56</v>
      </c>
      <c r="C546" s="56" t="s">
        <v>22</v>
      </c>
      <c r="D546" s="56" t="s">
        <v>12</v>
      </c>
      <c r="E546" s="55">
        <v>34389</v>
      </c>
      <c r="F546" s="54">
        <f t="shared" ca="1" si="23"/>
        <v>22</v>
      </c>
      <c r="G546" s="53"/>
      <c r="H546" s="52">
        <v>36230</v>
      </c>
      <c r="I546" s="51">
        <v>2</v>
      </c>
    </row>
    <row r="547" spans="1:9" x14ac:dyDescent="0.25">
      <c r="A547" s="56" t="s">
        <v>22</v>
      </c>
      <c r="B547" s="58" t="s">
        <v>39</v>
      </c>
      <c r="C547" s="56" t="s">
        <v>22</v>
      </c>
      <c r="D547" s="56" t="s">
        <v>5</v>
      </c>
      <c r="E547" s="55">
        <v>34511</v>
      </c>
      <c r="F547" s="54">
        <f t="shared" ca="1" si="23"/>
        <v>22</v>
      </c>
      <c r="G547" s="53" t="s">
        <v>19</v>
      </c>
      <c r="H547" s="52">
        <v>22870</v>
      </c>
      <c r="I547" s="51">
        <v>3</v>
      </c>
    </row>
    <row r="548" spans="1:9" x14ac:dyDescent="0.25">
      <c r="A548" s="56" t="s">
        <v>22</v>
      </c>
      <c r="B548" s="58" t="s">
        <v>10</v>
      </c>
      <c r="C548" s="56" t="s">
        <v>22</v>
      </c>
      <c r="D548" s="56" t="s">
        <v>15</v>
      </c>
      <c r="E548" s="55">
        <v>34516</v>
      </c>
      <c r="F548" s="54">
        <f t="shared" ca="1" si="23"/>
        <v>22</v>
      </c>
      <c r="G548" s="53" t="s">
        <v>32</v>
      </c>
      <c r="H548" s="52">
        <v>31205</v>
      </c>
      <c r="I548" s="51">
        <v>2</v>
      </c>
    </row>
    <row r="549" spans="1:9" x14ac:dyDescent="0.25">
      <c r="A549" s="56" t="s">
        <v>22</v>
      </c>
      <c r="B549" s="58" t="s">
        <v>56</v>
      </c>
      <c r="C549" s="56" t="s">
        <v>22</v>
      </c>
      <c r="D549" s="56" t="s">
        <v>5</v>
      </c>
      <c r="E549" s="55">
        <v>34608</v>
      </c>
      <c r="F549" s="54">
        <f t="shared" ca="1" si="23"/>
        <v>22</v>
      </c>
      <c r="G549" s="53" t="s">
        <v>34</v>
      </c>
      <c r="H549" s="52">
        <v>73740</v>
      </c>
      <c r="I549" s="51">
        <v>4</v>
      </c>
    </row>
    <row r="550" spans="1:9" x14ac:dyDescent="0.25">
      <c r="A550" s="56" t="s">
        <v>22</v>
      </c>
      <c r="B550" s="58" t="s">
        <v>39</v>
      </c>
      <c r="C550" s="56" t="s">
        <v>22</v>
      </c>
      <c r="D550" s="56" t="s">
        <v>0</v>
      </c>
      <c r="E550" s="55">
        <v>34636</v>
      </c>
      <c r="F550" s="54">
        <f t="shared" ca="1" si="23"/>
        <v>22</v>
      </c>
      <c r="G550" s="53"/>
      <c r="H550" s="52">
        <v>14332</v>
      </c>
      <c r="I550" s="51">
        <v>5</v>
      </c>
    </row>
    <row r="551" spans="1:9" x14ac:dyDescent="0.25">
      <c r="A551" s="56" t="s">
        <v>22</v>
      </c>
      <c r="B551" s="58" t="s">
        <v>13</v>
      </c>
      <c r="C551" s="56" t="s">
        <v>22</v>
      </c>
      <c r="D551" s="56" t="s">
        <v>5</v>
      </c>
      <c r="E551" s="55">
        <v>34648</v>
      </c>
      <c r="F551" s="54">
        <f t="shared" ca="1" si="23"/>
        <v>21</v>
      </c>
      <c r="G551" s="53" t="s">
        <v>4</v>
      </c>
      <c r="H551" s="52">
        <v>61420</v>
      </c>
      <c r="I551" s="51">
        <v>4</v>
      </c>
    </row>
    <row r="552" spans="1:9" x14ac:dyDescent="0.25">
      <c r="A552" s="56" t="s">
        <v>22</v>
      </c>
      <c r="B552" s="58" t="s">
        <v>17</v>
      </c>
      <c r="C552" s="56" t="s">
        <v>22</v>
      </c>
      <c r="D552" s="56" t="s">
        <v>5</v>
      </c>
      <c r="E552" s="55">
        <v>34680</v>
      </c>
      <c r="F552" s="54">
        <f t="shared" ca="1" si="23"/>
        <v>21</v>
      </c>
      <c r="G552" s="53" t="s">
        <v>8</v>
      </c>
      <c r="H552" s="52">
        <v>36890</v>
      </c>
      <c r="I552" s="51">
        <v>1</v>
      </c>
    </row>
    <row r="553" spans="1:9" x14ac:dyDescent="0.25">
      <c r="A553" s="56" t="s">
        <v>22</v>
      </c>
      <c r="B553" s="58" t="s">
        <v>13</v>
      </c>
      <c r="C553" s="56" t="s">
        <v>22</v>
      </c>
      <c r="D553" s="56" t="s">
        <v>0</v>
      </c>
      <c r="E553" s="55">
        <v>34718</v>
      </c>
      <c r="F553" s="54">
        <f t="shared" ca="1" si="23"/>
        <v>21</v>
      </c>
      <c r="G553" s="53"/>
      <c r="H553" s="52">
        <v>16688</v>
      </c>
      <c r="I553" s="51">
        <v>3</v>
      </c>
    </row>
    <row r="554" spans="1:9" x14ac:dyDescent="0.25">
      <c r="A554" s="56" t="s">
        <v>22</v>
      </c>
      <c r="B554" s="58" t="s">
        <v>13</v>
      </c>
      <c r="C554" s="56" t="s">
        <v>22</v>
      </c>
      <c r="D554" s="56" t="s">
        <v>15</v>
      </c>
      <c r="E554" s="55">
        <v>34774</v>
      </c>
      <c r="F554" s="54">
        <f t="shared" ca="1" si="23"/>
        <v>21</v>
      </c>
      <c r="G554" s="53" t="s">
        <v>34</v>
      </c>
      <c r="H554" s="52">
        <v>45750</v>
      </c>
      <c r="I554" s="51">
        <v>5</v>
      </c>
    </row>
    <row r="555" spans="1:9" x14ac:dyDescent="0.25">
      <c r="A555" s="56" t="s">
        <v>22</v>
      </c>
      <c r="B555" s="58" t="s">
        <v>39</v>
      </c>
      <c r="C555" s="56" t="s">
        <v>22</v>
      </c>
      <c r="D555" s="56" t="s">
        <v>12</v>
      </c>
      <c r="E555" s="55">
        <v>34776</v>
      </c>
      <c r="F555" s="54">
        <f t="shared" ca="1" si="23"/>
        <v>21</v>
      </c>
      <c r="G555" s="53"/>
      <c r="H555" s="52">
        <v>47520</v>
      </c>
      <c r="I555" s="51">
        <v>1</v>
      </c>
    </row>
    <row r="556" spans="1:9" x14ac:dyDescent="0.25">
      <c r="A556" s="56" t="s">
        <v>22</v>
      </c>
      <c r="B556" s="58" t="s">
        <v>17</v>
      </c>
      <c r="C556" s="56" t="s">
        <v>22</v>
      </c>
      <c r="D556" s="56" t="s">
        <v>5</v>
      </c>
      <c r="E556" s="55">
        <v>34778</v>
      </c>
      <c r="F556" s="54">
        <f t="shared" ca="1" si="23"/>
        <v>21</v>
      </c>
      <c r="G556" s="53" t="s">
        <v>19</v>
      </c>
      <c r="H556" s="52">
        <v>54580</v>
      </c>
      <c r="I556" s="51">
        <v>4</v>
      </c>
    </row>
    <row r="557" spans="1:9" x14ac:dyDescent="0.25">
      <c r="A557" s="56" t="s">
        <v>22</v>
      </c>
      <c r="B557" s="58" t="s">
        <v>56</v>
      </c>
      <c r="C557" s="56" t="s">
        <v>22</v>
      </c>
      <c r="D557" s="56" t="s">
        <v>5</v>
      </c>
      <c r="E557" s="55">
        <v>34826</v>
      </c>
      <c r="F557" s="54">
        <f t="shared" ca="1" si="23"/>
        <v>21</v>
      </c>
      <c r="G557" s="53" t="s">
        <v>4</v>
      </c>
      <c r="H557" s="52">
        <v>45000</v>
      </c>
      <c r="I557" s="51">
        <v>4</v>
      </c>
    </row>
    <row r="558" spans="1:9" x14ac:dyDescent="0.25">
      <c r="A558" s="56" t="s">
        <v>22</v>
      </c>
      <c r="B558" s="58" t="s">
        <v>17</v>
      </c>
      <c r="C558" s="56" t="s">
        <v>22</v>
      </c>
      <c r="D558" s="56" t="s">
        <v>5</v>
      </c>
      <c r="E558" s="55">
        <v>34885</v>
      </c>
      <c r="F558" s="54">
        <f t="shared" ca="1" si="23"/>
        <v>21</v>
      </c>
      <c r="G558" s="53" t="s">
        <v>19</v>
      </c>
      <c r="H558" s="52">
        <v>46360</v>
      </c>
      <c r="I558" s="51">
        <v>5</v>
      </c>
    </row>
    <row r="559" spans="1:9" x14ac:dyDescent="0.25">
      <c r="A559" s="56" t="s">
        <v>22</v>
      </c>
      <c r="B559" s="58" t="s">
        <v>17</v>
      </c>
      <c r="C559" s="56" t="s">
        <v>22</v>
      </c>
      <c r="D559" s="56" t="s">
        <v>5</v>
      </c>
      <c r="E559" s="55">
        <v>34885</v>
      </c>
      <c r="F559" s="54">
        <f t="shared" ca="1" si="23"/>
        <v>21</v>
      </c>
      <c r="G559" s="53" t="s">
        <v>19</v>
      </c>
      <c r="H559" s="52">
        <v>46360</v>
      </c>
      <c r="I559" s="51">
        <v>5</v>
      </c>
    </row>
    <row r="560" spans="1:9" x14ac:dyDescent="0.25">
      <c r="A560" s="56" t="s">
        <v>22</v>
      </c>
      <c r="B560" s="58" t="s">
        <v>10</v>
      </c>
      <c r="C560" s="56" t="s">
        <v>22</v>
      </c>
      <c r="D560" s="56" t="s">
        <v>15</v>
      </c>
      <c r="E560" s="55">
        <v>34907</v>
      </c>
      <c r="F560" s="54">
        <f t="shared" ca="1" si="23"/>
        <v>21</v>
      </c>
      <c r="G560" s="53" t="s">
        <v>4</v>
      </c>
      <c r="H560" s="52">
        <v>22475</v>
      </c>
      <c r="I560" s="51">
        <v>4</v>
      </c>
    </row>
    <row r="561" spans="1:9" x14ac:dyDescent="0.25">
      <c r="A561" s="56" t="s">
        <v>22</v>
      </c>
      <c r="B561" s="58" t="s">
        <v>17</v>
      </c>
      <c r="C561" s="56" t="s">
        <v>22</v>
      </c>
      <c r="D561" s="56" t="s">
        <v>12</v>
      </c>
      <c r="E561" s="55">
        <v>34987</v>
      </c>
      <c r="F561" s="54">
        <f t="shared" ca="1" si="23"/>
        <v>21</v>
      </c>
      <c r="G561" s="53"/>
      <c r="H561" s="52">
        <v>57990</v>
      </c>
      <c r="I561" s="51">
        <v>5</v>
      </c>
    </row>
    <row r="562" spans="1:9" x14ac:dyDescent="0.25">
      <c r="A562" s="56" t="s">
        <v>22</v>
      </c>
      <c r="B562" s="58" t="s">
        <v>13</v>
      </c>
      <c r="C562" s="56" t="s">
        <v>22</v>
      </c>
      <c r="D562" s="56" t="s">
        <v>0</v>
      </c>
      <c r="E562" s="55">
        <v>35030</v>
      </c>
      <c r="F562" s="54">
        <f t="shared" ca="1" si="23"/>
        <v>20</v>
      </c>
      <c r="G562" s="53"/>
      <c r="H562" s="52">
        <v>37016</v>
      </c>
      <c r="I562" s="51">
        <v>4</v>
      </c>
    </row>
    <row r="563" spans="1:9" x14ac:dyDescent="0.25">
      <c r="A563" s="56" t="s">
        <v>22</v>
      </c>
      <c r="B563" s="58" t="s">
        <v>2</v>
      </c>
      <c r="C563" s="56" t="s">
        <v>22</v>
      </c>
      <c r="D563" s="56" t="s">
        <v>12</v>
      </c>
      <c r="E563" s="55">
        <v>35065</v>
      </c>
      <c r="F563" s="54">
        <f t="shared" ca="1" si="23"/>
        <v>20</v>
      </c>
      <c r="G563" s="53"/>
      <c r="H563" s="52">
        <v>71300</v>
      </c>
      <c r="I563" s="51">
        <v>5</v>
      </c>
    </row>
    <row r="564" spans="1:9" x14ac:dyDescent="0.25">
      <c r="A564" s="56" t="s">
        <v>22</v>
      </c>
      <c r="B564" s="58" t="s">
        <v>17</v>
      </c>
      <c r="C564" s="56" t="s">
        <v>22</v>
      </c>
      <c r="D564" s="56" t="s">
        <v>0</v>
      </c>
      <c r="E564" s="55">
        <v>35070</v>
      </c>
      <c r="F564" s="54">
        <f t="shared" ca="1" si="23"/>
        <v>20</v>
      </c>
      <c r="G564" s="53"/>
      <c r="H564" s="52">
        <v>36052</v>
      </c>
      <c r="I564" s="51">
        <v>5</v>
      </c>
    </row>
    <row r="565" spans="1:9" x14ac:dyDescent="0.25">
      <c r="A565" s="56" t="s">
        <v>22</v>
      </c>
      <c r="B565" s="58" t="s">
        <v>17</v>
      </c>
      <c r="C565" s="56" t="s">
        <v>22</v>
      </c>
      <c r="D565" s="56" t="s">
        <v>5</v>
      </c>
      <c r="E565" s="55">
        <v>35083</v>
      </c>
      <c r="F565" s="54">
        <f t="shared" ca="1" si="23"/>
        <v>20</v>
      </c>
      <c r="G565" s="53" t="s">
        <v>4</v>
      </c>
      <c r="H565" s="52">
        <v>65910</v>
      </c>
      <c r="I565" s="51">
        <v>5</v>
      </c>
    </row>
    <row r="566" spans="1:9" x14ac:dyDescent="0.25">
      <c r="A566" s="56" t="s">
        <v>22</v>
      </c>
      <c r="B566" s="58" t="s">
        <v>17</v>
      </c>
      <c r="C566" s="56" t="s">
        <v>22</v>
      </c>
      <c r="D566" s="56" t="s">
        <v>5</v>
      </c>
      <c r="E566" s="55">
        <v>35226</v>
      </c>
      <c r="F566" s="54">
        <f t="shared" ca="1" si="23"/>
        <v>20</v>
      </c>
      <c r="G566" s="53" t="s">
        <v>32</v>
      </c>
      <c r="H566" s="52">
        <v>62400</v>
      </c>
      <c r="I566" s="51">
        <v>4</v>
      </c>
    </row>
    <row r="567" spans="1:9" x14ac:dyDescent="0.25">
      <c r="A567" s="56" t="s">
        <v>22</v>
      </c>
      <c r="B567" s="58" t="s">
        <v>17</v>
      </c>
      <c r="C567" s="56" t="s">
        <v>22</v>
      </c>
      <c r="D567" s="56" t="s">
        <v>5</v>
      </c>
      <c r="E567" s="55">
        <v>35363</v>
      </c>
      <c r="F567" s="54">
        <f t="shared" ca="1" si="23"/>
        <v>20</v>
      </c>
      <c r="G567" s="53" t="s">
        <v>8</v>
      </c>
      <c r="H567" s="52">
        <v>48330</v>
      </c>
      <c r="I567" s="51">
        <v>1</v>
      </c>
    </row>
    <row r="568" spans="1:9" x14ac:dyDescent="0.25">
      <c r="A568" s="56" t="s">
        <v>22</v>
      </c>
      <c r="B568" s="58" t="s">
        <v>13</v>
      </c>
      <c r="C568" s="56" t="s">
        <v>22</v>
      </c>
      <c r="D568" s="56" t="s">
        <v>12</v>
      </c>
      <c r="E568" s="55">
        <v>35477</v>
      </c>
      <c r="F568" s="54">
        <f t="shared" ca="1" si="23"/>
        <v>19</v>
      </c>
      <c r="G568" s="53"/>
      <c r="H568" s="52">
        <v>89640</v>
      </c>
      <c r="I568" s="51">
        <v>4</v>
      </c>
    </row>
    <row r="569" spans="1:9" x14ac:dyDescent="0.25">
      <c r="A569" s="56" t="s">
        <v>22</v>
      </c>
      <c r="B569" s="58" t="s">
        <v>17</v>
      </c>
      <c r="C569" s="56" t="s">
        <v>22</v>
      </c>
      <c r="D569" s="56" t="s">
        <v>5</v>
      </c>
      <c r="E569" s="55">
        <v>35828</v>
      </c>
      <c r="F569" s="54">
        <f t="shared" ca="1" si="23"/>
        <v>18</v>
      </c>
      <c r="G569" s="53" t="s">
        <v>32</v>
      </c>
      <c r="H569" s="52">
        <v>29130</v>
      </c>
      <c r="I569" s="51">
        <v>1</v>
      </c>
    </row>
    <row r="570" spans="1:9" x14ac:dyDescent="0.25">
      <c r="A570" s="56" t="s">
        <v>22</v>
      </c>
      <c r="B570" s="58" t="s">
        <v>17</v>
      </c>
      <c r="C570" s="56" t="s">
        <v>22</v>
      </c>
      <c r="D570" s="56" t="s">
        <v>15</v>
      </c>
      <c r="E570" s="55">
        <v>35939</v>
      </c>
      <c r="F570" s="54">
        <f t="shared" ca="1" si="23"/>
        <v>18</v>
      </c>
      <c r="G570" s="53" t="s">
        <v>8</v>
      </c>
      <c r="H570" s="52">
        <v>12545</v>
      </c>
      <c r="I570" s="51">
        <v>4</v>
      </c>
    </row>
    <row r="571" spans="1:9" x14ac:dyDescent="0.25">
      <c r="A571" s="56" t="s">
        <v>22</v>
      </c>
      <c r="B571" s="58" t="s">
        <v>17</v>
      </c>
      <c r="C571" s="56" t="s">
        <v>22</v>
      </c>
      <c r="D571" s="56" t="s">
        <v>12</v>
      </c>
      <c r="E571" s="55">
        <v>36094</v>
      </c>
      <c r="F571" s="54">
        <f t="shared" ref="F571:F597" ca="1" si="24">DATEDIF(E571,TODAY(),"Y")</f>
        <v>18</v>
      </c>
      <c r="G571" s="53"/>
      <c r="H571" s="52">
        <v>60070</v>
      </c>
      <c r="I571" s="51">
        <v>3</v>
      </c>
    </row>
    <row r="572" spans="1:9" x14ac:dyDescent="0.25">
      <c r="A572" s="56" t="s">
        <v>22</v>
      </c>
      <c r="B572" s="58" t="s">
        <v>13</v>
      </c>
      <c r="C572" s="56" t="s">
        <v>22</v>
      </c>
      <c r="D572" s="56" t="s">
        <v>12</v>
      </c>
      <c r="E572" s="55">
        <v>36216</v>
      </c>
      <c r="F572" s="54">
        <f t="shared" ca="1" si="24"/>
        <v>17</v>
      </c>
      <c r="G572" s="53"/>
      <c r="H572" s="52">
        <v>61580</v>
      </c>
      <c r="I572" s="51">
        <v>3</v>
      </c>
    </row>
    <row r="573" spans="1:9" x14ac:dyDescent="0.25">
      <c r="A573" s="56" t="s">
        <v>22</v>
      </c>
      <c r="B573" s="58" t="s">
        <v>13</v>
      </c>
      <c r="C573" s="56" t="s">
        <v>22</v>
      </c>
      <c r="D573" s="56" t="s">
        <v>5</v>
      </c>
      <c r="E573" s="55">
        <v>36258</v>
      </c>
      <c r="F573" s="54">
        <f t="shared" ca="1" si="24"/>
        <v>17</v>
      </c>
      <c r="G573" s="53" t="s">
        <v>34</v>
      </c>
      <c r="H573" s="52">
        <v>45100</v>
      </c>
      <c r="I573" s="51">
        <v>2</v>
      </c>
    </row>
    <row r="574" spans="1:9" x14ac:dyDescent="0.25">
      <c r="A574" s="56" t="s">
        <v>22</v>
      </c>
      <c r="B574" s="58" t="s">
        <v>13</v>
      </c>
      <c r="C574" s="56" t="s">
        <v>22</v>
      </c>
      <c r="D574" s="56" t="s">
        <v>5</v>
      </c>
      <c r="E574" s="55">
        <v>36391</v>
      </c>
      <c r="F574" s="54">
        <f t="shared" ca="1" si="24"/>
        <v>17</v>
      </c>
      <c r="G574" s="53" t="s">
        <v>34</v>
      </c>
      <c r="H574" s="52">
        <v>23560</v>
      </c>
      <c r="I574" s="51">
        <v>3</v>
      </c>
    </row>
    <row r="575" spans="1:9" x14ac:dyDescent="0.25">
      <c r="A575" s="56" t="s">
        <v>22</v>
      </c>
      <c r="B575" s="58" t="s">
        <v>10</v>
      </c>
      <c r="C575" s="56" t="s">
        <v>22</v>
      </c>
      <c r="D575" s="56" t="s">
        <v>5</v>
      </c>
      <c r="E575" s="55">
        <v>36538</v>
      </c>
      <c r="F575" s="54">
        <f t="shared" ca="1" si="24"/>
        <v>16</v>
      </c>
      <c r="G575" s="53" t="s">
        <v>34</v>
      </c>
      <c r="H575" s="52">
        <v>76910</v>
      </c>
      <c r="I575" s="51">
        <v>2</v>
      </c>
    </row>
    <row r="576" spans="1:9" x14ac:dyDescent="0.25">
      <c r="A576" s="56" t="s">
        <v>22</v>
      </c>
      <c r="B576" s="58" t="s">
        <v>13</v>
      </c>
      <c r="C576" s="56" t="s">
        <v>22</v>
      </c>
      <c r="D576" s="56" t="s">
        <v>15</v>
      </c>
      <c r="E576" s="55">
        <v>36863</v>
      </c>
      <c r="F576" s="54">
        <f t="shared" ca="1" si="24"/>
        <v>15</v>
      </c>
      <c r="G576" s="53" t="s">
        <v>4</v>
      </c>
      <c r="H576" s="52">
        <v>32900</v>
      </c>
      <c r="I576" s="51">
        <v>2</v>
      </c>
    </row>
    <row r="577" spans="1:9" x14ac:dyDescent="0.25">
      <c r="A577" s="56" t="s">
        <v>22</v>
      </c>
      <c r="B577" s="58" t="s">
        <v>2</v>
      </c>
      <c r="C577" s="56" t="s">
        <v>22</v>
      </c>
      <c r="D577" s="56" t="s">
        <v>5</v>
      </c>
      <c r="E577" s="55">
        <v>37113</v>
      </c>
      <c r="F577" s="54">
        <f t="shared" ca="1" si="24"/>
        <v>15</v>
      </c>
      <c r="G577" s="53" t="s">
        <v>8</v>
      </c>
      <c r="H577" s="52">
        <v>61330</v>
      </c>
      <c r="I577" s="51">
        <v>2</v>
      </c>
    </row>
    <row r="578" spans="1:9" x14ac:dyDescent="0.25">
      <c r="A578" s="56" t="s">
        <v>22</v>
      </c>
      <c r="B578" s="58" t="s">
        <v>2</v>
      </c>
      <c r="C578" s="56" t="s">
        <v>22</v>
      </c>
      <c r="D578" s="56" t="s">
        <v>15</v>
      </c>
      <c r="E578" s="55">
        <v>37413</v>
      </c>
      <c r="F578" s="54">
        <f t="shared" ca="1" si="24"/>
        <v>14</v>
      </c>
      <c r="G578" s="53" t="s">
        <v>4</v>
      </c>
      <c r="H578" s="52">
        <v>10630</v>
      </c>
      <c r="I578" s="51">
        <v>3</v>
      </c>
    </row>
    <row r="579" spans="1:9" x14ac:dyDescent="0.25">
      <c r="A579" s="56" t="s">
        <v>22</v>
      </c>
      <c r="B579" s="58" t="s">
        <v>2</v>
      </c>
      <c r="C579" s="56" t="s">
        <v>22</v>
      </c>
      <c r="D579" s="56" t="s">
        <v>5</v>
      </c>
      <c r="E579" s="55">
        <v>37480</v>
      </c>
      <c r="F579" s="54">
        <f t="shared" ca="1" si="24"/>
        <v>14</v>
      </c>
      <c r="G579" s="53" t="s">
        <v>34</v>
      </c>
      <c r="H579" s="52">
        <v>62688</v>
      </c>
      <c r="I579" s="51">
        <v>3</v>
      </c>
    </row>
    <row r="580" spans="1:9" x14ac:dyDescent="0.25">
      <c r="A580" s="56" t="s">
        <v>22</v>
      </c>
      <c r="B580" s="58" t="s">
        <v>17</v>
      </c>
      <c r="C580" s="56" t="s">
        <v>22</v>
      </c>
      <c r="D580" s="56" t="s">
        <v>5</v>
      </c>
      <c r="E580" s="55">
        <v>37737</v>
      </c>
      <c r="F580" s="54">
        <f t="shared" ca="1" si="24"/>
        <v>13</v>
      </c>
      <c r="G580" s="53" t="s">
        <v>4</v>
      </c>
      <c r="H580" s="52">
        <v>65880</v>
      </c>
      <c r="I580" s="51">
        <v>5</v>
      </c>
    </row>
    <row r="581" spans="1:9" x14ac:dyDescent="0.25">
      <c r="A581" s="56" t="s">
        <v>22</v>
      </c>
      <c r="B581" s="58" t="s">
        <v>17</v>
      </c>
      <c r="C581" s="56" t="s">
        <v>22</v>
      </c>
      <c r="D581" s="56" t="s">
        <v>5</v>
      </c>
      <c r="E581" s="55">
        <v>37737</v>
      </c>
      <c r="F581" s="54">
        <f t="shared" ca="1" si="24"/>
        <v>13</v>
      </c>
      <c r="G581" s="53" t="s">
        <v>4</v>
      </c>
      <c r="H581" s="52">
        <v>65880</v>
      </c>
      <c r="I581" s="51">
        <v>5</v>
      </c>
    </row>
    <row r="582" spans="1:9" x14ac:dyDescent="0.25">
      <c r="A582" s="56" t="s">
        <v>22</v>
      </c>
      <c r="B582" s="58" t="s">
        <v>2</v>
      </c>
      <c r="C582" s="56" t="s">
        <v>22</v>
      </c>
      <c r="D582" s="56" t="s">
        <v>5</v>
      </c>
      <c r="E582" s="55">
        <v>37907</v>
      </c>
      <c r="F582" s="54">
        <f t="shared" ca="1" si="24"/>
        <v>13</v>
      </c>
      <c r="G582" s="53" t="s">
        <v>32</v>
      </c>
      <c r="H582" s="52">
        <v>73830</v>
      </c>
      <c r="I582" s="51">
        <v>2</v>
      </c>
    </row>
    <row r="583" spans="1:9" x14ac:dyDescent="0.25">
      <c r="A583" s="56" t="s">
        <v>22</v>
      </c>
      <c r="B583" s="58" t="s">
        <v>13</v>
      </c>
      <c r="C583" s="56" t="s">
        <v>22</v>
      </c>
      <c r="D583" s="56" t="s">
        <v>5</v>
      </c>
      <c r="E583" s="55">
        <v>38052</v>
      </c>
      <c r="F583" s="54">
        <f t="shared" ca="1" si="24"/>
        <v>12</v>
      </c>
      <c r="G583" s="53" t="s">
        <v>34</v>
      </c>
      <c r="H583" s="52">
        <v>42020</v>
      </c>
      <c r="I583" s="51">
        <v>5</v>
      </c>
    </row>
    <row r="584" spans="1:9" x14ac:dyDescent="0.25">
      <c r="A584" s="56" t="s">
        <v>22</v>
      </c>
      <c r="B584" s="58" t="s">
        <v>13</v>
      </c>
      <c r="C584" s="56" t="s">
        <v>22</v>
      </c>
      <c r="D584" s="56" t="s">
        <v>5</v>
      </c>
      <c r="E584" s="55">
        <v>38136</v>
      </c>
      <c r="F584" s="54">
        <f t="shared" ca="1" si="24"/>
        <v>12</v>
      </c>
      <c r="G584" s="53" t="s">
        <v>32</v>
      </c>
      <c r="H584" s="52">
        <v>44650</v>
      </c>
      <c r="I584" s="51">
        <v>1</v>
      </c>
    </row>
    <row r="585" spans="1:9" x14ac:dyDescent="0.25">
      <c r="A585" s="56" t="s">
        <v>22</v>
      </c>
      <c r="B585" s="58" t="s">
        <v>10</v>
      </c>
      <c r="C585" s="56" t="s">
        <v>22</v>
      </c>
      <c r="D585" s="56" t="s">
        <v>15</v>
      </c>
      <c r="E585" s="55">
        <v>38418</v>
      </c>
      <c r="F585" s="54">
        <f t="shared" ca="1" si="24"/>
        <v>11</v>
      </c>
      <c r="G585" s="53" t="s">
        <v>32</v>
      </c>
      <c r="H585" s="52">
        <v>45565</v>
      </c>
      <c r="I585" s="51">
        <v>1</v>
      </c>
    </row>
    <row r="586" spans="1:9" x14ac:dyDescent="0.25">
      <c r="A586" s="56" t="s">
        <v>22</v>
      </c>
      <c r="B586" s="58" t="s">
        <v>13</v>
      </c>
      <c r="C586" s="56" t="s">
        <v>22</v>
      </c>
      <c r="D586" s="56" t="s">
        <v>5</v>
      </c>
      <c r="E586" s="55">
        <v>38554</v>
      </c>
      <c r="F586" s="54">
        <f t="shared" ca="1" si="24"/>
        <v>11</v>
      </c>
      <c r="G586" s="53" t="s">
        <v>32</v>
      </c>
      <c r="H586" s="52">
        <v>64320</v>
      </c>
      <c r="I586" s="51">
        <v>5</v>
      </c>
    </row>
    <row r="587" spans="1:9" x14ac:dyDescent="0.25">
      <c r="A587" s="56" t="s">
        <v>22</v>
      </c>
      <c r="B587" s="58" t="s">
        <v>39</v>
      </c>
      <c r="C587" s="56" t="s">
        <v>22</v>
      </c>
      <c r="D587" s="56" t="s">
        <v>5</v>
      </c>
      <c r="E587" s="55">
        <v>38589</v>
      </c>
      <c r="F587" s="54">
        <f t="shared" ca="1" si="24"/>
        <v>11</v>
      </c>
      <c r="G587" s="53" t="s">
        <v>32</v>
      </c>
      <c r="H587" s="52">
        <v>24790</v>
      </c>
      <c r="I587" s="51">
        <v>3</v>
      </c>
    </row>
    <row r="588" spans="1:9" x14ac:dyDescent="0.25">
      <c r="A588" s="56" t="s">
        <v>22</v>
      </c>
      <c r="B588" s="58" t="s">
        <v>17</v>
      </c>
      <c r="C588" s="56" t="s">
        <v>22</v>
      </c>
      <c r="D588" s="56" t="s">
        <v>5</v>
      </c>
      <c r="E588" s="55">
        <v>38827</v>
      </c>
      <c r="F588" s="54">
        <f t="shared" ca="1" si="24"/>
        <v>10</v>
      </c>
      <c r="G588" s="53" t="s">
        <v>32</v>
      </c>
      <c r="H588" s="52">
        <v>54190</v>
      </c>
      <c r="I588" s="51">
        <v>4</v>
      </c>
    </row>
    <row r="589" spans="1:9" x14ac:dyDescent="0.25">
      <c r="A589" s="56" t="s">
        <v>22</v>
      </c>
      <c r="B589" s="58" t="s">
        <v>17</v>
      </c>
      <c r="C589" s="56" t="s">
        <v>22</v>
      </c>
      <c r="D589" s="56" t="s">
        <v>15</v>
      </c>
      <c r="E589" s="55">
        <v>38856</v>
      </c>
      <c r="F589" s="54">
        <f t="shared" ca="1" si="24"/>
        <v>10</v>
      </c>
      <c r="G589" s="53" t="s">
        <v>8</v>
      </c>
      <c r="H589" s="52">
        <v>25245</v>
      </c>
      <c r="I589" s="51">
        <v>5</v>
      </c>
    </row>
    <row r="590" spans="1:9" x14ac:dyDescent="0.25">
      <c r="A590" s="56" t="s">
        <v>22</v>
      </c>
      <c r="B590" s="58" t="s">
        <v>56</v>
      </c>
      <c r="C590" s="56" t="s">
        <v>22</v>
      </c>
      <c r="D590" s="56" t="s">
        <v>15</v>
      </c>
      <c r="E590" s="59">
        <v>38944</v>
      </c>
      <c r="F590" s="54">
        <f t="shared" ca="1" si="24"/>
        <v>10</v>
      </c>
      <c r="G590" s="53" t="s">
        <v>4</v>
      </c>
      <c r="H590" s="52">
        <v>48700</v>
      </c>
      <c r="I590" s="51">
        <v>3</v>
      </c>
    </row>
    <row r="591" spans="1:9" x14ac:dyDescent="0.25">
      <c r="A591" s="56" t="s">
        <v>22</v>
      </c>
      <c r="B591" s="58" t="s">
        <v>2</v>
      </c>
      <c r="C591" s="56" t="s">
        <v>22</v>
      </c>
      <c r="D591" s="56" t="s">
        <v>15</v>
      </c>
      <c r="E591" s="55">
        <v>38983</v>
      </c>
      <c r="F591" s="54">
        <f t="shared" ca="1" si="24"/>
        <v>10</v>
      </c>
      <c r="G591" s="53" t="s">
        <v>32</v>
      </c>
      <c r="H591" s="52">
        <v>11810</v>
      </c>
      <c r="I591" s="51">
        <v>1</v>
      </c>
    </row>
    <row r="592" spans="1:9" x14ac:dyDescent="0.25">
      <c r="A592" s="56" t="s">
        <v>22</v>
      </c>
      <c r="B592" s="58" t="s">
        <v>17</v>
      </c>
      <c r="C592" s="56" t="s">
        <v>22</v>
      </c>
      <c r="D592" s="56" t="s">
        <v>12</v>
      </c>
      <c r="E592" s="59">
        <v>39094</v>
      </c>
      <c r="F592" s="54">
        <f t="shared" ca="1" si="24"/>
        <v>9</v>
      </c>
      <c r="G592" s="53"/>
      <c r="H592" s="52">
        <v>39550</v>
      </c>
      <c r="I592" s="51">
        <v>5</v>
      </c>
    </row>
    <row r="593" spans="1:9" x14ac:dyDescent="0.25">
      <c r="A593" s="56" t="s">
        <v>22</v>
      </c>
      <c r="B593" s="58" t="s">
        <v>39</v>
      </c>
      <c r="C593" s="56" t="s">
        <v>22</v>
      </c>
      <c r="D593" s="56" t="s">
        <v>12</v>
      </c>
      <c r="E593" s="59">
        <v>39100</v>
      </c>
      <c r="F593" s="54">
        <f t="shared" ca="1" si="24"/>
        <v>9</v>
      </c>
      <c r="G593" s="53"/>
      <c r="H593" s="52">
        <v>57680</v>
      </c>
      <c r="I593" s="51">
        <v>4</v>
      </c>
    </row>
    <row r="594" spans="1:9" x14ac:dyDescent="0.25">
      <c r="A594" s="56" t="s">
        <v>22</v>
      </c>
      <c r="B594" s="58" t="s">
        <v>39</v>
      </c>
      <c r="C594" s="56" t="s">
        <v>22</v>
      </c>
      <c r="D594" s="56" t="s">
        <v>15</v>
      </c>
      <c r="E594" s="59">
        <v>39111</v>
      </c>
      <c r="F594" s="54">
        <f t="shared" ca="1" si="24"/>
        <v>9</v>
      </c>
      <c r="G594" s="53" t="s">
        <v>34</v>
      </c>
      <c r="H594" s="52">
        <v>49355</v>
      </c>
      <c r="I594" s="51">
        <v>5</v>
      </c>
    </row>
    <row r="595" spans="1:9" x14ac:dyDescent="0.25">
      <c r="A595" s="56" t="s">
        <v>22</v>
      </c>
      <c r="B595" s="58" t="s">
        <v>13</v>
      </c>
      <c r="C595" s="56" t="s">
        <v>22</v>
      </c>
      <c r="D595" s="56" t="s">
        <v>5</v>
      </c>
      <c r="E595" s="55">
        <v>39128</v>
      </c>
      <c r="F595" s="54">
        <f t="shared" ca="1" si="24"/>
        <v>9</v>
      </c>
      <c r="G595" s="53" t="s">
        <v>19</v>
      </c>
      <c r="H595" s="52">
        <v>59150</v>
      </c>
      <c r="I595" s="51">
        <v>4</v>
      </c>
    </row>
    <row r="596" spans="1:9" x14ac:dyDescent="0.25">
      <c r="A596" s="56" t="s">
        <v>22</v>
      </c>
      <c r="B596" s="58" t="s">
        <v>13</v>
      </c>
      <c r="C596" s="56" t="s">
        <v>22</v>
      </c>
      <c r="D596" s="56" t="s">
        <v>5</v>
      </c>
      <c r="E596" s="55">
        <v>39167</v>
      </c>
      <c r="F596" s="54">
        <f t="shared" ca="1" si="24"/>
        <v>9</v>
      </c>
      <c r="G596" s="53" t="s">
        <v>19</v>
      </c>
      <c r="H596" s="52">
        <v>63206</v>
      </c>
      <c r="I596" s="51">
        <v>1</v>
      </c>
    </row>
    <row r="597" spans="1:9" x14ac:dyDescent="0.25">
      <c r="A597" s="56" t="s">
        <v>22</v>
      </c>
      <c r="B597" s="58" t="s">
        <v>17</v>
      </c>
      <c r="C597" s="56" t="s">
        <v>22</v>
      </c>
      <c r="D597" s="56" t="s">
        <v>5</v>
      </c>
      <c r="E597" s="55">
        <v>39314</v>
      </c>
      <c r="F597" s="54">
        <f t="shared" ca="1" si="24"/>
        <v>9</v>
      </c>
      <c r="G597" s="53" t="s">
        <v>8</v>
      </c>
      <c r="H597" s="52">
        <v>86500</v>
      </c>
      <c r="I597" s="51">
        <v>1</v>
      </c>
    </row>
    <row r="598" spans="1:9" x14ac:dyDescent="0.25">
      <c r="A598" s="57" t="s">
        <v>816</v>
      </c>
      <c r="B598" s="58"/>
      <c r="C598" s="57"/>
      <c r="D598" s="56"/>
      <c r="E598" s="55"/>
      <c r="F598" s="54"/>
      <c r="G598" s="53"/>
      <c r="H598" s="52"/>
      <c r="I598" s="51"/>
    </row>
    <row r="599" spans="1:9" x14ac:dyDescent="0.25">
      <c r="A599" s="56" t="s">
        <v>52</v>
      </c>
      <c r="B599" s="58" t="s">
        <v>13</v>
      </c>
      <c r="C599" s="56" t="s">
        <v>52</v>
      </c>
      <c r="D599" s="56" t="s">
        <v>5</v>
      </c>
      <c r="E599" s="55">
        <v>31912</v>
      </c>
      <c r="F599" s="54">
        <f t="shared" ref="F599:F630" ca="1" si="25">DATEDIF(E599,TODAY(),"Y")</f>
        <v>29</v>
      </c>
      <c r="G599" s="53" t="s">
        <v>32</v>
      </c>
      <c r="H599" s="52">
        <v>53900</v>
      </c>
      <c r="I599" s="51">
        <v>5</v>
      </c>
    </row>
    <row r="600" spans="1:9" x14ac:dyDescent="0.25">
      <c r="A600" s="56" t="s">
        <v>52</v>
      </c>
      <c r="B600" s="58" t="s">
        <v>39</v>
      </c>
      <c r="C600" s="56" t="s">
        <v>52</v>
      </c>
      <c r="D600" s="56" t="s">
        <v>0</v>
      </c>
      <c r="E600" s="55">
        <v>31946</v>
      </c>
      <c r="F600" s="54">
        <f t="shared" ca="1" si="25"/>
        <v>29</v>
      </c>
      <c r="G600" s="53"/>
      <c r="H600" s="52">
        <v>30468</v>
      </c>
      <c r="I600" s="51">
        <v>2</v>
      </c>
    </row>
    <row r="601" spans="1:9" x14ac:dyDescent="0.25">
      <c r="A601" s="56" t="s">
        <v>52</v>
      </c>
      <c r="B601" s="58" t="s">
        <v>13</v>
      </c>
      <c r="C601" s="56" t="s">
        <v>52</v>
      </c>
      <c r="D601" s="56" t="s">
        <v>5</v>
      </c>
      <c r="E601" s="55">
        <v>31959</v>
      </c>
      <c r="F601" s="54">
        <f t="shared" ca="1" si="25"/>
        <v>29</v>
      </c>
      <c r="G601" s="53" t="s">
        <v>4</v>
      </c>
      <c r="H601" s="52">
        <v>24840</v>
      </c>
      <c r="I601" s="51">
        <v>1</v>
      </c>
    </row>
    <row r="602" spans="1:9" x14ac:dyDescent="0.25">
      <c r="A602" s="56" t="s">
        <v>52</v>
      </c>
      <c r="B602" s="58" t="s">
        <v>56</v>
      </c>
      <c r="C602" s="56" t="s">
        <v>52</v>
      </c>
      <c r="D602" s="56" t="s">
        <v>12</v>
      </c>
      <c r="E602" s="55">
        <v>31972</v>
      </c>
      <c r="F602" s="54">
        <f t="shared" ca="1" si="25"/>
        <v>29</v>
      </c>
      <c r="G602" s="53"/>
      <c r="H602" s="52">
        <v>89450</v>
      </c>
      <c r="I602" s="51">
        <v>2</v>
      </c>
    </row>
    <row r="603" spans="1:9" x14ac:dyDescent="0.25">
      <c r="A603" s="56" t="s">
        <v>52</v>
      </c>
      <c r="B603" s="58" t="s">
        <v>17</v>
      </c>
      <c r="C603" s="56" t="s">
        <v>52</v>
      </c>
      <c r="D603" s="56" t="s">
        <v>12</v>
      </c>
      <c r="E603" s="55">
        <v>32111</v>
      </c>
      <c r="F603" s="54">
        <f t="shared" ca="1" si="25"/>
        <v>28</v>
      </c>
      <c r="G603" s="53"/>
      <c r="H603" s="52">
        <v>46650</v>
      </c>
      <c r="I603" s="51">
        <v>2</v>
      </c>
    </row>
    <row r="604" spans="1:9" x14ac:dyDescent="0.25">
      <c r="A604" s="56" t="s">
        <v>52</v>
      </c>
      <c r="B604" s="58" t="s">
        <v>56</v>
      </c>
      <c r="C604" s="56" t="s">
        <v>52</v>
      </c>
      <c r="D604" s="56" t="s">
        <v>5</v>
      </c>
      <c r="E604" s="55">
        <v>32144</v>
      </c>
      <c r="F604" s="54">
        <f t="shared" ca="1" si="25"/>
        <v>28</v>
      </c>
      <c r="G604" s="53" t="s">
        <v>32</v>
      </c>
      <c r="H604" s="52">
        <v>67920</v>
      </c>
      <c r="I604" s="51">
        <v>4</v>
      </c>
    </row>
    <row r="605" spans="1:9" x14ac:dyDescent="0.25">
      <c r="A605" s="56" t="s">
        <v>52</v>
      </c>
      <c r="B605" s="58" t="s">
        <v>2</v>
      </c>
      <c r="C605" s="56" t="s">
        <v>52</v>
      </c>
      <c r="D605" s="56" t="s">
        <v>5</v>
      </c>
      <c r="E605" s="55">
        <v>32238</v>
      </c>
      <c r="F605" s="54">
        <f t="shared" ca="1" si="25"/>
        <v>28</v>
      </c>
      <c r="G605" s="53" t="s">
        <v>4</v>
      </c>
      <c r="H605" s="52">
        <v>63050</v>
      </c>
      <c r="I605" s="51">
        <v>3</v>
      </c>
    </row>
    <row r="606" spans="1:9" x14ac:dyDescent="0.25">
      <c r="A606" s="56" t="s">
        <v>52</v>
      </c>
      <c r="B606" s="58" t="s">
        <v>13</v>
      </c>
      <c r="C606" s="56" t="s">
        <v>52</v>
      </c>
      <c r="D606" s="56" t="s">
        <v>5</v>
      </c>
      <c r="E606" s="55">
        <v>32294</v>
      </c>
      <c r="F606" s="54">
        <f t="shared" ca="1" si="25"/>
        <v>28</v>
      </c>
      <c r="G606" s="53" t="s">
        <v>32</v>
      </c>
      <c r="H606" s="52">
        <v>54830</v>
      </c>
      <c r="I606" s="51">
        <v>1</v>
      </c>
    </row>
    <row r="607" spans="1:9" x14ac:dyDescent="0.25">
      <c r="A607" s="56" t="s">
        <v>52</v>
      </c>
      <c r="B607" s="58" t="s">
        <v>13</v>
      </c>
      <c r="C607" s="56" t="s">
        <v>52</v>
      </c>
      <c r="D607" s="56" t="s">
        <v>5</v>
      </c>
      <c r="E607" s="55">
        <v>32375</v>
      </c>
      <c r="F607" s="54">
        <f t="shared" ca="1" si="25"/>
        <v>28</v>
      </c>
      <c r="G607" s="53" t="s">
        <v>32</v>
      </c>
      <c r="H607" s="52">
        <v>65571</v>
      </c>
      <c r="I607" s="51">
        <v>3</v>
      </c>
    </row>
    <row r="608" spans="1:9" x14ac:dyDescent="0.25">
      <c r="A608" s="56" t="s">
        <v>52</v>
      </c>
      <c r="B608" s="58" t="s">
        <v>13</v>
      </c>
      <c r="C608" s="56" t="s">
        <v>52</v>
      </c>
      <c r="D608" s="56" t="s">
        <v>5</v>
      </c>
      <c r="E608" s="55">
        <v>32401</v>
      </c>
      <c r="F608" s="54">
        <f t="shared" ca="1" si="25"/>
        <v>28</v>
      </c>
      <c r="G608" s="53" t="s">
        <v>32</v>
      </c>
      <c r="H608" s="52">
        <v>68470</v>
      </c>
      <c r="I608" s="51">
        <v>4</v>
      </c>
    </row>
    <row r="609" spans="1:9" x14ac:dyDescent="0.25">
      <c r="A609" s="56" t="s">
        <v>52</v>
      </c>
      <c r="B609" s="58" t="s">
        <v>17</v>
      </c>
      <c r="C609" s="56" t="s">
        <v>52</v>
      </c>
      <c r="D609" s="56" t="s">
        <v>5</v>
      </c>
      <c r="E609" s="55">
        <v>32542</v>
      </c>
      <c r="F609" s="54">
        <f t="shared" ca="1" si="25"/>
        <v>27</v>
      </c>
      <c r="G609" s="53" t="s">
        <v>8</v>
      </c>
      <c r="H609" s="52">
        <v>86240</v>
      </c>
      <c r="I609" s="51">
        <v>1</v>
      </c>
    </row>
    <row r="610" spans="1:9" x14ac:dyDescent="0.25">
      <c r="A610" s="56" t="s">
        <v>52</v>
      </c>
      <c r="B610" s="58" t="s">
        <v>2</v>
      </c>
      <c r="C610" s="56" t="s">
        <v>52</v>
      </c>
      <c r="D610" s="56" t="s">
        <v>15</v>
      </c>
      <c r="E610" s="55">
        <v>32580</v>
      </c>
      <c r="F610" s="54">
        <f t="shared" ca="1" si="25"/>
        <v>27</v>
      </c>
      <c r="G610" s="53" t="s">
        <v>4</v>
      </c>
      <c r="H610" s="52">
        <v>25885</v>
      </c>
      <c r="I610" s="51">
        <v>5</v>
      </c>
    </row>
    <row r="611" spans="1:9" x14ac:dyDescent="0.25">
      <c r="A611" s="56" t="s">
        <v>52</v>
      </c>
      <c r="B611" s="58" t="s">
        <v>13</v>
      </c>
      <c r="C611" s="56" t="s">
        <v>52</v>
      </c>
      <c r="D611" s="56" t="s">
        <v>12</v>
      </c>
      <c r="E611" s="55">
        <v>32604</v>
      </c>
      <c r="F611" s="54">
        <f t="shared" ca="1" si="25"/>
        <v>27</v>
      </c>
      <c r="G611" s="53"/>
      <c r="H611" s="52">
        <v>55690</v>
      </c>
      <c r="I611" s="51">
        <v>2</v>
      </c>
    </row>
    <row r="612" spans="1:9" x14ac:dyDescent="0.25">
      <c r="A612" s="56" t="s">
        <v>52</v>
      </c>
      <c r="B612" s="58" t="s">
        <v>39</v>
      </c>
      <c r="C612" s="56" t="s">
        <v>52</v>
      </c>
      <c r="D612" s="56" t="s">
        <v>5</v>
      </c>
      <c r="E612" s="55">
        <v>32700</v>
      </c>
      <c r="F612" s="54">
        <f t="shared" ca="1" si="25"/>
        <v>27</v>
      </c>
      <c r="G612" s="53" t="s">
        <v>32</v>
      </c>
      <c r="H612" s="52">
        <v>54270</v>
      </c>
      <c r="I612" s="51">
        <v>3</v>
      </c>
    </row>
    <row r="613" spans="1:9" x14ac:dyDescent="0.25">
      <c r="A613" s="56" t="s">
        <v>52</v>
      </c>
      <c r="B613" s="58" t="s">
        <v>56</v>
      </c>
      <c r="C613" s="56" t="s">
        <v>52</v>
      </c>
      <c r="D613" s="56" t="s">
        <v>5</v>
      </c>
      <c r="E613" s="55">
        <v>32711</v>
      </c>
      <c r="F613" s="54">
        <f t="shared" ca="1" si="25"/>
        <v>27</v>
      </c>
      <c r="G613" s="53" t="s">
        <v>4</v>
      </c>
      <c r="H613" s="52">
        <v>45110</v>
      </c>
      <c r="I613" s="51">
        <v>2</v>
      </c>
    </row>
    <row r="614" spans="1:9" x14ac:dyDescent="0.25">
      <c r="A614" s="56" t="s">
        <v>52</v>
      </c>
      <c r="B614" s="58" t="s">
        <v>17</v>
      </c>
      <c r="C614" s="56" t="s">
        <v>52</v>
      </c>
      <c r="D614" s="56" t="s">
        <v>5</v>
      </c>
      <c r="E614" s="55">
        <v>32718</v>
      </c>
      <c r="F614" s="54">
        <f t="shared" ca="1" si="25"/>
        <v>27</v>
      </c>
      <c r="G614" s="53" t="s">
        <v>4</v>
      </c>
      <c r="H614" s="52">
        <v>66824</v>
      </c>
      <c r="I614" s="51">
        <v>2</v>
      </c>
    </row>
    <row r="615" spans="1:9" x14ac:dyDescent="0.25">
      <c r="A615" s="56" t="s">
        <v>52</v>
      </c>
      <c r="B615" s="58" t="s">
        <v>13</v>
      </c>
      <c r="C615" s="56" t="s">
        <v>52</v>
      </c>
      <c r="D615" s="56" t="s">
        <v>5</v>
      </c>
      <c r="E615" s="55">
        <v>32850</v>
      </c>
      <c r="F615" s="54">
        <f t="shared" ca="1" si="25"/>
        <v>26</v>
      </c>
      <c r="G615" s="53" t="s">
        <v>32</v>
      </c>
      <c r="H615" s="52">
        <v>54200</v>
      </c>
      <c r="I615" s="51">
        <v>4</v>
      </c>
    </row>
    <row r="616" spans="1:9" x14ac:dyDescent="0.25">
      <c r="A616" s="56" t="s">
        <v>52</v>
      </c>
      <c r="B616" s="58" t="s">
        <v>17</v>
      </c>
      <c r="C616" s="56" t="s">
        <v>52</v>
      </c>
      <c r="D616" s="56" t="s">
        <v>0</v>
      </c>
      <c r="E616" s="55">
        <v>32870</v>
      </c>
      <c r="F616" s="54">
        <f t="shared" ca="1" si="25"/>
        <v>26</v>
      </c>
      <c r="G616" s="53"/>
      <c r="H616" s="52">
        <v>26484</v>
      </c>
      <c r="I616" s="51">
        <v>5</v>
      </c>
    </row>
    <row r="617" spans="1:9" x14ac:dyDescent="0.25">
      <c r="A617" s="56" t="s">
        <v>52</v>
      </c>
      <c r="B617" s="58" t="s">
        <v>17</v>
      </c>
      <c r="C617" s="56" t="s">
        <v>52</v>
      </c>
      <c r="D617" s="56" t="s">
        <v>5</v>
      </c>
      <c r="E617" s="55">
        <v>32975</v>
      </c>
      <c r="F617" s="54">
        <f t="shared" ca="1" si="25"/>
        <v>26</v>
      </c>
      <c r="G617" s="53" t="s">
        <v>19</v>
      </c>
      <c r="H617" s="52">
        <v>48490</v>
      </c>
      <c r="I617" s="51">
        <v>2</v>
      </c>
    </row>
    <row r="618" spans="1:9" x14ac:dyDescent="0.25">
      <c r="A618" s="56" t="s">
        <v>52</v>
      </c>
      <c r="B618" s="58" t="s">
        <v>17</v>
      </c>
      <c r="C618" s="56" t="s">
        <v>52</v>
      </c>
      <c r="D618" s="56" t="s">
        <v>0</v>
      </c>
      <c r="E618" s="55">
        <v>33035</v>
      </c>
      <c r="F618" s="54">
        <f t="shared" ca="1" si="25"/>
        <v>26</v>
      </c>
      <c r="G618" s="53"/>
      <c r="H618" s="52">
        <v>36788</v>
      </c>
      <c r="I618" s="51">
        <v>4</v>
      </c>
    </row>
    <row r="619" spans="1:9" x14ac:dyDescent="0.25">
      <c r="A619" s="56" t="s">
        <v>52</v>
      </c>
      <c r="B619" s="58" t="s">
        <v>17</v>
      </c>
      <c r="C619" s="56" t="s">
        <v>52</v>
      </c>
      <c r="D619" s="56" t="s">
        <v>5</v>
      </c>
      <c r="E619" s="55">
        <v>33444</v>
      </c>
      <c r="F619" s="54">
        <f t="shared" ca="1" si="25"/>
        <v>25</v>
      </c>
      <c r="G619" s="53" t="s">
        <v>32</v>
      </c>
      <c r="H619" s="52">
        <v>39000</v>
      </c>
      <c r="I619" s="51">
        <v>5</v>
      </c>
    </row>
    <row r="620" spans="1:9" x14ac:dyDescent="0.25">
      <c r="A620" s="56" t="s">
        <v>52</v>
      </c>
      <c r="B620" s="58" t="s">
        <v>13</v>
      </c>
      <c r="C620" s="56" t="s">
        <v>52</v>
      </c>
      <c r="D620" s="56" t="s">
        <v>5</v>
      </c>
      <c r="E620" s="55">
        <v>33490</v>
      </c>
      <c r="F620" s="54">
        <f t="shared" ca="1" si="25"/>
        <v>25</v>
      </c>
      <c r="G620" s="53" t="s">
        <v>34</v>
      </c>
      <c r="H620" s="52">
        <v>82700</v>
      </c>
      <c r="I620" s="51">
        <v>3</v>
      </c>
    </row>
    <row r="621" spans="1:9" x14ac:dyDescent="0.25">
      <c r="A621" s="56" t="s">
        <v>52</v>
      </c>
      <c r="B621" s="58" t="s">
        <v>2</v>
      </c>
      <c r="C621" s="56" t="s">
        <v>52</v>
      </c>
      <c r="D621" s="56" t="s">
        <v>0</v>
      </c>
      <c r="E621" s="55">
        <v>33724</v>
      </c>
      <c r="F621" s="54">
        <f t="shared" ca="1" si="25"/>
        <v>24</v>
      </c>
      <c r="G621" s="53"/>
      <c r="H621" s="52">
        <v>23692</v>
      </c>
      <c r="I621" s="51">
        <v>4</v>
      </c>
    </row>
    <row r="622" spans="1:9" x14ac:dyDescent="0.25">
      <c r="A622" s="56" t="s">
        <v>52</v>
      </c>
      <c r="B622" s="58" t="s">
        <v>17</v>
      </c>
      <c r="C622" s="56" t="s">
        <v>52</v>
      </c>
      <c r="D622" s="56" t="s">
        <v>5</v>
      </c>
      <c r="E622" s="55">
        <v>34046</v>
      </c>
      <c r="F622" s="54">
        <f t="shared" ca="1" si="25"/>
        <v>23</v>
      </c>
      <c r="G622" s="53" t="s">
        <v>34</v>
      </c>
      <c r="H622" s="52">
        <v>63030</v>
      </c>
      <c r="I622" s="51">
        <v>1</v>
      </c>
    </row>
    <row r="623" spans="1:9" x14ac:dyDescent="0.25">
      <c r="A623" s="56" t="s">
        <v>52</v>
      </c>
      <c r="B623" s="58" t="s">
        <v>17</v>
      </c>
      <c r="C623" s="56" t="s">
        <v>52</v>
      </c>
      <c r="D623" s="56" t="s">
        <v>5</v>
      </c>
      <c r="E623" s="55">
        <v>34063</v>
      </c>
      <c r="F623" s="54">
        <f t="shared" ca="1" si="25"/>
        <v>23</v>
      </c>
      <c r="G623" s="53" t="s">
        <v>4</v>
      </c>
      <c r="H623" s="52">
        <v>66440</v>
      </c>
      <c r="I623" s="51">
        <v>3</v>
      </c>
    </row>
    <row r="624" spans="1:9" x14ac:dyDescent="0.25">
      <c r="A624" s="56" t="s">
        <v>52</v>
      </c>
      <c r="B624" s="58" t="s">
        <v>17</v>
      </c>
      <c r="C624" s="56" t="s">
        <v>52</v>
      </c>
      <c r="D624" s="56" t="s">
        <v>0</v>
      </c>
      <c r="E624" s="55">
        <v>34092</v>
      </c>
      <c r="F624" s="54">
        <f t="shared" ca="1" si="25"/>
        <v>23</v>
      </c>
      <c r="G624" s="53"/>
      <c r="H624" s="52">
        <v>33508</v>
      </c>
      <c r="I624" s="51">
        <v>4</v>
      </c>
    </row>
    <row r="625" spans="1:9" x14ac:dyDescent="0.25">
      <c r="A625" s="56" t="s">
        <v>52</v>
      </c>
      <c r="B625" s="58" t="s">
        <v>13</v>
      </c>
      <c r="C625" s="56" t="s">
        <v>52</v>
      </c>
      <c r="D625" s="56" t="s">
        <v>5</v>
      </c>
      <c r="E625" s="55">
        <v>34098</v>
      </c>
      <c r="F625" s="54">
        <f t="shared" ca="1" si="25"/>
        <v>23</v>
      </c>
      <c r="G625" s="53" t="s">
        <v>4</v>
      </c>
      <c r="H625" s="52">
        <v>34330</v>
      </c>
      <c r="I625" s="51">
        <v>3</v>
      </c>
    </row>
    <row r="626" spans="1:9" x14ac:dyDescent="0.25">
      <c r="A626" s="56" t="s">
        <v>52</v>
      </c>
      <c r="B626" s="58" t="s">
        <v>13</v>
      </c>
      <c r="C626" s="56" t="s">
        <v>52</v>
      </c>
      <c r="D626" s="56" t="s">
        <v>5</v>
      </c>
      <c r="E626" s="55">
        <v>34098</v>
      </c>
      <c r="F626" s="54">
        <f t="shared" ca="1" si="25"/>
        <v>23</v>
      </c>
      <c r="G626" s="53" t="s">
        <v>4</v>
      </c>
      <c r="H626" s="52">
        <v>34330</v>
      </c>
      <c r="I626" s="51">
        <v>3</v>
      </c>
    </row>
    <row r="627" spans="1:9" x14ac:dyDescent="0.25">
      <c r="A627" s="56" t="s">
        <v>52</v>
      </c>
      <c r="B627" s="58" t="s">
        <v>39</v>
      </c>
      <c r="C627" s="56" t="s">
        <v>52</v>
      </c>
      <c r="D627" s="56" t="s">
        <v>5</v>
      </c>
      <c r="E627" s="55">
        <v>34141</v>
      </c>
      <c r="F627" s="54">
        <f t="shared" ca="1" si="25"/>
        <v>23</v>
      </c>
      <c r="G627" s="53" t="s">
        <v>8</v>
      </c>
      <c r="H627" s="52">
        <v>62965</v>
      </c>
      <c r="I627" s="51">
        <v>1</v>
      </c>
    </row>
    <row r="628" spans="1:9" x14ac:dyDescent="0.25">
      <c r="A628" s="56" t="s">
        <v>52</v>
      </c>
      <c r="B628" s="58" t="s">
        <v>13</v>
      </c>
      <c r="C628" s="56" t="s">
        <v>52</v>
      </c>
      <c r="D628" s="56" t="s">
        <v>5</v>
      </c>
      <c r="E628" s="55">
        <v>34187</v>
      </c>
      <c r="F628" s="54">
        <f t="shared" ca="1" si="25"/>
        <v>23</v>
      </c>
      <c r="G628" s="53" t="s">
        <v>32</v>
      </c>
      <c r="H628" s="52">
        <v>78710</v>
      </c>
      <c r="I628" s="51">
        <v>4</v>
      </c>
    </row>
    <row r="629" spans="1:9" x14ac:dyDescent="0.25">
      <c r="A629" s="56" t="s">
        <v>52</v>
      </c>
      <c r="B629" s="58" t="s">
        <v>13</v>
      </c>
      <c r="C629" s="56" t="s">
        <v>52</v>
      </c>
      <c r="D629" s="56" t="s">
        <v>5</v>
      </c>
      <c r="E629" s="55">
        <v>34259</v>
      </c>
      <c r="F629" s="54">
        <f t="shared" ca="1" si="25"/>
        <v>23</v>
      </c>
      <c r="G629" s="53" t="s">
        <v>4</v>
      </c>
      <c r="H629" s="52">
        <v>37770</v>
      </c>
      <c r="I629" s="51">
        <v>5</v>
      </c>
    </row>
    <row r="630" spans="1:9" x14ac:dyDescent="0.25">
      <c r="A630" s="56" t="s">
        <v>52</v>
      </c>
      <c r="B630" s="58" t="s">
        <v>17</v>
      </c>
      <c r="C630" s="56" t="s">
        <v>52</v>
      </c>
      <c r="D630" s="56" t="s">
        <v>15</v>
      </c>
      <c r="E630" s="55">
        <v>34378</v>
      </c>
      <c r="F630" s="54">
        <f t="shared" ca="1" si="25"/>
        <v>22</v>
      </c>
      <c r="G630" s="53" t="s">
        <v>4</v>
      </c>
      <c r="H630" s="52">
        <v>42740</v>
      </c>
      <c r="I630" s="51">
        <v>2</v>
      </c>
    </row>
    <row r="631" spans="1:9" x14ac:dyDescent="0.25">
      <c r="A631" s="56" t="s">
        <v>52</v>
      </c>
      <c r="B631" s="58" t="s">
        <v>10</v>
      </c>
      <c r="C631" s="56" t="s">
        <v>52</v>
      </c>
      <c r="D631" s="56" t="s">
        <v>5</v>
      </c>
      <c r="E631" s="55">
        <v>34405</v>
      </c>
      <c r="F631" s="54">
        <f t="shared" ref="F631:F662" ca="1" si="26">DATEDIF(E631,TODAY(),"Y")</f>
        <v>22</v>
      </c>
      <c r="G631" s="53" t="s">
        <v>4</v>
      </c>
      <c r="H631" s="52">
        <v>32120</v>
      </c>
      <c r="I631" s="51">
        <v>1</v>
      </c>
    </row>
    <row r="632" spans="1:9" x14ac:dyDescent="0.25">
      <c r="A632" s="56" t="s">
        <v>52</v>
      </c>
      <c r="B632" s="58" t="s">
        <v>17</v>
      </c>
      <c r="C632" s="56" t="s">
        <v>52</v>
      </c>
      <c r="D632" s="56" t="s">
        <v>12</v>
      </c>
      <c r="E632" s="55">
        <v>34496</v>
      </c>
      <c r="F632" s="54">
        <f t="shared" ca="1" si="26"/>
        <v>22</v>
      </c>
      <c r="G632" s="53"/>
      <c r="H632" s="52">
        <v>86100</v>
      </c>
      <c r="I632" s="51">
        <v>4</v>
      </c>
    </row>
    <row r="633" spans="1:9" x14ac:dyDescent="0.25">
      <c r="A633" s="56" t="s">
        <v>52</v>
      </c>
      <c r="B633" s="58" t="s">
        <v>10</v>
      </c>
      <c r="C633" s="56" t="s">
        <v>52</v>
      </c>
      <c r="D633" s="56" t="s">
        <v>15</v>
      </c>
      <c r="E633" s="55">
        <v>34532</v>
      </c>
      <c r="F633" s="54">
        <f t="shared" ca="1" si="26"/>
        <v>22</v>
      </c>
      <c r="G633" s="53" t="s">
        <v>19</v>
      </c>
      <c r="H633" s="52">
        <v>39530</v>
      </c>
      <c r="I633" s="51">
        <v>5</v>
      </c>
    </row>
    <row r="634" spans="1:9" x14ac:dyDescent="0.25">
      <c r="A634" s="56" t="s">
        <v>52</v>
      </c>
      <c r="B634" s="58" t="s">
        <v>17</v>
      </c>
      <c r="C634" s="56" t="s">
        <v>52</v>
      </c>
      <c r="D634" s="56" t="s">
        <v>0</v>
      </c>
      <c r="E634" s="55">
        <v>34551</v>
      </c>
      <c r="F634" s="54">
        <f t="shared" ca="1" si="26"/>
        <v>22</v>
      </c>
      <c r="G634" s="53"/>
      <c r="H634" s="52">
        <v>12836</v>
      </c>
      <c r="I634" s="51">
        <v>5</v>
      </c>
    </row>
    <row r="635" spans="1:9" x14ac:dyDescent="0.25">
      <c r="A635" s="56" t="s">
        <v>52</v>
      </c>
      <c r="B635" s="58" t="s">
        <v>39</v>
      </c>
      <c r="C635" s="56" t="s">
        <v>52</v>
      </c>
      <c r="D635" s="56" t="s">
        <v>0</v>
      </c>
      <c r="E635" s="55">
        <v>34559</v>
      </c>
      <c r="F635" s="54">
        <f t="shared" ca="1" si="26"/>
        <v>22</v>
      </c>
      <c r="G635" s="53"/>
      <c r="H635" s="52">
        <v>17912</v>
      </c>
      <c r="I635" s="51">
        <v>5</v>
      </c>
    </row>
    <row r="636" spans="1:9" x14ac:dyDescent="0.25">
      <c r="A636" s="56" t="s">
        <v>52</v>
      </c>
      <c r="B636" s="58" t="s">
        <v>13</v>
      </c>
      <c r="C636" s="56" t="s">
        <v>52</v>
      </c>
      <c r="D636" s="56" t="s">
        <v>5</v>
      </c>
      <c r="E636" s="55">
        <v>34586</v>
      </c>
      <c r="F636" s="54">
        <f t="shared" ca="1" si="26"/>
        <v>22</v>
      </c>
      <c r="G636" s="53" t="s">
        <v>4</v>
      </c>
      <c r="H636" s="52">
        <v>70280</v>
      </c>
      <c r="I636" s="51">
        <v>3</v>
      </c>
    </row>
    <row r="637" spans="1:9" x14ac:dyDescent="0.25">
      <c r="A637" s="56" t="s">
        <v>52</v>
      </c>
      <c r="B637" s="58" t="s">
        <v>17</v>
      </c>
      <c r="C637" s="56" t="s">
        <v>52</v>
      </c>
      <c r="D637" s="56" t="s">
        <v>5</v>
      </c>
      <c r="E637" s="55">
        <v>34702</v>
      </c>
      <c r="F637" s="54">
        <f t="shared" ca="1" si="26"/>
        <v>21</v>
      </c>
      <c r="G637" s="53" t="s">
        <v>34</v>
      </c>
      <c r="H637" s="52">
        <v>78950</v>
      </c>
      <c r="I637" s="51">
        <v>1</v>
      </c>
    </row>
    <row r="638" spans="1:9" x14ac:dyDescent="0.25">
      <c r="A638" s="56" t="s">
        <v>52</v>
      </c>
      <c r="B638" s="58" t="s">
        <v>39</v>
      </c>
      <c r="C638" s="56" t="s">
        <v>52</v>
      </c>
      <c r="D638" s="56" t="s">
        <v>12</v>
      </c>
      <c r="E638" s="55">
        <v>34760</v>
      </c>
      <c r="F638" s="54">
        <f t="shared" ca="1" si="26"/>
        <v>21</v>
      </c>
      <c r="G638" s="53"/>
      <c r="H638" s="52">
        <v>59050</v>
      </c>
      <c r="I638" s="51">
        <v>4</v>
      </c>
    </row>
    <row r="639" spans="1:9" x14ac:dyDescent="0.25">
      <c r="A639" s="56" t="s">
        <v>52</v>
      </c>
      <c r="B639" s="58" t="s">
        <v>17</v>
      </c>
      <c r="C639" s="56" t="s">
        <v>52</v>
      </c>
      <c r="D639" s="56" t="s">
        <v>5</v>
      </c>
      <c r="E639" s="55">
        <v>34768</v>
      </c>
      <c r="F639" s="54">
        <f t="shared" ca="1" si="26"/>
        <v>21</v>
      </c>
      <c r="G639" s="53" t="s">
        <v>8</v>
      </c>
      <c r="H639" s="52">
        <v>79610</v>
      </c>
      <c r="I639" s="51">
        <v>2</v>
      </c>
    </row>
    <row r="640" spans="1:9" x14ac:dyDescent="0.25">
      <c r="A640" s="56" t="s">
        <v>52</v>
      </c>
      <c r="B640" s="58" t="s">
        <v>39</v>
      </c>
      <c r="C640" s="56" t="s">
        <v>52</v>
      </c>
      <c r="D640" s="56" t="s">
        <v>5</v>
      </c>
      <c r="E640" s="55">
        <v>34771</v>
      </c>
      <c r="F640" s="54">
        <f t="shared" ca="1" si="26"/>
        <v>21</v>
      </c>
      <c r="G640" s="53" t="s">
        <v>4</v>
      </c>
      <c r="H640" s="52">
        <v>67407</v>
      </c>
      <c r="I640" s="51">
        <v>5</v>
      </c>
    </row>
    <row r="641" spans="1:9" x14ac:dyDescent="0.25">
      <c r="A641" s="56" t="s">
        <v>52</v>
      </c>
      <c r="B641" s="58" t="s">
        <v>17</v>
      </c>
      <c r="C641" s="56" t="s">
        <v>52</v>
      </c>
      <c r="D641" s="56" t="s">
        <v>15</v>
      </c>
      <c r="E641" s="55">
        <v>34886</v>
      </c>
      <c r="F641" s="54">
        <f t="shared" ca="1" si="26"/>
        <v>21</v>
      </c>
      <c r="G641" s="53" t="s">
        <v>32</v>
      </c>
      <c r="H641" s="52">
        <v>34980</v>
      </c>
      <c r="I641" s="51">
        <v>2</v>
      </c>
    </row>
    <row r="642" spans="1:9" x14ac:dyDescent="0.25">
      <c r="A642" s="56" t="s">
        <v>52</v>
      </c>
      <c r="B642" s="58" t="s">
        <v>13</v>
      </c>
      <c r="C642" s="56" t="s">
        <v>52</v>
      </c>
      <c r="D642" s="56" t="s">
        <v>12</v>
      </c>
      <c r="E642" s="55">
        <v>34904</v>
      </c>
      <c r="F642" s="54">
        <f t="shared" ca="1" si="26"/>
        <v>21</v>
      </c>
      <c r="G642" s="53"/>
      <c r="H642" s="52">
        <v>53310</v>
      </c>
      <c r="I642" s="51">
        <v>5</v>
      </c>
    </row>
    <row r="643" spans="1:9" x14ac:dyDescent="0.25">
      <c r="A643" s="56" t="s">
        <v>52</v>
      </c>
      <c r="B643" s="58" t="s">
        <v>13</v>
      </c>
      <c r="C643" s="56" t="s">
        <v>52</v>
      </c>
      <c r="D643" s="56" t="s">
        <v>5</v>
      </c>
      <c r="E643" s="55">
        <v>34935</v>
      </c>
      <c r="F643" s="54">
        <f t="shared" ca="1" si="26"/>
        <v>21</v>
      </c>
      <c r="G643" s="53" t="s">
        <v>32</v>
      </c>
      <c r="H643" s="52">
        <v>58410</v>
      </c>
      <c r="I643" s="51">
        <v>5</v>
      </c>
    </row>
    <row r="644" spans="1:9" x14ac:dyDescent="0.25">
      <c r="A644" s="56" t="s">
        <v>52</v>
      </c>
      <c r="B644" s="58" t="s">
        <v>39</v>
      </c>
      <c r="C644" s="56" t="s">
        <v>52</v>
      </c>
      <c r="D644" s="56" t="s">
        <v>5</v>
      </c>
      <c r="E644" s="55">
        <v>34980</v>
      </c>
      <c r="F644" s="54">
        <f t="shared" ca="1" si="26"/>
        <v>21</v>
      </c>
      <c r="G644" s="53" t="s">
        <v>4</v>
      </c>
      <c r="H644" s="52">
        <v>39000</v>
      </c>
      <c r="I644" s="51">
        <v>3</v>
      </c>
    </row>
    <row r="645" spans="1:9" x14ac:dyDescent="0.25">
      <c r="A645" s="56" t="s">
        <v>52</v>
      </c>
      <c r="B645" s="58" t="s">
        <v>13</v>
      </c>
      <c r="C645" s="56" t="s">
        <v>52</v>
      </c>
      <c r="D645" s="56" t="s">
        <v>5</v>
      </c>
      <c r="E645" s="55">
        <v>35002</v>
      </c>
      <c r="F645" s="54">
        <f t="shared" ca="1" si="26"/>
        <v>21</v>
      </c>
      <c r="G645" s="53" t="s">
        <v>32</v>
      </c>
      <c r="H645" s="52">
        <v>69200</v>
      </c>
      <c r="I645" s="51">
        <v>4</v>
      </c>
    </row>
    <row r="646" spans="1:9" x14ac:dyDescent="0.25">
      <c r="A646" s="56" t="s">
        <v>52</v>
      </c>
      <c r="B646" s="58" t="s">
        <v>39</v>
      </c>
      <c r="C646" s="56" t="s">
        <v>52</v>
      </c>
      <c r="D646" s="56" t="s">
        <v>5</v>
      </c>
      <c r="E646" s="55">
        <v>35050</v>
      </c>
      <c r="F646" s="54">
        <f t="shared" ca="1" si="26"/>
        <v>20</v>
      </c>
      <c r="G646" s="53" t="s">
        <v>4</v>
      </c>
      <c r="H646" s="52">
        <v>67020</v>
      </c>
      <c r="I646" s="51">
        <v>1</v>
      </c>
    </row>
    <row r="647" spans="1:9" x14ac:dyDescent="0.25">
      <c r="A647" s="56" t="s">
        <v>52</v>
      </c>
      <c r="B647" s="58" t="s">
        <v>17</v>
      </c>
      <c r="C647" s="56" t="s">
        <v>52</v>
      </c>
      <c r="D647" s="56" t="s">
        <v>12</v>
      </c>
      <c r="E647" s="55">
        <v>35096</v>
      </c>
      <c r="F647" s="54">
        <f t="shared" ca="1" si="26"/>
        <v>20</v>
      </c>
      <c r="G647" s="53"/>
      <c r="H647" s="52">
        <v>60800</v>
      </c>
      <c r="I647" s="51">
        <v>4</v>
      </c>
    </row>
    <row r="648" spans="1:9" x14ac:dyDescent="0.25">
      <c r="A648" s="56" t="s">
        <v>52</v>
      </c>
      <c r="B648" s="58" t="s">
        <v>13</v>
      </c>
      <c r="C648" s="56" t="s">
        <v>52</v>
      </c>
      <c r="D648" s="56" t="s">
        <v>5</v>
      </c>
      <c r="E648" s="55">
        <v>35097</v>
      </c>
      <c r="F648" s="54">
        <f t="shared" ca="1" si="26"/>
        <v>20</v>
      </c>
      <c r="G648" s="53" t="s">
        <v>34</v>
      </c>
      <c r="H648" s="52">
        <v>45880</v>
      </c>
      <c r="I648" s="51">
        <v>5</v>
      </c>
    </row>
    <row r="649" spans="1:9" x14ac:dyDescent="0.25">
      <c r="A649" s="56" t="s">
        <v>52</v>
      </c>
      <c r="B649" s="58" t="s">
        <v>13</v>
      </c>
      <c r="C649" s="56" t="s">
        <v>52</v>
      </c>
      <c r="D649" s="56" t="s">
        <v>15</v>
      </c>
      <c r="E649" s="55">
        <v>35113</v>
      </c>
      <c r="F649" s="54">
        <f t="shared" ca="1" si="26"/>
        <v>20</v>
      </c>
      <c r="G649" s="53" t="s">
        <v>8</v>
      </c>
      <c r="H649" s="52">
        <v>47350</v>
      </c>
      <c r="I649" s="51">
        <v>1</v>
      </c>
    </row>
    <row r="650" spans="1:9" x14ac:dyDescent="0.25">
      <c r="A650" s="56" t="s">
        <v>52</v>
      </c>
      <c r="B650" s="58" t="s">
        <v>13</v>
      </c>
      <c r="C650" s="56" t="s">
        <v>52</v>
      </c>
      <c r="D650" s="56" t="s">
        <v>12</v>
      </c>
      <c r="E650" s="55">
        <v>35169</v>
      </c>
      <c r="F650" s="54">
        <f t="shared" ca="1" si="26"/>
        <v>20</v>
      </c>
      <c r="G650" s="53"/>
      <c r="H650" s="52">
        <v>54840</v>
      </c>
      <c r="I650" s="51">
        <v>4</v>
      </c>
    </row>
    <row r="651" spans="1:9" x14ac:dyDescent="0.25">
      <c r="A651" s="56" t="s">
        <v>52</v>
      </c>
      <c r="B651" s="58" t="s">
        <v>2</v>
      </c>
      <c r="C651" s="56" t="s">
        <v>52</v>
      </c>
      <c r="D651" s="56" t="s">
        <v>5</v>
      </c>
      <c r="E651" s="55">
        <v>35204</v>
      </c>
      <c r="F651" s="54">
        <f t="shared" ca="1" si="26"/>
        <v>20</v>
      </c>
      <c r="G651" s="53" t="s">
        <v>4</v>
      </c>
      <c r="H651" s="52">
        <v>48250</v>
      </c>
      <c r="I651" s="51">
        <v>3</v>
      </c>
    </row>
    <row r="652" spans="1:9" x14ac:dyDescent="0.25">
      <c r="A652" s="56" t="s">
        <v>52</v>
      </c>
      <c r="B652" s="58" t="s">
        <v>13</v>
      </c>
      <c r="C652" s="56" t="s">
        <v>52</v>
      </c>
      <c r="D652" s="56" t="s">
        <v>5</v>
      </c>
      <c r="E652" s="55">
        <v>35216</v>
      </c>
      <c r="F652" s="54">
        <f t="shared" ca="1" si="26"/>
        <v>20</v>
      </c>
      <c r="G652" s="53" t="s">
        <v>32</v>
      </c>
      <c r="H652" s="52">
        <v>29260</v>
      </c>
      <c r="I652" s="51">
        <v>4</v>
      </c>
    </row>
    <row r="653" spans="1:9" x14ac:dyDescent="0.25">
      <c r="A653" s="56" t="s">
        <v>52</v>
      </c>
      <c r="B653" s="58" t="s">
        <v>17</v>
      </c>
      <c r="C653" s="56" t="s">
        <v>52</v>
      </c>
      <c r="D653" s="56" t="s">
        <v>15</v>
      </c>
      <c r="E653" s="55">
        <v>35221</v>
      </c>
      <c r="F653" s="54">
        <f t="shared" ca="1" si="26"/>
        <v>20</v>
      </c>
      <c r="G653" s="53" t="s">
        <v>19</v>
      </c>
      <c r="H653" s="52">
        <v>20990</v>
      </c>
      <c r="I653" s="51">
        <v>4</v>
      </c>
    </row>
    <row r="654" spans="1:9" x14ac:dyDescent="0.25">
      <c r="A654" s="56" t="s">
        <v>52</v>
      </c>
      <c r="B654" s="58" t="s">
        <v>2</v>
      </c>
      <c r="C654" s="56" t="s">
        <v>52</v>
      </c>
      <c r="D654" s="56" t="s">
        <v>0</v>
      </c>
      <c r="E654" s="55">
        <v>35247</v>
      </c>
      <c r="F654" s="54">
        <f t="shared" ca="1" si="26"/>
        <v>20</v>
      </c>
      <c r="G654" s="53"/>
      <c r="H654" s="52">
        <v>15552</v>
      </c>
      <c r="I654" s="51">
        <v>4</v>
      </c>
    </row>
    <row r="655" spans="1:9" x14ac:dyDescent="0.25">
      <c r="A655" s="56" t="s">
        <v>52</v>
      </c>
      <c r="B655" s="58" t="s">
        <v>17</v>
      </c>
      <c r="C655" s="56" t="s">
        <v>52</v>
      </c>
      <c r="D655" s="56" t="s">
        <v>12</v>
      </c>
      <c r="E655" s="55">
        <v>35332</v>
      </c>
      <c r="F655" s="54">
        <f t="shared" ca="1" si="26"/>
        <v>20</v>
      </c>
      <c r="G655" s="53"/>
      <c r="H655" s="52">
        <v>77760</v>
      </c>
      <c r="I655" s="51">
        <v>3</v>
      </c>
    </row>
    <row r="656" spans="1:9" x14ac:dyDescent="0.25">
      <c r="A656" s="56" t="s">
        <v>52</v>
      </c>
      <c r="B656" s="58" t="s">
        <v>17</v>
      </c>
      <c r="C656" s="56" t="s">
        <v>52</v>
      </c>
      <c r="D656" s="56" t="s">
        <v>12</v>
      </c>
      <c r="E656" s="55">
        <v>35332</v>
      </c>
      <c r="F656" s="54">
        <f t="shared" ca="1" si="26"/>
        <v>20</v>
      </c>
      <c r="G656" s="53"/>
      <c r="H656" s="52">
        <v>77760</v>
      </c>
      <c r="I656" s="51">
        <v>3</v>
      </c>
    </row>
    <row r="657" spans="1:9" x14ac:dyDescent="0.25">
      <c r="A657" s="56" t="s">
        <v>52</v>
      </c>
      <c r="B657" s="58" t="s">
        <v>56</v>
      </c>
      <c r="C657" s="56" t="s">
        <v>52</v>
      </c>
      <c r="D657" s="56" t="s">
        <v>12</v>
      </c>
      <c r="E657" s="55">
        <v>35772</v>
      </c>
      <c r="F657" s="54">
        <f t="shared" ca="1" si="26"/>
        <v>18</v>
      </c>
      <c r="G657" s="53"/>
      <c r="H657" s="52">
        <v>46780</v>
      </c>
      <c r="I657" s="51">
        <v>2</v>
      </c>
    </row>
    <row r="658" spans="1:9" x14ac:dyDescent="0.25">
      <c r="A658" s="56" t="s">
        <v>52</v>
      </c>
      <c r="B658" s="58" t="s">
        <v>2</v>
      </c>
      <c r="C658" s="56" t="s">
        <v>52</v>
      </c>
      <c r="D658" s="56" t="s">
        <v>5</v>
      </c>
      <c r="E658" s="55">
        <v>36315</v>
      </c>
      <c r="F658" s="54">
        <f t="shared" ca="1" si="26"/>
        <v>17</v>
      </c>
      <c r="G658" s="53" t="s">
        <v>4</v>
      </c>
      <c r="H658" s="52">
        <v>82490</v>
      </c>
      <c r="I658" s="51">
        <v>5</v>
      </c>
    </row>
    <row r="659" spans="1:9" x14ac:dyDescent="0.25">
      <c r="A659" s="56" t="s">
        <v>52</v>
      </c>
      <c r="B659" s="58" t="s">
        <v>39</v>
      </c>
      <c r="C659" s="56" t="s">
        <v>52</v>
      </c>
      <c r="D659" s="56" t="s">
        <v>15</v>
      </c>
      <c r="E659" s="55">
        <v>36465</v>
      </c>
      <c r="F659" s="54">
        <f t="shared" ca="1" si="26"/>
        <v>17</v>
      </c>
      <c r="G659" s="53" t="s">
        <v>34</v>
      </c>
      <c r="H659" s="52">
        <v>28525</v>
      </c>
      <c r="I659" s="51">
        <v>4</v>
      </c>
    </row>
    <row r="660" spans="1:9" x14ac:dyDescent="0.25">
      <c r="A660" s="56" t="s">
        <v>52</v>
      </c>
      <c r="B660" s="58" t="s">
        <v>10</v>
      </c>
      <c r="C660" s="56" t="s">
        <v>52</v>
      </c>
      <c r="D660" s="56" t="s">
        <v>5</v>
      </c>
      <c r="E660" s="55">
        <v>36483</v>
      </c>
      <c r="F660" s="54">
        <f t="shared" ca="1" si="26"/>
        <v>16</v>
      </c>
      <c r="G660" s="53" t="s">
        <v>32</v>
      </c>
      <c r="H660" s="52">
        <v>29210</v>
      </c>
      <c r="I660" s="51">
        <v>5</v>
      </c>
    </row>
    <row r="661" spans="1:9" x14ac:dyDescent="0.25">
      <c r="A661" s="56" t="s">
        <v>52</v>
      </c>
      <c r="B661" s="58" t="s">
        <v>10</v>
      </c>
      <c r="C661" s="56" t="s">
        <v>52</v>
      </c>
      <c r="D661" s="56" t="s">
        <v>15</v>
      </c>
      <c r="E661" s="55">
        <v>36505</v>
      </c>
      <c r="F661" s="54">
        <f t="shared" ca="1" si="26"/>
        <v>16</v>
      </c>
      <c r="G661" s="53" t="s">
        <v>32</v>
      </c>
      <c r="H661" s="52">
        <v>48740</v>
      </c>
      <c r="I661" s="51">
        <v>1</v>
      </c>
    </row>
    <row r="662" spans="1:9" x14ac:dyDescent="0.25">
      <c r="A662" s="56" t="s">
        <v>52</v>
      </c>
      <c r="B662" s="58" t="s">
        <v>56</v>
      </c>
      <c r="C662" s="56" t="s">
        <v>52</v>
      </c>
      <c r="D662" s="56" t="s">
        <v>12</v>
      </c>
      <c r="E662" s="55">
        <v>36717</v>
      </c>
      <c r="F662" s="54">
        <f t="shared" ca="1" si="26"/>
        <v>16</v>
      </c>
      <c r="G662" s="53"/>
      <c r="H662" s="52">
        <v>64590</v>
      </c>
      <c r="I662" s="51">
        <v>1</v>
      </c>
    </row>
    <row r="663" spans="1:9" x14ac:dyDescent="0.25">
      <c r="A663" s="56" t="s">
        <v>52</v>
      </c>
      <c r="B663" s="58" t="s">
        <v>39</v>
      </c>
      <c r="C663" s="56" t="s">
        <v>52</v>
      </c>
      <c r="D663" s="56" t="s">
        <v>5</v>
      </c>
      <c r="E663" s="55">
        <v>36927</v>
      </c>
      <c r="F663" s="54">
        <f t="shared" ref="F663:F674" ca="1" si="27">DATEDIF(E663,TODAY(),"Y")</f>
        <v>15</v>
      </c>
      <c r="G663" s="53" t="s">
        <v>4</v>
      </c>
      <c r="H663" s="52">
        <v>31910</v>
      </c>
      <c r="I663" s="51">
        <v>5</v>
      </c>
    </row>
    <row r="664" spans="1:9" x14ac:dyDescent="0.25">
      <c r="A664" s="56" t="s">
        <v>52</v>
      </c>
      <c r="B664" s="58" t="s">
        <v>10</v>
      </c>
      <c r="C664" s="56" t="s">
        <v>52</v>
      </c>
      <c r="D664" s="56" t="s">
        <v>5</v>
      </c>
      <c r="E664" s="55">
        <v>37043</v>
      </c>
      <c r="F664" s="54">
        <f t="shared" ca="1" si="27"/>
        <v>15</v>
      </c>
      <c r="G664" s="53" t="s">
        <v>4</v>
      </c>
      <c r="H664" s="52">
        <v>83710</v>
      </c>
      <c r="I664" s="51">
        <v>3</v>
      </c>
    </row>
    <row r="665" spans="1:9" x14ac:dyDescent="0.25">
      <c r="A665" s="56" t="s">
        <v>52</v>
      </c>
      <c r="B665" s="58" t="s">
        <v>13</v>
      </c>
      <c r="C665" s="56" t="s">
        <v>52</v>
      </c>
      <c r="D665" s="56" t="s">
        <v>12</v>
      </c>
      <c r="E665" s="55">
        <v>37483</v>
      </c>
      <c r="F665" s="54">
        <f t="shared" ca="1" si="27"/>
        <v>14</v>
      </c>
      <c r="G665" s="53"/>
      <c r="H665" s="52">
        <v>85930</v>
      </c>
      <c r="I665" s="51">
        <v>2</v>
      </c>
    </row>
    <row r="666" spans="1:9" x14ac:dyDescent="0.25">
      <c r="A666" s="56" t="s">
        <v>52</v>
      </c>
      <c r="B666" s="58" t="s">
        <v>13</v>
      </c>
      <c r="C666" s="56" t="s">
        <v>52</v>
      </c>
      <c r="D666" s="56" t="s">
        <v>12</v>
      </c>
      <c r="E666" s="55">
        <v>37483</v>
      </c>
      <c r="F666" s="54">
        <f t="shared" ca="1" si="27"/>
        <v>14</v>
      </c>
      <c r="G666" s="53"/>
      <c r="H666" s="52">
        <v>85930</v>
      </c>
      <c r="I666" s="51">
        <v>2</v>
      </c>
    </row>
    <row r="667" spans="1:9" x14ac:dyDescent="0.25">
      <c r="A667" s="56" t="s">
        <v>52</v>
      </c>
      <c r="B667" s="58" t="s">
        <v>13</v>
      </c>
      <c r="C667" s="56" t="s">
        <v>52</v>
      </c>
      <c r="D667" s="56" t="s">
        <v>5</v>
      </c>
      <c r="E667" s="55">
        <v>37592</v>
      </c>
      <c r="F667" s="54">
        <f t="shared" ca="1" si="27"/>
        <v>13</v>
      </c>
      <c r="G667" s="53" t="s">
        <v>32</v>
      </c>
      <c r="H667" s="52">
        <v>73560</v>
      </c>
      <c r="I667" s="51">
        <v>3</v>
      </c>
    </row>
    <row r="668" spans="1:9" x14ac:dyDescent="0.25">
      <c r="A668" s="56" t="s">
        <v>52</v>
      </c>
      <c r="B668" s="58" t="s">
        <v>39</v>
      </c>
      <c r="C668" s="56" t="s">
        <v>52</v>
      </c>
      <c r="D668" s="56" t="s">
        <v>5</v>
      </c>
      <c r="E668" s="55">
        <v>37843</v>
      </c>
      <c r="F668" s="54">
        <f t="shared" ca="1" si="27"/>
        <v>13</v>
      </c>
      <c r="G668" s="53" t="s">
        <v>4</v>
      </c>
      <c r="H668" s="52">
        <v>43600</v>
      </c>
      <c r="I668" s="51">
        <v>5</v>
      </c>
    </row>
    <row r="669" spans="1:9" x14ac:dyDescent="0.25">
      <c r="A669" s="56" t="s">
        <v>52</v>
      </c>
      <c r="B669" s="58" t="s">
        <v>13</v>
      </c>
      <c r="C669" s="56" t="s">
        <v>52</v>
      </c>
      <c r="D669" s="56" t="s">
        <v>12</v>
      </c>
      <c r="E669" s="55">
        <v>38410</v>
      </c>
      <c r="F669" s="54">
        <f t="shared" ca="1" si="27"/>
        <v>11</v>
      </c>
      <c r="G669" s="53"/>
      <c r="H669" s="52">
        <v>43320</v>
      </c>
      <c r="I669" s="51">
        <v>5</v>
      </c>
    </row>
    <row r="670" spans="1:9" x14ac:dyDescent="0.25">
      <c r="A670" s="56" t="s">
        <v>52</v>
      </c>
      <c r="B670" s="58" t="s">
        <v>13</v>
      </c>
      <c r="C670" s="56" t="s">
        <v>52</v>
      </c>
      <c r="D670" s="56" t="s">
        <v>5</v>
      </c>
      <c r="E670" s="55">
        <v>38435</v>
      </c>
      <c r="F670" s="54">
        <f t="shared" ca="1" si="27"/>
        <v>11</v>
      </c>
      <c r="G670" s="53" t="s">
        <v>4</v>
      </c>
      <c r="H670" s="52">
        <v>29330</v>
      </c>
      <c r="I670" s="51">
        <v>5</v>
      </c>
    </row>
    <row r="671" spans="1:9" x14ac:dyDescent="0.25">
      <c r="A671" s="56" t="s">
        <v>52</v>
      </c>
      <c r="B671" s="58" t="s">
        <v>39</v>
      </c>
      <c r="C671" s="56" t="s">
        <v>52</v>
      </c>
      <c r="D671" s="56" t="s">
        <v>5</v>
      </c>
      <c r="E671" s="55">
        <v>38505</v>
      </c>
      <c r="F671" s="54">
        <f t="shared" ca="1" si="27"/>
        <v>11</v>
      </c>
      <c r="G671" s="53" t="s">
        <v>4</v>
      </c>
      <c r="H671" s="52">
        <v>72060</v>
      </c>
      <c r="I671" s="51">
        <v>2</v>
      </c>
    </row>
    <row r="672" spans="1:9" x14ac:dyDescent="0.25">
      <c r="A672" s="56" t="s">
        <v>52</v>
      </c>
      <c r="B672" s="58" t="s">
        <v>10</v>
      </c>
      <c r="C672" s="56" t="s">
        <v>52</v>
      </c>
      <c r="D672" s="56" t="s">
        <v>5</v>
      </c>
      <c r="E672" s="55">
        <v>38768</v>
      </c>
      <c r="F672" s="54">
        <f t="shared" ca="1" si="27"/>
        <v>10</v>
      </c>
      <c r="G672" s="53" t="s">
        <v>4</v>
      </c>
      <c r="H672" s="52">
        <v>23190</v>
      </c>
      <c r="I672" s="51">
        <v>5</v>
      </c>
    </row>
    <row r="673" spans="1:9" x14ac:dyDescent="0.25">
      <c r="A673" s="56" t="s">
        <v>52</v>
      </c>
      <c r="B673" s="58" t="s">
        <v>17</v>
      </c>
      <c r="C673" s="56" t="s">
        <v>52</v>
      </c>
      <c r="D673" s="56" t="s">
        <v>12</v>
      </c>
      <c r="E673" s="55">
        <v>39040</v>
      </c>
      <c r="F673" s="54">
        <f t="shared" ca="1" si="27"/>
        <v>9</v>
      </c>
      <c r="G673" s="53"/>
      <c r="H673" s="52">
        <v>21580</v>
      </c>
      <c r="I673" s="51">
        <v>3</v>
      </c>
    </row>
    <row r="674" spans="1:9" x14ac:dyDescent="0.25">
      <c r="A674" s="56" t="s">
        <v>52</v>
      </c>
      <c r="B674" s="58" t="s">
        <v>13</v>
      </c>
      <c r="C674" s="56" t="s">
        <v>52</v>
      </c>
      <c r="D674" s="56" t="s">
        <v>5</v>
      </c>
      <c r="E674" s="55">
        <v>39271</v>
      </c>
      <c r="F674" s="54">
        <f t="shared" ca="1" si="27"/>
        <v>9</v>
      </c>
      <c r="G674" s="53" t="s">
        <v>19</v>
      </c>
      <c r="H674" s="52">
        <v>80260</v>
      </c>
      <c r="I674" s="51">
        <v>3</v>
      </c>
    </row>
    <row r="675" spans="1:9" x14ac:dyDescent="0.25">
      <c r="A675" s="57" t="s">
        <v>815</v>
      </c>
      <c r="B675" s="58"/>
      <c r="C675" s="57"/>
      <c r="D675" s="56"/>
      <c r="E675" s="55"/>
      <c r="F675" s="54"/>
      <c r="G675" s="53"/>
      <c r="H675" s="52"/>
      <c r="I675" s="51"/>
    </row>
    <row r="676" spans="1:9" x14ac:dyDescent="0.25">
      <c r="A676" s="56" t="s">
        <v>6</v>
      </c>
      <c r="B676" s="58" t="s">
        <v>13</v>
      </c>
      <c r="C676" s="56" t="s">
        <v>6</v>
      </c>
      <c r="D676" s="56" t="s">
        <v>12</v>
      </c>
      <c r="E676" s="55">
        <v>31834</v>
      </c>
      <c r="F676" s="54">
        <f t="shared" ref="F676:F707" ca="1" si="28">DATEDIF(E676,TODAY(),"Y")</f>
        <v>29</v>
      </c>
      <c r="G676" s="53"/>
      <c r="H676" s="52">
        <v>23340</v>
      </c>
      <c r="I676" s="51">
        <v>4</v>
      </c>
    </row>
    <row r="677" spans="1:9" x14ac:dyDescent="0.25">
      <c r="A677" s="56" t="s">
        <v>6</v>
      </c>
      <c r="B677" s="58" t="s">
        <v>17</v>
      </c>
      <c r="C677" s="56" t="s">
        <v>6</v>
      </c>
      <c r="D677" s="56" t="s">
        <v>12</v>
      </c>
      <c r="E677" s="55">
        <v>31883</v>
      </c>
      <c r="F677" s="54">
        <f t="shared" ca="1" si="28"/>
        <v>29</v>
      </c>
      <c r="G677" s="53"/>
      <c r="H677" s="52">
        <v>63610</v>
      </c>
      <c r="I677" s="51">
        <v>5</v>
      </c>
    </row>
    <row r="678" spans="1:9" x14ac:dyDescent="0.25">
      <c r="A678" s="56" t="s">
        <v>6</v>
      </c>
      <c r="B678" s="58" t="s">
        <v>17</v>
      </c>
      <c r="C678" s="56" t="s">
        <v>6</v>
      </c>
      <c r="D678" s="56" t="s">
        <v>5</v>
      </c>
      <c r="E678" s="55">
        <v>31969</v>
      </c>
      <c r="F678" s="54">
        <f t="shared" ca="1" si="28"/>
        <v>29</v>
      </c>
      <c r="G678" s="53" t="s">
        <v>32</v>
      </c>
      <c r="H678" s="52">
        <v>24200</v>
      </c>
      <c r="I678" s="51">
        <v>5</v>
      </c>
    </row>
    <row r="679" spans="1:9" x14ac:dyDescent="0.25">
      <c r="A679" s="56" t="s">
        <v>6</v>
      </c>
      <c r="B679" s="58" t="s">
        <v>13</v>
      </c>
      <c r="C679" s="56" t="s">
        <v>6</v>
      </c>
      <c r="D679" s="56" t="s">
        <v>15</v>
      </c>
      <c r="E679" s="55">
        <v>32081</v>
      </c>
      <c r="F679" s="54">
        <f t="shared" ca="1" si="28"/>
        <v>29</v>
      </c>
      <c r="G679" s="53" t="s">
        <v>4</v>
      </c>
      <c r="H679" s="52">
        <v>13455</v>
      </c>
      <c r="I679" s="51">
        <v>2</v>
      </c>
    </row>
    <row r="680" spans="1:9" x14ac:dyDescent="0.25">
      <c r="A680" s="56" t="s">
        <v>6</v>
      </c>
      <c r="B680" s="58" t="s">
        <v>39</v>
      </c>
      <c r="C680" s="56" t="s">
        <v>6</v>
      </c>
      <c r="D680" s="56" t="s">
        <v>12</v>
      </c>
      <c r="E680" s="55">
        <v>32091</v>
      </c>
      <c r="F680" s="54">
        <f t="shared" ca="1" si="28"/>
        <v>28</v>
      </c>
      <c r="G680" s="53"/>
      <c r="H680" s="52">
        <v>34680</v>
      </c>
      <c r="I680" s="51">
        <v>5</v>
      </c>
    </row>
    <row r="681" spans="1:9" x14ac:dyDescent="0.25">
      <c r="A681" s="56" t="s">
        <v>6</v>
      </c>
      <c r="B681" s="58" t="s">
        <v>10</v>
      </c>
      <c r="C681" s="56" t="s">
        <v>6</v>
      </c>
      <c r="D681" s="56" t="s">
        <v>12</v>
      </c>
      <c r="E681" s="55">
        <v>32103</v>
      </c>
      <c r="F681" s="54">
        <f t="shared" ca="1" si="28"/>
        <v>28</v>
      </c>
      <c r="G681" s="53"/>
      <c r="H681" s="52">
        <v>26020</v>
      </c>
      <c r="I681" s="51">
        <v>5</v>
      </c>
    </row>
    <row r="682" spans="1:9" x14ac:dyDescent="0.25">
      <c r="A682" s="56" t="s">
        <v>6</v>
      </c>
      <c r="B682" s="58" t="s">
        <v>13</v>
      </c>
      <c r="C682" s="56" t="s">
        <v>6</v>
      </c>
      <c r="D682" s="56" t="s">
        <v>12</v>
      </c>
      <c r="E682" s="55">
        <v>32185</v>
      </c>
      <c r="F682" s="54">
        <f t="shared" ca="1" si="28"/>
        <v>28</v>
      </c>
      <c r="G682" s="53"/>
      <c r="H682" s="52">
        <v>62480</v>
      </c>
      <c r="I682" s="51">
        <v>5</v>
      </c>
    </row>
    <row r="683" spans="1:9" x14ac:dyDescent="0.25">
      <c r="A683" s="56" t="s">
        <v>6</v>
      </c>
      <c r="B683" s="58" t="s">
        <v>17</v>
      </c>
      <c r="C683" s="56" t="s">
        <v>6</v>
      </c>
      <c r="D683" s="56" t="s">
        <v>12</v>
      </c>
      <c r="E683" s="55">
        <v>32196</v>
      </c>
      <c r="F683" s="54">
        <f t="shared" ca="1" si="28"/>
        <v>28</v>
      </c>
      <c r="G683" s="53"/>
      <c r="H683" s="52">
        <v>61134</v>
      </c>
      <c r="I683" s="51">
        <v>4</v>
      </c>
    </row>
    <row r="684" spans="1:9" x14ac:dyDescent="0.25">
      <c r="A684" s="56" t="s">
        <v>6</v>
      </c>
      <c r="B684" s="58" t="s">
        <v>13</v>
      </c>
      <c r="C684" s="56" t="s">
        <v>6</v>
      </c>
      <c r="D684" s="56" t="s">
        <v>12</v>
      </c>
      <c r="E684" s="55">
        <v>32252</v>
      </c>
      <c r="F684" s="54">
        <f t="shared" ca="1" si="28"/>
        <v>28</v>
      </c>
      <c r="G684" s="53"/>
      <c r="H684" s="52">
        <v>57500</v>
      </c>
      <c r="I684" s="51">
        <v>1</v>
      </c>
    </row>
    <row r="685" spans="1:9" x14ac:dyDescent="0.25">
      <c r="A685" s="56" t="s">
        <v>6</v>
      </c>
      <c r="B685" s="58" t="s">
        <v>13</v>
      </c>
      <c r="C685" s="56" t="s">
        <v>6</v>
      </c>
      <c r="D685" s="56" t="s">
        <v>5</v>
      </c>
      <c r="E685" s="55">
        <v>32371</v>
      </c>
      <c r="F685" s="54">
        <f t="shared" ca="1" si="28"/>
        <v>28</v>
      </c>
      <c r="G685" s="53" t="s">
        <v>34</v>
      </c>
      <c r="H685" s="52">
        <v>46550</v>
      </c>
      <c r="I685" s="51">
        <v>4</v>
      </c>
    </row>
    <row r="686" spans="1:9" x14ac:dyDescent="0.25">
      <c r="A686" s="56" t="s">
        <v>6</v>
      </c>
      <c r="B686" s="58" t="s">
        <v>39</v>
      </c>
      <c r="C686" s="56" t="s">
        <v>6</v>
      </c>
      <c r="D686" s="56" t="s">
        <v>12</v>
      </c>
      <c r="E686" s="55">
        <v>32479</v>
      </c>
      <c r="F686" s="54">
        <f t="shared" ca="1" si="28"/>
        <v>27</v>
      </c>
      <c r="G686" s="53"/>
      <c r="H686" s="52">
        <v>59128</v>
      </c>
      <c r="I686" s="51">
        <v>4</v>
      </c>
    </row>
    <row r="687" spans="1:9" x14ac:dyDescent="0.25">
      <c r="A687" s="56" t="s">
        <v>6</v>
      </c>
      <c r="B687" s="58" t="s">
        <v>17</v>
      </c>
      <c r="C687" s="56" t="s">
        <v>6</v>
      </c>
      <c r="D687" s="56" t="s">
        <v>5</v>
      </c>
      <c r="E687" s="55">
        <v>32496</v>
      </c>
      <c r="F687" s="54">
        <f t="shared" ca="1" si="28"/>
        <v>27</v>
      </c>
      <c r="G687" s="53" t="s">
        <v>34</v>
      </c>
      <c r="H687" s="52">
        <v>62780</v>
      </c>
      <c r="I687" s="51">
        <v>3</v>
      </c>
    </row>
    <row r="688" spans="1:9" x14ac:dyDescent="0.25">
      <c r="A688" s="56" t="s">
        <v>6</v>
      </c>
      <c r="B688" s="58" t="s">
        <v>39</v>
      </c>
      <c r="C688" s="56" t="s">
        <v>6</v>
      </c>
      <c r="D688" s="56" t="s">
        <v>12</v>
      </c>
      <c r="E688" s="55">
        <v>32510</v>
      </c>
      <c r="F688" s="54">
        <f t="shared" ca="1" si="28"/>
        <v>27</v>
      </c>
      <c r="G688" s="53"/>
      <c r="H688" s="52">
        <v>70300</v>
      </c>
      <c r="I688" s="51">
        <v>3</v>
      </c>
    </row>
    <row r="689" spans="1:9" x14ac:dyDescent="0.25">
      <c r="A689" s="56" t="s">
        <v>6</v>
      </c>
      <c r="B689" s="58" t="s">
        <v>2</v>
      </c>
      <c r="C689" s="56" t="s">
        <v>6</v>
      </c>
      <c r="D689" s="56" t="s">
        <v>5</v>
      </c>
      <c r="E689" s="55">
        <v>32611</v>
      </c>
      <c r="F689" s="54">
        <f t="shared" ca="1" si="28"/>
        <v>27</v>
      </c>
      <c r="G689" s="53" t="s">
        <v>19</v>
      </c>
      <c r="H689" s="52">
        <v>32160</v>
      </c>
      <c r="I689" s="51">
        <v>3</v>
      </c>
    </row>
    <row r="690" spans="1:9" x14ac:dyDescent="0.25">
      <c r="A690" s="56" t="s">
        <v>6</v>
      </c>
      <c r="B690" s="58" t="s">
        <v>17</v>
      </c>
      <c r="C690" s="56" t="s">
        <v>6</v>
      </c>
      <c r="D690" s="56" t="s">
        <v>5</v>
      </c>
      <c r="E690" s="55">
        <v>32647</v>
      </c>
      <c r="F690" s="54">
        <f t="shared" ca="1" si="28"/>
        <v>27</v>
      </c>
      <c r="G690" s="53" t="s">
        <v>34</v>
      </c>
      <c r="H690" s="52">
        <v>59490</v>
      </c>
      <c r="I690" s="51">
        <v>3</v>
      </c>
    </row>
    <row r="691" spans="1:9" x14ac:dyDescent="0.25">
      <c r="A691" s="56" t="s">
        <v>6</v>
      </c>
      <c r="B691" s="58" t="s">
        <v>13</v>
      </c>
      <c r="C691" s="56" t="s">
        <v>6</v>
      </c>
      <c r="D691" s="56" t="s">
        <v>12</v>
      </c>
      <c r="E691" s="55">
        <v>32664</v>
      </c>
      <c r="F691" s="54">
        <f t="shared" ca="1" si="28"/>
        <v>27</v>
      </c>
      <c r="G691" s="53"/>
      <c r="H691" s="52">
        <v>70150</v>
      </c>
      <c r="I691" s="51">
        <v>2</v>
      </c>
    </row>
    <row r="692" spans="1:9" x14ac:dyDescent="0.25">
      <c r="A692" s="56" t="s">
        <v>6</v>
      </c>
      <c r="B692" s="58" t="s">
        <v>17</v>
      </c>
      <c r="C692" s="56" t="s">
        <v>6</v>
      </c>
      <c r="D692" s="56" t="s">
        <v>12</v>
      </c>
      <c r="E692" s="55">
        <v>32667</v>
      </c>
      <c r="F692" s="54">
        <f t="shared" ca="1" si="28"/>
        <v>27</v>
      </c>
      <c r="G692" s="53"/>
      <c r="H692" s="52">
        <v>63290</v>
      </c>
      <c r="I692" s="51">
        <v>5</v>
      </c>
    </row>
    <row r="693" spans="1:9" x14ac:dyDescent="0.25">
      <c r="A693" s="56" t="s">
        <v>6</v>
      </c>
      <c r="B693" s="58" t="s">
        <v>10</v>
      </c>
      <c r="C693" s="56" t="s">
        <v>6</v>
      </c>
      <c r="D693" s="56" t="s">
        <v>5</v>
      </c>
      <c r="E693" s="55">
        <v>32668</v>
      </c>
      <c r="F693" s="54">
        <f t="shared" ca="1" si="28"/>
        <v>27</v>
      </c>
      <c r="G693" s="53" t="s">
        <v>4</v>
      </c>
      <c r="H693" s="52">
        <v>46410</v>
      </c>
      <c r="I693" s="51">
        <v>2</v>
      </c>
    </row>
    <row r="694" spans="1:9" x14ac:dyDescent="0.25">
      <c r="A694" s="56" t="s">
        <v>6</v>
      </c>
      <c r="B694" s="58" t="s">
        <v>13</v>
      </c>
      <c r="C694" s="56" t="s">
        <v>6</v>
      </c>
      <c r="D694" s="56" t="s">
        <v>15</v>
      </c>
      <c r="E694" s="55">
        <v>32695</v>
      </c>
      <c r="F694" s="54">
        <f t="shared" ca="1" si="28"/>
        <v>27</v>
      </c>
      <c r="G694" s="53" t="s">
        <v>32</v>
      </c>
      <c r="H694" s="52">
        <v>19935</v>
      </c>
      <c r="I694" s="51">
        <v>1</v>
      </c>
    </row>
    <row r="695" spans="1:9" x14ac:dyDescent="0.25">
      <c r="A695" s="56" t="s">
        <v>6</v>
      </c>
      <c r="B695" s="58" t="s">
        <v>17</v>
      </c>
      <c r="C695" s="56" t="s">
        <v>6</v>
      </c>
      <c r="D695" s="56" t="s">
        <v>15</v>
      </c>
      <c r="E695" s="55">
        <v>32732</v>
      </c>
      <c r="F695" s="54">
        <f t="shared" ca="1" si="28"/>
        <v>27</v>
      </c>
      <c r="G695" s="53" t="s">
        <v>19</v>
      </c>
      <c r="H695" s="52">
        <v>27710</v>
      </c>
      <c r="I695" s="51">
        <v>3</v>
      </c>
    </row>
    <row r="696" spans="1:9" x14ac:dyDescent="0.25">
      <c r="A696" s="56" t="s">
        <v>6</v>
      </c>
      <c r="B696" s="58" t="s">
        <v>13</v>
      </c>
      <c r="C696" s="56" t="s">
        <v>6</v>
      </c>
      <c r="D696" s="56" t="s">
        <v>12</v>
      </c>
      <c r="E696" s="55">
        <v>32816</v>
      </c>
      <c r="F696" s="54">
        <f t="shared" ca="1" si="28"/>
        <v>26</v>
      </c>
      <c r="G696" s="53"/>
      <c r="H696" s="52">
        <v>75550</v>
      </c>
      <c r="I696" s="51">
        <v>3</v>
      </c>
    </row>
    <row r="697" spans="1:9" x14ac:dyDescent="0.25">
      <c r="A697" s="56" t="s">
        <v>6</v>
      </c>
      <c r="B697" s="58" t="s">
        <v>10</v>
      </c>
      <c r="C697" s="56" t="s">
        <v>6</v>
      </c>
      <c r="D697" s="56" t="s">
        <v>12</v>
      </c>
      <c r="E697" s="55">
        <v>32825</v>
      </c>
      <c r="F697" s="54">
        <f t="shared" ca="1" si="28"/>
        <v>26</v>
      </c>
      <c r="G697" s="53"/>
      <c r="H697" s="52">
        <v>78590</v>
      </c>
      <c r="I697" s="51">
        <v>1</v>
      </c>
    </row>
    <row r="698" spans="1:9" x14ac:dyDescent="0.25">
      <c r="A698" s="56" t="s">
        <v>6</v>
      </c>
      <c r="B698" s="58" t="s">
        <v>13</v>
      </c>
      <c r="C698" s="56" t="s">
        <v>6</v>
      </c>
      <c r="D698" s="56" t="s">
        <v>15</v>
      </c>
      <c r="E698" s="55">
        <v>32830</v>
      </c>
      <c r="F698" s="54">
        <f t="shared" ca="1" si="28"/>
        <v>26</v>
      </c>
      <c r="G698" s="53" t="s">
        <v>8</v>
      </c>
      <c r="H698" s="52">
        <v>11230</v>
      </c>
      <c r="I698" s="51">
        <v>4</v>
      </c>
    </row>
    <row r="699" spans="1:9" x14ac:dyDescent="0.25">
      <c r="A699" s="56" t="s">
        <v>6</v>
      </c>
      <c r="B699" s="58" t="s">
        <v>17</v>
      </c>
      <c r="C699" s="56" t="s">
        <v>6</v>
      </c>
      <c r="D699" s="56" t="s">
        <v>15</v>
      </c>
      <c r="E699" s="55">
        <v>32844</v>
      </c>
      <c r="F699" s="54">
        <f t="shared" ca="1" si="28"/>
        <v>26</v>
      </c>
      <c r="G699" s="53" t="s">
        <v>32</v>
      </c>
      <c r="H699" s="52">
        <v>49545</v>
      </c>
      <c r="I699" s="51">
        <v>2</v>
      </c>
    </row>
    <row r="700" spans="1:9" x14ac:dyDescent="0.25">
      <c r="A700" s="56" t="s">
        <v>6</v>
      </c>
      <c r="B700" s="58" t="s">
        <v>10</v>
      </c>
      <c r="C700" s="56" t="s">
        <v>6</v>
      </c>
      <c r="D700" s="56" t="s">
        <v>12</v>
      </c>
      <c r="E700" s="55">
        <v>32849</v>
      </c>
      <c r="F700" s="54">
        <f t="shared" ca="1" si="28"/>
        <v>26</v>
      </c>
      <c r="G700" s="53"/>
      <c r="H700" s="52">
        <v>35240</v>
      </c>
      <c r="I700" s="51">
        <v>3</v>
      </c>
    </row>
    <row r="701" spans="1:9" x14ac:dyDescent="0.25">
      <c r="A701" s="56" t="s">
        <v>6</v>
      </c>
      <c r="B701" s="58" t="s">
        <v>13</v>
      </c>
      <c r="C701" s="56" t="s">
        <v>6</v>
      </c>
      <c r="D701" s="56" t="s">
        <v>5</v>
      </c>
      <c r="E701" s="55">
        <v>32976</v>
      </c>
      <c r="F701" s="54">
        <f t="shared" ca="1" si="28"/>
        <v>26</v>
      </c>
      <c r="G701" s="53" t="s">
        <v>4</v>
      </c>
      <c r="H701" s="52">
        <v>87220</v>
      </c>
      <c r="I701" s="51">
        <v>1</v>
      </c>
    </row>
    <row r="702" spans="1:9" x14ac:dyDescent="0.25">
      <c r="A702" s="56" t="s">
        <v>6</v>
      </c>
      <c r="B702" s="58" t="s">
        <v>17</v>
      </c>
      <c r="C702" s="56" t="s">
        <v>6</v>
      </c>
      <c r="D702" s="56" t="s">
        <v>5</v>
      </c>
      <c r="E702" s="55">
        <v>33115</v>
      </c>
      <c r="F702" s="54">
        <f t="shared" ca="1" si="28"/>
        <v>26</v>
      </c>
      <c r="G702" s="53" t="s">
        <v>4</v>
      </c>
      <c r="H702" s="52">
        <v>73850</v>
      </c>
      <c r="I702" s="51">
        <v>2</v>
      </c>
    </row>
    <row r="703" spans="1:9" x14ac:dyDescent="0.25">
      <c r="A703" s="56" t="s">
        <v>6</v>
      </c>
      <c r="B703" s="58" t="s">
        <v>13</v>
      </c>
      <c r="C703" s="56" t="s">
        <v>6</v>
      </c>
      <c r="D703" s="56" t="s">
        <v>12</v>
      </c>
      <c r="E703" s="55">
        <v>33224</v>
      </c>
      <c r="F703" s="54">
        <f t="shared" ca="1" si="28"/>
        <v>25</v>
      </c>
      <c r="G703" s="53"/>
      <c r="H703" s="52">
        <v>45105</v>
      </c>
      <c r="I703" s="51">
        <v>1</v>
      </c>
    </row>
    <row r="704" spans="1:9" x14ac:dyDescent="0.25">
      <c r="A704" s="56" t="s">
        <v>6</v>
      </c>
      <c r="B704" s="58" t="s">
        <v>17</v>
      </c>
      <c r="C704" s="56" t="s">
        <v>6</v>
      </c>
      <c r="D704" s="56" t="s">
        <v>5</v>
      </c>
      <c r="E704" s="55">
        <v>33360</v>
      </c>
      <c r="F704" s="54">
        <f t="shared" ca="1" si="28"/>
        <v>25</v>
      </c>
      <c r="G704" s="53" t="s">
        <v>32</v>
      </c>
      <c r="H704" s="52">
        <v>69510</v>
      </c>
      <c r="I704" s="51">
        <v>5</v>
      </c>
    </row>
    <row r="705" spans="1:9" x14ac:dyDescent="0.25">
      <c r="A705" s="56" t="s">
        <v>6</v>
      </c>
      <c r="B705" s="58" t="s">
        <v>17</v>
      </c>
      <c r="C705" s="56" t="s">
        <v>6</v>
      </c>
      <c r="D705" s="56" t="s">
        <v>12</v>
      </c>
      <c r="E705" s="55">
        <v>33413</v>
      </c>
      <c r="F705" s="54">
        <f t="shared" ca="1" si="28"/>
        <v>25</v>
      </c>
      <c r="G705" s="53"/>
      <c r="H705" s="52">
        <v>64263</v>
      </c>
      <c r="I705" s="51">
        <v>3</v>
      </c>
    </row>
    <row r="706" spans="1:9" x14ac:dyDescent="0.25">
      <c r="A706" s="56" t="s">
        <v>6</v>
      </c>
      <c r="B706" s="58" t="s">
        <v>13</v>
      </c>
      <c r="C706" s="56" t="s">
        <v>6</v>
      </c>
      <c r="D706" s="56" t="s">
        <v>0</v>
      </c>
      <c r="E706" s="55">
        <v>33515</v>
      </c>
      <c r="F706" s="54">
        <f t="shared" ca="1" si="28"/>
        <v>25</v>
      </c>
      <c r="G706" s="53"/>
      <c r="H706" s="52">
        <v>26944</v>
      </c>
      <c r="I706" s="51">
        <v>4</v>
      </c>
    </row>
    <row r="707" spans="1:9" x14ac:dyDescent="0.25">
      <c r="A707" s="56" t="s">
        <v>6</v>
      </c>
      <c r="B707" s="58" t="s">
        <v>39</v>
      </c>
      <c r="C707" s="56" t="s">
        <v>6</v>
      </c>
      <c r="D707" s="56" t="s">
        <v>15</v>
      </c>
      <c r="E707" s="55">
        <v>33650</v>
      </c>
      <c r="F707" s="54">
        <f t="shared" ca="1" si="28"/>
        <v>24</v>
      </c>
      <c r="G707" s="53" t="s">
        <v>8</v>
      </c>
      <c r="H707" s="52">
        <v>23000</v>
      </c>
      <c r="I707" s="51">
        <v>4</v>
      </c>
    </row>
    <row r="708" spans="1:9" x14ac:dyDescent="0.25">
      <c r="A708" s="56" t="s">
        <v>6</v>
      </c>
      <c r="B708" s="58" t="s">
        <v>13</v>
      </c>
      <c r="C708" s="56" t="s">
        <v>6</v>
      </c>
      <c r="D708" s="56" t="s">
        <v>5</v>
      </c>
      <c r="E708" s="55">
        <v>33742</v>
      </c>
      <c r="F708" s="54">
        <f t="shared" ref="F708:F739" ca="1" si="29">DATEDIF(E708,TODAY(),"Y")</f>
        <v>24</v>
      </c>
      <c r="G708" s="53" t="s">
        <v>19</v>
      </c>
      <c r="H708" s="52">
        <v>64780</v>
      </c>
      <c r="I708" s="51">
        <v>5</v>
      </c>
    </row>
    <row r="709" spans="1:9" x14ac:dyDescent="0.25">
      <c r="A709" s="56" t="s">
        <v>6</v>
      </c>
      <c r="B709" s="58" t="s">
        <v>13</v>
      </c>
      <c r="C709" s="56" t="s">
        <v>6</v>
      </c>
      <c r="D709" s="56" t="s">
        <v>5</v>
      </c>
      <c r="E709" s="55">
        <v>33742</v>
      </c>
      <c r="F709" s="54">
        <f t="shared" ca="1" si="29"/>
        <v>24</v>
      </c>
      <c r="G709" s="53" t="s">
        <v>19</v>
      </c>
      <c r="H709" s="52">
        <v>64780</v>
      </c>
      <c r="I709" s="51">
        <v>5</v>
      </c>
    </row>
    <row r="710" spans="1:9" x14ac:dyDescent="0.25">
      <c r="A710" s="56" t="s">
        <v>6</v>
      </c>
      <c r="B710" s="58" t="s">
        <v>13</v>
      </c>
      <c r="C710" s="56" t="s">
        <v>6</v>
      </c>
      <c r="D710" s="56" t="s">
        <v>5</v>
      </c>
      <c r="E710" s="55">
        <v>33827</v>
      </c>
      <c r="F710" s="54">
        <f t="shared" ca="1" si="29"/>
        <v>24</v>
      </c>
      <c r="G710" s="53" t="s">
        <v>4</v>
      </c>
      <c r="H710" s="52">
        <v>33590</v>
      </c>
      <c r="I710" s="51">
        <v>5</v>
      </c>
    </row>
    <row r="711" spans="1:9" x14ac:dyDescent="0.25">
      <c r="A711" s="56" t="s">
        <v>6</v>
      </c>
      <c r="B711" s="58" t="s">
        <v>13</v>
      </c>
      <c r="C711" s="56" t="s">
        <v>6</v>
      </c>
      <c r="D711" s="56" t="s">
        <v>0</v>
      </c>
      <c r="E711" s="55">
        <v>33937</v>
      </c>
      <c r="F711" s="54">
        <f t="shared" ca="1" si="29"/>
        <v>23</v>
      </c>
      <c r="G711" s="53"/>
      <c r="H711" s="52">
        <v>33752</v>
      </c>
      <c r="I711" s="51">
        <v>3</v>
      </c>
    </row>
    <row r="712" spans="1:9" x14ac:dyDescent="0.25">
      <c r="A712" s="56" t="s">
        <v>6</v>
      </c>
      <c r="B712" s="58" t="s">
        <v>13</v>
      </c>
      <c r="C712" s="56" t="s">
        <v>6</v>
      </c>
      <c r="D712" s="56" t="s">
        <v>5</v>
      </c>
      <c r="E712" s="55">
        <v>33966</v>
      </c>
      <c r="F712" s="54">
        <f t="shared" ca="1" si="29"/>
        <v>23</v>
      </c>
      <c r="G712" s="53" t="s">
        <v>32</v>
      </c>
      <c r="H712" s="52">
        <v>58370</v>
      </c>
      <c r="I712" s="51">
        <v>5</v>
      </c>
    </row>
    <row r="713" spans="1:9" x14ac:dyDescent="0.25">
      <c r="A713" s="56" t="s">
        <v>6</v>
      </c>
      <c r="B713" s="58" t="s">
        <v>10</v>
      </c>
      <c r="C713" s="56" t="s">
        <v>6</v>
      </c>
      <c r="D713" s="56" t="s">
        <v>12</v>
      </c>
      <c r="E713" s="55">
        <v>33970</v>
      </c>
      <c r="F713" s="54">
        <f t="shared" ca="1" si="29"/>
        <v>23</v>
      </c>
      <c r="G713" s="53"/>
      <c r="H713" s="52">
        <v>41770</v>
      </c>
      <c r="I713" s="51">
        <v>5</v>
      </c>
    </row>
    <row r="714" spans="1:9" x14ac:dyDescent="0.25">
      <c r="A714" s="56" t="s">
        <v>6</v>
      </c>
      <c r="B714" s="58" t="s">
        <v>2</v>
      </c>
      <c r="C714" s="56" t="s">
        <v>6</v>
      </c>
      <c r="D714" s="56" t="s">
        <v>15</v>
      </c>
      <c r="E714" s="55">
        <v>33987</v>
      </c>
      <c r="F714" s="54">
        <f t="shared" ca="1" si="29"/>
        <v>23</v>
      </c>
      <c r="G714" s="53" t="s">
        <v>4</v>
      </c>
      <c r="H714" s="52">
        <v>38105</v>
      </c>
      <c r="I714" s="51">
        <v>2</v>
      </c>
    </row>
    <row r="715" spans="1:9" x14ac:dyDescent="0.25">
      <c r="A715" s="56" t="s">
        <v>6</v>
      </c>
      <c r="B715" s="58" t="s">
        <v>56</v>
      </c>
      <c r="C715" s="56" t="s">
        <v>6</v>
      </c>
      <c r="D715" s="56" t="s">
        <v>5</v>
      </c>
      <c r="E715" s="55">
        <v>33997</v>
      </c>
      <c r="F715" s="54">
        <f t="shared" ca="1" si="29"/>
        <v>23</v>
      </c>
      <c r="G715" s="53" t="s">
        <v>32</v>
      </c>
      <c r="H715" s="52">
        <v>31690</v>
      </c>
      <c r="I715" s="51">
        <v>4</v>
      </c>
    </row>
    <row r="716" spans="1:9" x14ac:dyDescent="0.25">
      <c r="A716" s="56" t="s">
        <v>6</v>
      </c>
      <c r="B716" s="58" t="s">
        <v>10</v>
      </c>
      <c r="C716" s="56" t="s">
        <v>6</v>
      </c>
      <c r="D716" s="56" t="s">
        <v>12</v>
      </c>
      <c r="E716" s="55">
        <v>34028</v>
      </c>
      <c r="F716" s="54">
        <f t="shared" ca="1" si="29"/>
        <v>23</v>
      </c>
      <c r="G716" s="53"/>
      <c r="H716" s="52">
        <v>87830</v>
      </c>
      <c r="I716" s="51">
        <v>2</v>
      </c>
    </row>
    <row r="717" spans="1:9" x14ac:dyDescent="0.25">
      <c r="A717" s="56" t="s">
        <v>6</v>
      </c>
      <c r="B717" s="58" t="s">
        <v>17</v>
      </c>
      <c r="C717" s="56" t="s">
        <v>6</v>
      </c>
      <c r="D717" s="56" t="s">
        <v>5</v>
      </c>
      <c r="E717" s="55">
        <v>34054</v>
      </c>
      <c r="F717" s="54">
        <f t="shared" ca="1" si="29"/>
        <v>23</v>
      </c>
      <c r="G717" s="53" t="s">
        <v>32</v>
      </c>
      <c r="H717" s="52">
        <v>27130</v>
      </c>
      <c r="I717" s="51">
        <v>5</v>
      </c>
    </row>
    <row r="718" spans="1:9" x14ac:dyDescent="0.25">
      <c r="A718" s="56" t="s">
        <v>6</v>
      </c>
      <c r="B718" s="58" t="s">
        <v>13</v>
      </c>
      <c r="C718" s="56" t="s">
        <v>6</v>
      </c>
      <c r="D718" s="56" t="s">
        <v>15</v>
      </c>
      <c r="E718" s="55">
        <v>34156</v>
      </c>
      <c r="F718" s="54">
        <f t="shared" ca="1" si="29"/>
        <v>23</v>
      </c>
      <c r="G718" s="53" t="s">
        <v>34</v>
      </c>
      <c r="H718" s="52">
        <v>37660</v>
      </c>
      <c r="I718" s="51">
        <v>4</v>
      </c>
    </row>
    <row r="719" spans="1:9" x14ac:dyDescent="0.25">
      <c r="A719" s="56" t="s">
        <v>6</v>
      </c>
      <c r="B719" s="58" t="s">
        <v>39</v>
      </c>
      <c r="C719" s="56" t="s">
        <v>6</v>
      </c>
      <c r="D719" s="56" t="s">
        <v>15</v>
      </c>
      <c r="E719" s="55">
        <v>34208</v>
      </c>
      <c r="F719" s="54">
        <f t="shared" ca="1" si="29"/>
        <v>23</v>
      </c>
      <c r="G719" s="53" t="s">
        <v>34</v>
      </c>
      <c r="H719" s="52">
        <v>13690</v>
      </c>
      <c r="I719" s="51">
        <v>5</v>
      </c>
    </row>
    <row r="720" spans="1:9" x14ac:dyDescent="0.25">
      <c r="A720" s="56" t="s">
        <v>6</v>
      </c>
      <c r="B720" s="58" t="s">
        <v>13</v>
      </c>
      <c r="C720" s="56" t="s">
        <v>6</v>
      </c>
      <c r="D720" s="56" t="s">
        <v>0</v>
      </c>
      <c r="E720" s="55">
        <v>34266</v>
      </c>
      <c r="F720" s="54">
        <f t="shared" ca="1" si="29"/>
        <v>23</v>
      </c>
      <c r="G720" s="53"/>
      <c r="H720" s="52">
        <v>28768</v>
      </c>
      <c r="I720" s="51">
        <v>3</v>
      </c>
    </row>
    <row r="721" spans="1:9" x14ac:dyDescent="0.25">
      <c r="A721" s="56" t="s">
        <v>6</v>
      </c>
      <c r="B721" s="58" t="s">
        <v>13</v>
      </c>
      <c r="C721" s="56" t="s">
        <v>6</v>
      </c>
      <c r="D721" s="56" t="s">
        <v>5</v>
      </c>
      <c r="E721" s="55">
        <v>34317</v>
      </c>
      <c r="F721" s="54">
        <f t="shared" ca="1" si="29"/>
        <v>22</v>
      </c>
      <c r="G721" s="53" t="s">
        <v>4</v>
      </c>
      <c r="H721" s="52">
        <v>41380</v>
      </c>
      <c r="I721" s="51">
        <v>2</v>
      </c>
    </row>
    <row r="722" spans="1:9" x14ac:dyDescent="0.25">
      <c r="A722" s="56" t="s">
        <v>6</v>
      </c>
      <c r="B722" s="58" t="s">
        <v>2</v>
      </c>
      <c r="C722" s="56" t="s">
        <v>6</v>
      </c>
      <c r="D722" s="56" t="s">
        <v>5</v>
      </c>
      <c r="E722" s="55">
        <v>34466</v>
      </c>
      <c r="F722" s="54">
        <f t="shared" ca="1" si="29"/>
        <v>22</v>
      </c>
      <c r="G722" s="53" t="s">
        <v>32</v>
      </c>
      <c r="H722" s="52">
        <v>86320</v>
      </c>
      <c r="I722" s="51">
        <v>4</v>
      </c>
    </row>
    <row r="723" spans="1:9" x14ac:dyDescent="0.25">
      <c r="A723" s="56" t="s">
        <v>6</v>
      </c>
      <c r="B723" s="58" t="s">
        <v>13</v>
      </c>
      <c r="C723" s="56" t="s">
        <v>6</v>
      </c>
      <c r="D723" s="56" t="s">
        <v>12</v>
      </c>
      <c r="E723" s="55">
        <v>34516</v>
      </c>
      <c r="F723" s="54">
        <f t="shared" ca="1" si="29"/>
        <v>22</v>
      </c>
      <c r="G723" s="53"/>
      <c r="H723" s="52">
        <v>45030</v>
      </c>
      <c r="I723" s="51">
        <v>3</v>
      </c>
    </row>
    <row r="724" spans="1:9" x14ac:dyDescent="0.25">
      <c r="A724" s="56" t="s">
        <v>6</v>
      </c>
      <c r="B724" s="58" t="s">
        <v>13</v>
      </c>
      <c r="C724" s="56" t="s">
        <v>6</v>
      </c>
      <c r="D724" s="56" t="s">
        <v>5</v>
      </c>
      <c r="E724" s="55">
        <v>34715</v>
      </c>
      <c r="F724" s="54">
        <f t="shared" ca="1" si="29"/>
        <v>21</v>
      </c>
      <c r="G724" s="53" t="s">
        <v>34</v>
      </c>
      <c r="H724" s="52">
        <v>64470</v>
      </c>
      <c r="I724" s="51">
        <v>5</v>
      </c>
    </row>
    <row r="725" spans="1:9" x14ac:dyDescent="0.25">
      <c r="A725" s="56" t="s">
        <v>6</v>
      </c>
      <c r="B725" s="58" t="s">
        <v>10</v>
      </c>
      <c r="C725" s="56" t="s">
        <v>6</v>
      </c>
      <c r="D725" s="56" t="s">
        <v>15</v>
      </c>
      <c r="E725" s="55">
        <v>34743</v>
      </c>
      <c r="F725" s="54">
        <f t="shared" ca="1" si="29"/>
        <v>21</v>
      </c>
      <c r="G725" s="53" t="s">
        <v>8</v>
      </c>
      <c r="H725" s="52">
        <v>46105</v>
      </c>
      <c r="I725" s="51">
        <v>5</v>
      </c>
    </row>
    <row r="726" spans="1:9" x14ac:dyDescent="0.25">
      <c r="A726" s="56" t="s">
        <v>6</v>
      </c>
      <c r="B726" s="58" t="s">
        <v>56</v>
      </c>
      <c r="C726" s="56" t="s">
        <v>6</v>
      </c>
      <c r="D726" s="56" t="s">
        <v>5</v>
      </c>
      <c r="E726" s="55">
        <v>34770</v>
      </c>
      <c r="F726" s="54">
        <f t="shared" ca="1" si="29"/>
        <v>21</v>
      </c>
      <c r="G726" s="53" t="s">
        <v>4</v>
      </c>
      <c r="H726" s="52">
        <v>48410</v>
      </c>
      <c r="I726" s="51">
        <v>5</v>
      </c>
    </row>
    <row r="727" spans="1:9" x14ac:dyDescent="0.25">
      <c r="A727" s="56" t="s">
        <v>6</v>
      </c>
      <c r="B727" s="58" t="s">
        <v>39</v>
      </c>
      <c r="C727" s="56" t="s">
        <v>6</v>
      </c>
      <c r="D727" s="56" t="s">
        <v>12</v>
      </c>
      <c r="E727" s="55">
        <v>34883</v>
      </c>
      <c r="F727" s="54">
        <f t="shared" ca="1" si="29"/>
        <v>21</v>
      </c>
      <c r="G727" s="53"/>
      <c r="H727" s="52">
        <v>58250</v>
      </c>
      <c r="I727" s="51">
        <v>2</v>
      </c>
    </row>
    <row r="728" spans="1:9" x14ac:dyDescent="0.25">
      <c r="A728" s="56" t="s">
        <v>6</v>
      </c>
      <c r="B728" s="58" t="s">
        <v>10</v>
      </c>
      <c r="C728" s="56" t="s">
        <v>6</v>
      </c>
      <c r="D728" s="56" t="s">
        <v>5</v>
      </c>
      <c r="E728" s="55">
        <v>34933</v>
      </c>
      <c r="F728" s="54">
        <f t="shared" ca="1" si="29"/>
        <v>21</v>
      </c>
      <c r="G728" s="53" t="s">
        <v>8</v>
      </c>
      <c r="H728" s="52">
        <v>77680</v>
      </c>
      <c r="I728" s="51">
        <v>3</v>
      </c>
    </row>
    <row r="729" spans="1:9" x14ac:dyDescent="0.25">
      <c r="A729" s="56" t="s">
        <v>6</v>
      </c>
      <c r="B729" s="58" t="s">
        <v>17</v>
      </c>
      <c r="C729" s="56" t="s">
        <v>6</v>
      </c>
      <c r="D729" s="56" t="s">
        <v>5</v>
      </c>
      <c r="E729" s="55">
        <v>35020</v>
      </c>
      <c r="F729" s="54">
        <f t="shared" ca="1" si="29"/>
        <v>20</v>
      </c>
      <c r="G729" s="53" t="s">
        <v>8</v>
      </c>
      <c r="H729" s="52">
        <v>61850</v>
      </c>
      <c r="I729" s="51">
        <v>2</v>
      </c>
    </row>
    <row r="730" spans="1:9" x14ac:dyDescent="0.25">
      <c r="A730" s="56" t="s">
        <v>6</v>
      </c>
      <c r="B730" s="58" t="s">
        <v>56</v>
      </c>
      <c r="C730" s="56" t="s">
        <v>6</v>
      </c>
      <c r="D730" s="56" t="s">
        <v>15</v>
      </c>
      <c r="E730" s="55">
        <v>35055</v>
      </c>
      <c r="F730" s="54">
        <f t="shared" ca="1" si="29"/>
        <v>20</v>
      </c>
      <c r="G730" s="53" t="s">
        <v>19</v>
      </c>
      <c r="H730" s="52">
        <v>19825</v>
      </c>
      <c r="I730" s="51">
        <v>2</v>
      </c>
    </row>
    <row r="731" spans="1:9" x14ac:dyDescent="0.25">
      <c r="A731" s="56" t="s">
        <v>6</v>
      </c>
      <c r="B731" s="58" t="s">
        <v>2</v>
      </c>
      <c r="C731" s="56" t="s">
        <v>6</v>
      </c>
      <c r="D731" s="56" t="s">
        <v>0</v>
      </c>
      <c r="E731" s="55">
        <v>35148</v>
      </c>
      <c r="F731" s="54">
        <f t="shared" ca="1" si="29"/>
        <v>20</v>
      </c>
      <c r="G731" s="53"/>
      <c r="H731" s="52">
        <v>32536</v>
      </c>
      <c r="I731" s="51">
        <v>2</v>
      </c>
    </row>
    <row r="732" spans="1:9" x14ac:dyDescent="0.25">
      <c r="A732" s="56" t="s">
        <v>6</v>
      </c>
      <c r="B732" s="58" t="s">
        <v>13</v>
      </c>
      <c r="C732" s="56" t="s">
        <v>6</v>
      </c>
      <c r="D732" s="56" t="s">
        <v>15</v>
      </c>
      <c r="E732" s="55">
        <v>35152</v>
      </c>
      <c r="F732" s="54">
        <f t="shared" ca="1" si="29"/>
        <v>20</v>
      </c>
      <c r="G732" s="53" t="s">
        <v>4</v>
      </c>
      <c r="H732" s="52">
        <v>26185</v>
      </c>
      <c r="I732" s="51">
        <v>5</v>
      </c>
    </row>
    <row r="733" spans="1:9" x14ac:dyDescent="0.25">
      <c r="A733" s="56" t="s">
        <v>6</v>
      </c>
      <c r="B733" s="58" t="s">
        <v>13</v>
      </c>
      <c r="C733" s="56" t="s">
        <v>6</v>
      </c>
      <c r="D733" s="56" t="s">
        <v>5</v>
      </c>
      <c r="E733" s="55">
        <v>35239</v>
      </c>
      <c r="F733" s="54">
        <f t="shared" ca="1" si="29"/>
        <v>20</v>
      </c>
      <c r="G733" s="53" t="s">
        <v>4</v>
      </c>
      <c r="H733" s="52">
        <v>35460</v>
      </c>
      <c r="I733" s="51">
        <v>1</v>
      </c>
    </row>
    <row r="734" spans="1:9" x14ac:dyDescent="0.25">
      <c r="A734" s="56" t="s">
        <v>6</v>
      </c>
      <c r="B734" s="58" t="s">
        <v>13</v>
      </c>
      <c r="C734" s="56" t="s">
        <v>6</v>
      </c>
      <c r="D734" s="56" t="s">
        <v>5</v>
      </c>
      <c r="E734" s="55">
        <v>35309</v>
      </c>
      <c r="F734" s="54">
        <f t="shared" ca="1" si="29"/>
        <v>20</v>
      </c>
      <c r="G734" s="53" t="s">
        <v>34</v>
      </c>
      <c r="H734" s="52">
        <v>71970</v>
      </c>
      <c r="I734" s="51">
        <v>4</v>
      </c>
    </row>
    <row r="735" spans="1:9" x14ac:dyDescent="0.25">
      <c r="A735" s="56" t="s">
        <v>6</v>
      </c>
      <c r="B735" s="58" t="s">
        <v>13</v>
      </c>
      <c r="C735" s="56" t="s">
        <v>6</v>
      </c>
      <c r="D735" s="56" t="s">
        <v>5</v>
      </c>
      <c r="E735" s="55">
        <v>35362</v>
      </c>
      <c r="F735" s="54">
        <f t="shared" ca="1" si="29"/>
        <v>20</v>
      </c>
      <c r="G735" s="53" t="s">
        <v>34</v>
      </c>
      <c r="H735" s="52">
        <v>65320</v>
      </c>
      <c r="I735" s="51">
        <v>5</v>
      </c>
    </row>
    <row r="736" spans="1:9" x14ac:dyDescent="0.25">
      <c r="A736" s="56" t="s">
        <v>6</v>
      </c>
      <c r="B736" s="58" t="s">
        <v>56</v>
      </c>
      <c r="C736" s="56" t="s">
        <v>6</v>
      </c>
      <c r="D736" s="56" t="s">
        <v>5</v>
      </c>
      <c r="E736" s="55">
        <v>35533</v>
      </c>
      <c r="F736" s="54">
        <f t="shared" ca="1" si="29"/>
        <v>19</v>
      </c>
      <c r="G736" s="53" t="s">
        <v>4</v>
      </c>
      <c r="H736" s="52">
        <v>47630</v>
      </c>
      <c r="I736" s="51">
        <v>3</v>
      </c>
    </row>
    <row r="737" spans="1:9" x14ac:dyDescent="0.25">
      <c r="A737" s="56" t="s">
        <v>6</v>
      </c>
      <c r="B737" s="58" t="s">
        <v>13</v>
      </c>
      <c r="C737" s="56" t="s">
        <v>6</v>
      </c>
      <c r="D737" s="56" t="s">
        <v>15</v>
      </c>
      <c r="E737" s="55">
        <v>35608</v>
      </c>
      <c r="F737" s="54">
        <f t="shared" ca="1" si="29"/>
        <v>19</v>
      </c>
      <c r="G737" s="53" t="s">
        <v>32</v>
      </c>
      <c r="H737" s="52">
        <v>17205</v>
      </c>
      <c r="I737" s="51">
        <v>5</v>
      </c>
    </row>
    <row r="738" spans="1:9" x14ac:dyDescent="0.25">
      <c r="A738" s="56" t="s">
        <v>6</v>
      </c>
      <c r="B738" s="58" t="s">
        <v>13</v>
      </c>
      <c r="C738" s="56" t="s">
        <v>6</v>
      </c>
      <c r="D738" s="56" t="s">
        <v>5</v>
      </c>
      <c r="E738" s="55">
        <v>35646</v>
      </c>
      <c r="F738" s="54">
        <f t="shared" ca="1" si="29"/>
        <v>19</v>
      </c>
      <c r="G738" s="53" t="s">
        <v>8</v>
      </c>
      <c r="H738" s="52">
        <v>49930</v>
      </c>
      <c r="I738" s="51">
        <v>1</v>
      </c>
    </row>
    <row r="739" spans="1:9" x14ac:dyDescent="0.25">
      <c r="A739" s="56" t="s">
        <v>6</v>
      </c>
      <c r="B739" s="58" t="s">
        <v>13</v>
      </c>
      <c r="C739" s="56" t="s">
        <v>6</v>
      </c>
      <c r="D739" s="56" t="s">
        <v>5</v>
      </c>
      <c r="E739" s="55">
        <v>35657</v>
      </c>
      <c r="F739" s="54">
        <f t="shared" ca="1" si="29"/>
        <v>19</v>
      </c>
      <c r="G739" s="53" t="s">
        <v>32</v>
      </c>
      <c r="H739" s="52">
        <v>63060</v>
      </c>
      <c r="I739" s="51">
        <v>4</v>
      </c>
    </row>
    <row r="740" spans="1:9" x14ac:dyDescent="0.25">
      <c r="A740" s="56" t="s">
        <v>6</v>
      </c>
      <c r="B740" s="58" t="s">
        <v>56</v>
      </c>
      <c r="C740" s="56" t="s">
        <v>6</v>
      </c>
      <c r="D740" s="56" t="s">
        <v>5</v>
      </c>
      <c r="E740" s="55">
        <v>35699</v>
      </c>
      <c r="F740" s="54">
        <f t="shared" ref="F740:F771" ca="1" si="30">DATEDIF(E740,TODAY(),"Y")</f>
        <v>19</v>
      </c>
      <c r="G740" s="53" t="s">
        <v>4</v>
      </c>
      <c r="H740" s="52">
        <v>78710</v>
      </c>
      <c r="I740" s="51">
        <v>2</v>
      </c>
    </row>
    <row r="741" spans="1:9" x14ac:dyDescent="0.25">
      <c r="A741" s="56" t="s">
        <v>6</v>
      </c>
      <c r="B741" s="58" t="s">
        <v>2</v>
      </c>
      <c r="C741" s="56" t="s">
        <v>6</v>
      </c>
      <c r="D741" s="56" t="s">
        <v>12</v>
      </c>
      <c r="E741" s="55">
        <v>35755</v>
      </c>
      <c r="F741" s="54">
        <f t="shared" ca="1" si="30"/>
        <v>18</v>
      </c>
      <c r="G741" s="53"/>
      <c r="H741" s="52">
        <v>77136</v>
      </c>
      <c r="I741" s="51">
        <v>5</v>
      </c>
    </row>
    <row r="742" spans="1:9" x14ac:dyDescent="0.25">
      <c r="A742" s="56" t="s">
        <v>6</v>
      </c>
      <c r="B742" s="58" t="s">
        <v>17</v>
      </c>
      <c r="C742" s="56" t="s">
        <v>6</v>
      </c>
      <c r="D742" s="56" t="s">
        <v>12</v>
      </c>
      <c r="E742" s="55">
        <v>35789</v>
      </c>
      <c r="F742" s="54">
        <f t="shared" ca="1" si="30"/>
        <v>18</v>
      </c>
      <c r="G742" s="53"/>
      <c r="H742" s="52">
        <v>28270</v>
      </c>
      <c r="I742" s="51">
        <v>5</v>
      </c>
    </row>
    <row r="743" spans="1:9" x14ac:dyDescent="0.25">
      <c r="A743" s="56" t="s">
        <v>6</v>
      </c>
      <c r="B743" s="58" t="s">
        <v>2</v>
      </c>
      <c r="C743" s="56" t="s">
        <v>6</v>
      </c>
      <c r="D743" s="56" t="s">
        <v>12</v>
      </c>
      <c r="E743" s="55">
        <v>35831</v>
      </c>
      <c r="F743" s="54">
        <f t="shared" ca="1" si="30"/>
        <v>18</v>
      </c>
      <c r="G743" s="53"/>
      <c r="H743" s="52">
        <v>25530</v>
      </c>
      <c r="I743" s="51">
        <v>3</v>
      </c>
    </row>
    <row r="744" spans="1:9" x14ac:dyDescent="0.25">
      <c r="A744" s="56" t="s">
        <v>6</v>
      </c>
      <c r="B744" s="58" t="s">
        <v>2</v>
      </c>
      <c r="C744" s="56" t="s">
        <v>6</v>
      </c>
      <c r="D744" s="56" t="s">
        <v>12</v>
      </c>
      <c r="E744" s="55">
        <v>36143</v>
      </c>
      <c r="F744" s="54">
        <f t="shared" ca="1" si="30"/>
        <v>17</v>
      </c>
      <c r="G744" s="53"/>
      <c r="H744" s="52">
        <v>49090</v>
      </c>
      <c r="I744" s="51">
        <v>4</v>
      </c>
    </row>
    <row r="745" spans="1:9" x14ac:dyDescent="0.25">
      <c r="A745" s="56" t="s">
        <v>6</v>
      </c>
      <c r="B745" s="58" t="s">
        <v>56</v>
      </c>
      <c r="C745" s="56" t="s">
        <v>6</v>
      </c>
      <c r="D745" s="56" t="s">
        <v>5</v>
      </c>
      <c r="E745" s="55">
        <v>36185</v>
      </c>
      <c r="F745" s="54">
        <f t="shared" ca="1" si="30"/>
        <v>17</v>
      </c>
      <c r="G745" s="53" t="s">
        <v>8</v>
      </c>
      <c r="H745" s="52">
        <v>60300</v>
      </c>
      <c r="I745" s="51">
        <v>2</v>
      </c>
    </row>
    <row r="746" spans="1:9" x14ac:dyDescent="0.25">
      <c r="A746" s="56" t="s">
        <v>6</v>
      </c>
      <c r="B746" s="58" t="s">
        <v>13</v>
      </c>
      <c r="C746" s="56" t="s">
        <v>6</v>
      </c>
      <c r="D746" s="56" t="s">
        <v>5</v>
      </c>
      <c r="E746" s="55">
        <v>36500</v>
      </c>
      <c r="F746" s="54">
        <f t="shared" ca="1" si="30"/>
        <v>16</v>
      </c>
      <c r="G746" s="53" t="s">
        <v>4</v>
      </c>
      <c r="H746" s="52">
        <v>48010</v>
      </c>
      <c r="I746" s="51">
        <v>3</v>
      </c>
    </row>
    <row r="747" spans="1:9" x14ac:dyDescent="0.25">
      <c r="A747" s="56" t="s">
        <v>6</v>
      </c>
      <c r="B747" s="58" t="s">
        <v>13</v>
      </c>
      <c r="C747" s="56" t="s">
        <v>6</v>
      </c>
      <c r="D747" s="56" t="s">
        <v>5</v>
      </c>
      <c r="E747" s="55">
        <v>37018</v>
      </c>
      <c r="F747" s="54">
        <f t="shared" ca="1" si="30"/>
        <v>15</v>
      </c>
      <c r="G747" s="53" t="s">
        <v>34</v>
      </c>
      <c r="H747" s="52">
        <v>48280</v>
      </c>
      <c r="I747" s="51">
        <v>4</v>
      </c>
    </row>
    <row r="748" spans="1:9" x14ac:dyDescent="0.25">
      <c r="A748" s="56" t="s">
        <v>6</v>
      </c>
      <c r="B748" s="58" t="s">
        <v>39</v>
      </c>
      <c r="C748" s="56" t="s">
        <v>6</v>
      </c>
      <c r="D748" s="56" t="s">
        <v>5</v>
      </c>
      <c r="E748" s="55">
        <v>37037</v>
      </c>
      <c r="F748" s="54">
        <f t="shared" ca="1" si="30"/>
        <v>15</v>
      </c>
      <c r="G748" s="53" t="s">
        <v>4</v>
      </c>
      <c r="H748" s="52">
        <v>81340</v>
      </c>
      <c r="I748" s="51">
        <v>2</v>
      </c>
    </row>
    <row r="749" spans="1:9" x14ac:dyDescent="0.25">
      <c r="A749" s="56" t="s">
        <v>6</v>
      </c>
      <c r="B749" s="58" t="s">
        <v>10</v>
      </c>
      <c r="C749" s="56" t="s">
        <v>6</v>
      </c>
      <c r="D749" s="56" t="s">
        <v>12</v>
      </c>
      <c r="E749" s="55">
        <v>37128</v>
      </c>
      <c r="F749" s="54">
        <f t="shared" ca="1" si="30"/>
        <v>15</v>
      </c>
      <c r="G749" s="53"/>
      <c r="H749" s="52">
        <v>32880</v>
      </c>
      <c r="I749" s="51">
        <v>3</v>
      </c>
    </row>
    <row r="750" spans="1:9" x14ac:dyDescent="0.25">
      <c r="A750" s="56" t="s">
        <v>6</v>
      </c>
      <c r="B750" s="58" t="s">
        <v>56</v>
      </c>
      <c r="C750" s="56" t="s">
        <v>6</v>
      </c>
      <c r="D750" s="56" t="s">
        <v>5</v>
      </c>
      <c r="E750" s="55">
        <v>37316</v>
      </c>
      <c r="F750" s="54">
        <f t="shared" ca="1" si="30"/>
        <v>14</v>
      </c>
      <c r="G750" s="53" t="s">
        <v>32</v>
      </c>
      <c r="H750" s="52">
        <v>44530</v>
      </c>
      <c r="I750" s="51">
        <v>2</v>
      </c>
    </row>
    <row r="751" spans="1:9" x14ac:dyDescent="0.25">
      <c r="A751" s="56" t="s">
        <v>6</v>
      </c>
      <c r="B751" s="58" t="s">
        <v>39</v>
      </c>
      <c r="C751" s="56" t="s">
        <v>6</v>
      </c>
      <c r="D751" s="56" t="s">
        <v>0</v>
      </c>
      <c r="E751" s="55">
        <v>37336</v>
      </c>
      <c r="F751" s="54">
        <f t="shared" ca="1" si="30"/>
        <v>14</v>
      </c>
      <c r="G751" s="53"/>
      <c r="H751" s="52">
        <v>37344</v>
      </c>
      <c r="I751" s="51">
        <v>2</v>
      </c>
    </row>
    <row r="752" spans="1:9" x14ac:dyDescent="0.25">
      <c r="A752" s="56" t="s">
        <v>6</v>
      </c>
      <c r="B752" s="58" t="s">
        <v>10</v>
      </c>
      <c r="C752" s="56" t="s">
        <v>6</v>
      </c>
      <c r="D752" s="56" t="s">
        <v>5</v>
      </c>
      <c r="E752" s="55">
        <v>37861</v>
      </c>
      <c r="F752" s="54">
        <f t="shared" ca="1" si="30"/>
        <v>13</v>
      </c>
      <c r="G752" s="53" t="s">
        <v>19</v>
      </c>
      <c r="H752" s="52">
        <v>25690</v>
      </c>
      <c r="I752" s="51">
        <v>2</v>
      </c>
    </row>
    <row r="753" spans="1:9" x14ac:dyDescent="0.25">
      <c r="A753" s="56" t="s">
        <v>6</v>
      </c>
      <c r="B753" s="58" t="s">
        <v>13</v>
      </c>
      <c r="C753" s="56" t="s">
        <v>6</v>
      </c>
      <c r="D753" s="56" t="s">
        <v>5</v>
      </c>
      <c r="E753" s="55">
        <v>37973</v>
      </c>
      <c r="F753" s="54">
        <f t="shared" ca="1" si="30"/>
        <v>12</v>
      </c>
      <c r="G753" s="53" t="s">
        <v>32</v>
      </c>
      <c r="H753" s="52">
        <v>24980</v>
      </c>
      <c r="I753" s="51">
        <v>3</v>
      </c>
    </row>
    <row r="754" spans="1:9" x14ac:dyDescent="0.25">
      <c r="A754" s="56" t="s">
        <v>6</v>
      </c>
      <c r="B754" s="58" t="s">
        <v>10</v>
      </c>
      <c r="C754" s="56" t="s">
        <v>6</v>
      </c>
      <c r="D754" s="56" t="s">
        <v>5</v>
      </c>
      <c r="E754" s="55">
        <v>38131</v>
      </c>
      <c r="F754" s="54">
        <f t="shared" ca="1" si="30"/>
        <v>12</v>
      </c>
      <c r="G754" s="53" t="s">
        <v>34</v>
      </c>
      <c r="H754" s="52">
        <v>68860</v>
      </c>
      <c r="I754" s="51">
        <v>2</v>
      </c>
    </row>
    <row r="755" spans="1:9" x14ac:dyDescent="0.25">
      <c r="A755" s="56" t="s">
        <v>6</v>
      </c>
      <c r="B755" s="58" t="s">
        <v>10</v>
      </c>
      <c r="C755" s="56" t="s">
        <v>6</v>
      </c>
      <c r="D755" s="56" t="s">
        <v>15</v>
      </c>
      <c r="E755" s="55">
        <v>38225</v>
      </c>
      <c r="F755" s="54">
        <f t="shared" ca="1" si="30"/>
        <v>12</v>
      </c>
      <c r="G755" s="53" t="s">
        <v>8</v>
      </c>
      <c r="H755" s="52">
        <v>49080</v>
      </c>
      <c r="I755" s="51">
        <v>5</v>
      </c>
    </row>
    <row r="756" spans="1:9" x14ac:dyDescent="0.25">
      <c r="A756" s="56" t="s">
        <v>6</v>
      </c>
      <c r="B756" s="58" t="s">
        <v>39</v>
      </c>
      <c r="C756" s="56" t="s">
        <v>6</v>
      </c>
      <c r="D756" s="56" t="s">
        <v>5</v>
      </c>
      <c r="E756" s="55">
        <v>38292</v>
      </c>
      <c r="F756" s="54">
        <f t="shared" ca="1" si="30"/>
        <v>12</v>
      </c>
      <c r="G756" s="53" t="s">
        <v>32</v>
      </c>
      <c r="H756" s="52">
        <v>79380</v>
      </c>
      <c r="I756" s="51">
        <v>5</v>
      </c>
    </row>
    <row r="757" spans="1:9" x14ac:dyDescent="0.25">
      <c r="A757" s="56" t="s">
        <v>6</v>
      </c>
      <c r="B757" s="58" t="s">
        <v>10</v>
      </c>
      <c r="C757" s="56" t="s">
        <v>6</v>
      </c>
      <c r="D757" s="56" t="s">
        <v>5</v>
      </c>
      <c r="E757" s="55">
        <v>38369</v>
      </c>
      <c r="F757" s="54">
        <f t="shared" ca="1" si="30"/>
        <v>11</v>
      </c>
      <c r="G757" s="53" t="s">
        <v>32</v>
      </c>
      <c r="H757" s="52">
        <v>22820</v>
      </c>
      <c r="I757" s="51">
        <v>5</v>
      </c>
    </row>
    <row r="758" spans="1:9" x14ac:dyDescent="0.25">
      <c r="A758" s="56" t="s">
        <v>6</v>
      </c>
      <c r="B758" s="58" t="s">
        <v>39</v>
      </c>
      <c r="C758" s="56" t="s">
        <v>6</v>
      </c>
      <c r="D758" s="56" t="s">
        <v>12</v>
      </c>
      <c r="E758" s="55">
        <v>38418</v>
      </c>
      <c r="F758" s="54">
        <f t="shared" ca="1" si="30"/>
        <v>11</v>
      </c>
      <c r="G758" s="53"/>
      <c r="H758" s="52">
        <v>86040</v>
      </c>
      <c r="I758" s="51">
        <v>5</v>
      </c>
    </row>
    <row r="759" spans="1:9" x14ac:dyDescent="0.25">
      <c r="A759" s="56" t="s">
        <v>6</v>
      </c>
      <c r="B759" s="58" t="s">
        <v>13</v>
      </c>
      <c r="C759" s="56" t="s">
        <v>6</v>
      </c>
      <c r="D759" s="56" t="s">
        <v>5</v>
      </c>
      <c r="E759" s="55">
        <v>38418</v>
      </c>
      <c r="F759" s="54">
        <f t="shared" ca="1" si="30"/>
        <v>11</v>
      </c>
      <c r="G759" s="53" t="s">
        <v>32</v>
      </c>
      <c r="H759" s="52">
        <v>82370</v>
      </c>
      <c r="I759" s="51">
        <v>5</v>
      </c>
    </row>
    <row r="760" spans="1:9" x14ac:dyDescent="0.25">
      <c r="A760" s="56" t="s">
        <v>6</v>
      </c>
      <c r="B760" s="58" t="s">
        <v>17</v>
      </c>
      <c r="C760" s="56" t="s">
        <v>6</v>
      </c>
      <c r="D760" s="56" t="s">
        <v>5</v>
      </c>
      <c r="E760" s="55">
        <v>38708</v>
      </c>
      <c r="F760" s="54">
        <f t="shared" ca="1" si="30"/>
        <v>10</v>
      </c>
      <c r="G760" s="53" t="s">
        <v>4</v>
      </c>
      <c r="H760" s="52">
        <v>34990</v>
      </c>
      <c r="I760" s="51">
        <v>3</v>
      </c>
    </row>
    <row r="761" spans="1:9" x14ac:dyDescent="0.25">
      <c r="A761" s="56" t="s">
        <v>6</v>
      </c>
      <c r="B761" s="58" t="s">
        <v>13</v>
      </c>
      <c r="C761" s="56" t="s">
        <v>6</v>
      </c>
      <c r="D761" s="56" t="s">
        <v>12</v>
      </c>
      <c r="E761" s="55">
        <v>38925</v>
      </c>
      <c r="F761" s="54">
        <f t="shared" ca="1" si="30"/>
        <v>10</v>
      </c>
      <c r="G761" s="53"/>
      <c r="H761" s="52">
        <v>80729</v>
      </c>
      <c r="I761" s="51">
        <v>3</v>
      </c>
    </row>
    <row r="762" spans="1:9" x14ac:dyDescent="0.25">
      <c r="A762" s="56" t="s">
        <v>6</v>
      </c>
      <c r="B762" s="58" t="s">
        <v>2</v>
      </c>
      <c r="C762" s="56" t="s">
        <v>6</v>
      </c>
      <c r="D762" s="56" t="s">
        <v>12</v>
      </c>
      <c r="E762" s="59">
        <v>39024</v>
      </c>
      <c r="F762" s="54">
        <f t="shared" ca="1" si="30"/>
        <v>9</v>
      </c>
      <c r="G762" s="53"/>
      <c r="H762" s="52">
        <v>47280</v>
      </c>
      <c r="I762" s="51">
        <v>1</v>
      </c>
    </row>
    <row r="763" spans="1:9" x14ac:dyDescent="0.25">
      <c r="A763" s="56" t="s">
        <v>6</v>
      </c>
      <c r="B763" s="58" t="s">
        <v>13</v>
      </c>
      <c r="C763" s="56" t="s">
        <v>6</v>
      </c>
      <c r="D763" s="56" t="s">
        <v>12</v>
      </c>
      <c r="E763" s="55">
        <v>39213</v>
      </c>
      <c r="F763" s="54">
        <f t="shared" ca="1" si="30"/>
        <v>9</v>
      </c>
      <c r="G763" s="53"/>
      <c r="H763" s="52">
        <v>46570</v>
      </c>
      <c r="I763" s="51">
        <v>4</v>
      </c>
    </row>
    <row r="764" spans="1:9" x14ac:dyDescent="0.25">
      <c r="A764" s="56" t="s">
        <v>6</v>
      </c>
      <c r="B764" s="58" t="s">
        <v>2</v>
      </c>
      <c r="C764" s="56" t="s">
        <v>6</v>
      </c>
      <c r="D764" s="56" t="s">
        <v>5</v>
      </c>
      <c r="E764" s="59">
        <v>39226</v>
      </c>
      <c r="F764" s="54">
        <f t="shared" ca="1" si="30"/>
        <v>9</v>
      </c>
      <c r="G764" s="53" t="s">
        <v>4</v>
      </c>
      <c r="H764" s="52">
        <v>70730</v>
      </c>
      <c r="I764" s="51">
        <v>1</v>
      </c>
    </row>
    <row r="765" spans="1:9" x14ac:dyDescent="0.25">
      <c r="A765" s="56" t="s">
        <v>6</v>
      </c>
      <c r="B765" s="58" t="s">
        <v>13</v>
      </c>
      <c r="C765" s="56" t="s">
        <v>6</v>
      </c>
      <c r="D765" s="56" t="s">
        <v>12</v>
      </c>
      <c r="E765" s="59">
        <v>39253</v>
      </c>
      <c r="F765" s="54">
        <f t="shared" ca="1" si="30"/>
        <v>9</v>
      </c>
      <c r="G765" s="53"/>
      <c r="H765" s="52">
        <v>55510</v>
      </c>
      <c r="I765" s="51">
        <v>3</v>
      </c>
    </row>
    <row r="766" spans="1:9" x14ac:dyDescent="0.25">
      <c r="A766" s="56" t="s">
        <v>6</v>
      </c>
      <c r="B766" s="58" t="s">
        <v>13</v>
      </c>
      <c r="C766" s="56" t="s">
        <v>6</v>
      </c>
      <c r="D766" s="56" t="s">
        <v>5</v>
      </c>
      <c r="E766" s="55">
        <v>39258</v>
      </c>
      <c r="F766" s="54">
        <f t="shared" ca="1" si="30"/>
        <v>9</v>
      </c>
      <c r="G766" s="53" t="s">
        <v>32</v>
      </c>
      <c r="H766" s="52">
        <v>46390</v>
      </c>
      <c r="I766" s="51">
        <v>5</v>
      </c>
    </row>
    <row r="767" spans="1:9" x14ac:dyDescent="0.25">
      <c r="A767" s="56" t="s">
        <v>6</v>
      </c>
      <c r="B767" s="58" t="s">
        <v>17</v>
      </c>
      <c r="C767" s="56" t="s">
        <v>6</v>
      </c>
      <c r="D767" s="56" t="s">
        <v>5</v>
      </c>
      <c r="E767" s="55">
        <v>39327</v>
      </c>
      <c r="F767" s="54">
        <f t="shared" ca="1" si="30"/>
        <v>9</v>
      </c>
      <c r="G767" s="53" t="s">
        <v>32</v>
      </c>
      <c r="H767" s="52">
        <v>86640</v>
      </c>
      <c r="I767" s="51">
        <v>3</v>
      </c>
    </row>
    <row r="768" spans="1:9" x14ac:dyDescent="0.25">
      <c r="A768" s="56" t="s">
        <v>6</v>
      </c>
      <c r="B768" s="58" t="s">
        <v>56</v>
      </c>
      <c r="C768" s="56" t="s">
        <v>6</v>
      </c>
      <c r="D768" s="56" t="s">
        <v>12</v>
      </c>
      <c r="E768" s="59">
        <v>39328</v>
      </c>
      <c r="F768" s="54">
        <f t="shared" ca="1" si="30"/>
        <v>9</v>
      </c>
      <c r="G768" s="53"/>
      <c r="H768" s="52">
        <v>42990</v>
      </c>
      <c r="I768" s="51">
        <v>4</v>
      </c>
    </row>
    <row r="769" spans="1:9" x14ac:dyDescent="0.25">
      <c r="A769" s="56" t="s">
        <v>6</v>
      </c>
      <c r="B769" s="58" t="s">
        <v>56</v>
      </c>
      <c r="C769" s="56" t="s">
        <v>6</v>
      </c>
      <c r="D769" s="56" t="s">
        <v>12</v>
      </c>
      <c r="E769" s="59">
        <v>39328</v>
      </c>
      <c r="F769" s="54">
        <f t="shared" ca="1" si="30"/>
        <v>9</v>
      </c>
      <c r="G769" s="53"/>
      <c r="H769" s="52">
        <v>42990</v>
      </c>
      <c r="I769" s="51">
        <v>4</v>
      </c>
    </row>
    <row r="770" spans="1:9" x14ac:dyDescent="0.25">
      <c r="A770" s="56" t="s">
        <v>6</v>
      </c>
      <c r="B770" s="58" t="s">
        <v>17</v>
      </c>
      <c r="C770" s="56" t="s">
        <v>6</v>
      </c>
      <c r="D770" s="56" t="s">
        <v>5</v>
      </c>
      <c r="E770" s="59">
        <v>39370</v>
      </c>
      <c r="F770" s="54">
        <f t="shared" ca="1" si="30"/>
        <v>9</v>
      </c>
      <c r="G770" s="53" t="s">
        <v>32</v>
      </c>
      <c r="H770" s="52">
        <v>23030</v>
      </c>
      <c r="I770" s="51">
        <v>4</v>
      </c>
    </row>
    <row r="771" spans="1:9" x14ac:dyDescent="0.25">
      <c r="A771" s="56" t="s">
        <v>6</v>
      </c>
      <c r="B771" s="58" t="s">
        <v>17</v>
      </c>
      <c r="C771" s="56" t="s">
        <v>6</v>
      </c>
      <c r="D771" s="56" t="s">
        <v>5</v>
      </c>
      <c r="E771" s="59">
        <v>39370</v>
      </c>
      <c r="F771" s="54">
        <f t="shared" ca="1" si="30"/>
        <v>9</v>
      </c>
      <c r="G771" s="53" t="s">
        <v>8</v>
      </c>
      <c r="H771" s="52">
        <v>40260</v>
      </c>
      <c r="I771" s="51">
        <v>5</v>
      </c>
    </row>
    <row r="772" spans="1:9" x14ac:dyDescent="0.25">
      <c r="A772" s="57" t="s">
        <v>814</v>
      </c>
      <c r="B772" s="58"/>
      <c r="C772" s="57"/>
      <c r="D772" s="56"/>
      <c r="E772" s="59"/>
      <c r="F772" s="54"/>
      <c r="G772" s="53"/>
      <c r="H772" s="52"/>
      <c r="I772" s="51"/>
    </row>
    <row r="773" spans="1:9" x14ac:dyDescent="0.25">
      <c r="A773" s="56" t="s">
        <v>343</v>
      </c>
      <c r="B773" s="58" t="s">
        <v>39</v>
      </c>
      <c r="C773" s="56" t="s">
        <v>343</v>
      </c>
      <c r="D773" s="56" t="s">
        <v>12</v>
      </c>
      <c r="E773" s="55">
        <v>32077</v>
      </c>
      <c r="F773" s="54">
        <f ca="1">DATEDIF(E773,TODAY(),"Y")</f>
        <v>29</v>
      </c>
      <c r="G773" s="53"/>
      <c r="H773" s="52">
        <v>85510</v>
      </c>
      <c r="I773" s="51">
        <v>4</v>
      </c>
    </row>
    <row r="774" spans="1:9" x14ac:dyDescent="0.25">
      <c r="A774" s="56" t="s">
        <v>343</v>
      </c>
      <c r="B774" s="58" t="s">
        <v>17</v>
      </c>
      <c r="C774" s="56" t="s">
        <v>343</v>
      </c>
      <c r="D774" s="56" t="s">
        <v>5</v>
      </c>
      <c r="E774" s="55">
        <v>35681</v>
      </c>
      <c r="F774" s="54">
        <f ca="1">DATEDIF(E774,TODAY(),"Y")</f>
        <v>19</v>
      </c>
      <c r="G774" s="53" t="s">
        <v>32</v>
      </c>
      <c r="H774" s="52">
        <v>63670</v>
      </c>
      <c r="I774" s="51">
        <v>5</v>
      </c>
    </row>
    <row r="775" spans="1:9" x14ac:dyDescent="0.25">
      <c r="A775" s="56" t="s">
        <v>343</v>
      </c>
      <c r="B775" s="58" t="s">
        <v>39</v>
      </c>
      <c r="C775" s="56" t="s">
        <v>343</v>
      </c>
      <c r="D775" s="56" t="s">
        <v>5</v>
      </c>
      <c r="E775" s="55">
        <v>35763</v>
      </c>
      <c r="F775" s="54">
        <f ca="1">DATEDIF(E775,TODAY(),"Y")</f>
        <v>18</v>
      </c>
      <c r="G775" s="53" t="s">
        <v>8</v>
      </c>
      <c r="H775" s="52">
        <v>40680</v>
      </c>
      <c r="I775" s="51">
        <v>5</v>
      </c>
    </row>
    <row r="776" spans="1:9" x14ac:dyDescent="0.25">
      <c r="A776" s="56" t="s">
        <v>343</v>
      </c>
      <c r="B776" s="58" t="s">
        <v>2</v>
      </c>
      <c r="C776" s="56" t="s">
        <v>343</v>
      </c>
      <c r="D776" s="56" t="s">
        <v>5</v>
      </c>
      <c r="E776" s="55">
        <v>36374</v>
      </c>
      <c r="F776" s="54">
        <f ca="1">DATEDIF(E776,TODAY(),"Y")</f>
        <v>17</v>
      </c>
      <c r="G776" s="53" t="s">
        <v>4</v>
      </c>
      <c r="H776" s="52">
        <v>42800</v>
      </c>
      <c r="I776" s="51">
        <v>5</v>
      </c>
    </row>
    <row r="777" spans="1:9" x14ac:dyDescent="0.25">
      <c r="A777" s="56" t="s">
        <v>343</v>
      </c>
      <c r="B777" s="58" t="s">
        <v>17</v>
      </c>
      <c r="C777" s="56" t="s">
        <v>343</v>
      </c>
      <c r="D777" s="56" t="s">
        <v>12</v>
      </c>
      <c r="E777" s="55">
        <v>39409</v>
      </c>
      <c r="F777" s="54">
        <f ca="1">DATEDIF(E777,TODAY(),"Y")</f>
        <v>8</v>
      </c>
      <c r="G777" s="53"/>
      <c r="H777" s="52">
        <v>66132</v>
      </c>
      <c r="I777" s="51">
        <v>4</v>
      </c>
    </row>
    <row r="778" spans="1:9" x14ac:dyDescent="0.25">
      <c r="A778" s="57" t="s">
        <v>813</v>
      </c>
      <c r="B778" s="58"/>
      <c r="C778" s="57"/>
      <c r="D778" s="56"/>
      <c r="E778" s="55"/>
      <c r="F778" s="54"/>
      <c r="G778" s="53"/>
      <c r="H778" s="52"/>
      <c r="I778" s="51"/>
    </row>
    <row r="779" spans="1:9" x14ac:dyDescent="0.25">
      <c r="A779" s="56" t="s">
        <v>1</v>
      </c>
      <c r="B779" s="58" t="s">
        <v>13</v>
      </c>
      <c r="C779" s="56" t="s">
        <v>1</v>
      </c>
      <c r="D779" s="56" t="s">
        <v>12</v>
      </c>
      <c r="E779" s="55">
        <v>32693</v>
      </c>
      <c r="F779" s="54">
        <f t="shared" ref="F779:F784" ca="1" si="31">DATEDIF(E779,TODAY(),"Y")</f>
        <v>27</v>
      </c>
      <c r="G779" s="53"/>
      <c r="H779" s="52">
        <v>60760</v>
      </c>
      <c r="I779" s="51">
        <v>2</v>
      </c>
    </row>
    <row r="780" spans="1:9" x14ac:dyDescent="0.25">
      <c r="A780" s="56" t="s">
        <v>1</v>
      </c>
      <c r="B780" s="58" t="s">
        <v>13</v>
      </c>
      <c r="C780" s="56" t="s">
        <v>1</v>
      </c>
      <c r="D780" s="56" t="s">
        <v>12</v>
      </c>
      <c r="E780" s="55">
        <v>33215</v>
      </c>
      <c r="F780" s="54">
        <f t="shared" ca="1" si="31"/>
        <v>25</v>
      </c>
      <c r="G780" s="53"/>
      <c r="H780" s="52">
        <v>64720</v>
      </c>
      <c r="I780" s="51">
        <v>5</v>
      </c>
    </row>
    <row r="781" spans="1:9" x14ac:dyDescent="0.25">
      <c r="A781" s="56" t="s">
        <v>1</v>
      </c>
      <c r="B781" s="58" t="s">
        <v>13</v>
      </c>
      <c r="C781" s="56" t="s">
        <v>1</v>
      </c>
      <c r="D781" s="56" t="s">
        <v>12</v>
      </c>
      <c r="E781" s="55">
        <v>33215</v>
      </c>
      <c r="F781" s="54">
        <f t="shared" ca="1" si="31"/>
        <v>25</v>
      </c>
      <c r="G781" s="53"/>
      <c r="H781" s="52">
        <v>64720</v>
      </c>
      <c r="I781" s="51">
        <v>5</v>
      </c>
    </row>
    <row r="782" spans="1:9" x14ac:dyDescent="0.25">
      <c r="A782" s="56" t="s">
        <v>1</v>
      </c>
      <c r="B782" s="58" t="s">
        <v>2</v>
      </c>
      <c r="C782" s="56" t="s">
        <v>1</v>
      </c>
      <c r="D782" s="56" t="s">
        <v>15</v>
      </c>
      <c r="E782" s="55">
        <v>35247</v>
      </c>
      <c r="F782" s="54">
        <f t="shared" ca="1" si="31"/>
        <v>20</v>
      </c>
      <c r="G782" s="53" t="s">
        <v>32</v>
      </c>
      <c r="H782" s="52">
        <v>31250</v>
      </c>
      <c r="I782" s="51">
        <v>2</v>
      </c>
    </row>
    <row r="783" spans="1:9" x14ac:dyDescent="0.25">
      <c r="A783" s="56" t="s">
        <v>1</v>
      </c>
      <c r="B783" s="58" t="s">
        <v>56</v>
      </c>
      <c r="C783" s="56" t="s">
        <v>1</v>
      </c>
      <c r="D783" s="56" t="s">
        <v>5</v>
      </c>
      <c r="E783" s="55">
        <v>39074</v>
      </c>
      <c r="F783" s="54">
        <f t="shared" ca="1" si="31"/>
        <v>9</v>
      </c>
      <c r="G783" s="53" t="s">
        <v>32</v>
      </c>
      <c r="H783" s="52">
        <v>46680</v>
      </c>
      <c r="I783" s="51">
        <v>1</v>
      </c>
    </row>
    <row r="784" spans="1:9" x14ac:dyDescent="0.25">
      <c r="A784" s="56" t="s">
        <v>1</v>
      </c>
      <c r="B784" s="58" t="s">
        <v>2</v>
      </c>
      <c r="C784" s="56" t="s">
        <v>1</v>
      </c>
      <c r="D784" s="56" t="s">
        <v>0</v>
      </c>
      <c r="E784" s="55">
        <v>39233</v>
      </c>
      <c r="F784" s="54">
        <f t="shared" ca="1" si="31"/>
        <v>9</v>
      </c>
      <c r="G784" s="53"/>
      <c r="H784" s="52">
        <v>19044</v>
      </c>
      <c r="I784" s="51">
        <v>1</v>
      </c>
    </row>
    <row r="785" spans="1:9" x14ac:dyDescent="0.25">
      <c r="A785" s="57" t="s">
        <v>812</v>
      </c>
      <c r="B785" s="58"/>
      <c r="C785" s="57"/>
      <c r="D785" s="56"/>
      <c r="E785" s="55"/>
      <c r="F785" s="54"/>
      <c r="G785" s="53"/>
      <c r="H785" s="52"/>
      <c r="I785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84"/>
  <sheetViews>
    <sheetView workbookViewId="0"/>
  </sheetViews>
  <sheetFormatPr defaultRowHeight="15" customHeight="1" x14ac:dyDescent="0.25"/>
  <cols>
    <col min="1" max="1" width="27.7109375" bestFit="1" customWidth="1"/>
    <col min="2" max="2" width="8.7109375" bestFit="1" customWidth="1"/>
    <col min="3" max="3" width="27.7109375" bestFit="1" customWidth="1"/>
    <col min="4" max="4" width="9.42578125" bestFit="1" customWidth="1"/>
    <col min="5" max="5" width="9.5703125" bestFit="1" customWidth="1"/>
    <col min="6" max="6" width="6.140625" bestFit="1" customWidth="1"/>
    <col min="7" max="7" width="8.140625" bestFit="1" customWidth="1"/>
    <col min="8" max="8" width="9.5703125" bestFit="1" customWidth="1"/>
    <col min="9" max="9" width="10.85546875" bestFit="1" customWidth="1"/>
  </cols>
  <sheetData>
    <row r="1" spans="1:9" x14ac:dyDescent="0.25">
      <c r="A1" s="64" t="s">
        <v>811</v>
      </c>
      <c r="B1" s="60" t="s">
        <v>810</v>
      </c>
      <c r="C1" s="62" t="s">
        <v>809</v>
      </c>
      <c r="D1" s="62" t="s">
        <v>806</v>
      </c>
      <c r="E1" s="63" t="s">
        <v>805</v>
      </c>
      <c r="F1" s="63" t="s">
        <v>803</v>
      </c>
      <c r="G1" s="62" t="s">
        <v>802</v>
      </c>
      <c r="H1" s="61" t="s">
        <v>801</v>
      </c>
      <c r="I1" s="60" t="s">
        <v>800</v>
      </c>
    </row>
    <row r="2" spans="1:9" x14ac:dyDescent="0.25">
      <c r="A2" s="56" t="s">
        <v>289</v>
      </c>
      <c r="B2" s="58" t="s">
        <v>39</v>
      </c>
      <c r="C2" s="56" t="s">
        <v>30</v>
      </c>
      <c r="D2" s="56" t="s">
        <v>5</v>
      </c>
      <c r="E2" s="55">
        <v>34861</v>
      </c>
      <c r="F2" s="54">
        <f t="shared" ref="F2:F7" ca="1" si="0">DATEDIF(E2,TODAY(),"Y")</f>
        <v>21</v>
      </c>
      <c r="G2" s="53" t="s">
        <v>32</v>
      </c>
      <c r="H2" s="52">
        <v>24550</v>
      </c>
      <c r="I2" s="51">
        <v>1</v>
      </c>
    </row>
    <row r="3" spans="1:9" x14ac:dyDescent="0.25">
      <c r="A3" s="56" t="s">
        <v>594</v>
      </c>
      <c r="B3" s="58" t="s">
        <v>39</v>
      </c>
      <c r="C3" s="56" t="s">
        <v>30</v>
      </c>
      <c r="D3" s="56" t="s">
        <v>12</v>
      </c>
      <c r="E3" s="55">
        <v>37107</v>
      </c>
      <c r="F3" s="54">
        <f t="shared" ca="1" si="0"/>
        <v>15</v>
      </c>
      <c r="G3" s="53"/>
      <c r="H3" s="52">
        <v>42540</v>
      </c>
      <c r="I3" s="51">
        <v>5</v>
      </c>
    </row>
    <row r="4" spans="1:9" x14ac:dyDescent="0.25">
      <c r="A4" s="56" t="s">
        <v>720</v>
      </c>
      <c r="B4" s="58" t="s">
        <v>2</v>
      </c>
      <c r="C4" s="56" t="s">
        <v>30</v>
      </c>
      <c r="D4" s="56" t="s">
        <v>5</v>
      </c>
      <c r="E4" s="55">
        <v>38137</v>
      </c>
      <c r="F4" s="54">
        <f t="shared" ca="1" si="0"/>
        <v>12</v>
      </c>
      <c r="G4" s="53" t="s">
        <v>19</v>
      </c>
      <c r="H4" s="52">
        <v>72830</v>
      </c>
      <c r="I4" s="51">
        <v>2</v>
      </c>
    </row>
    <row r="5" spans="1:9" x14ac:dyDescent="0.25">
      <c r="A5" s="56" t="s">
        <v>720</v>
      </c>
      <c r="B5" s="58" t="s">
        <v>2</v>
      </c>
      <c r="C5" s="56" t="s">
        <v>30</v>
      </c>
      <c r="D5" s="56" t="s">
        <v>5</v>
      </c>
      <c r="E5" s="55">
        <v>38137</v>
      </c>
      <c r="F5" s="54">
        <f t="shared" ca="1" si="0"/>
        <v>12</v>
      </c>
      <c r="G5" s="53" t="s">
        <v>19</v>
      </c>
      <c r="H5" s="52">
        <v>72830</v>
      </c>
      <c r="I5" s="51">
        <v>2</v>
      </c>
    </row>
    <row r="6" spans="1:9" x14ac:dyDescent="0.25">
      <c r="A6" s="56" t="s">
        <v>308</v>
      </c>
      <c r="B6" s="58" t="s">
        <v>39</v>
      </c>
      <c r="C6" s="56" t="s">
        <v>30</v>
      </c>
      <c r="D6" s="56" t="s">
        <v>15</v>
      </c>
      <c r="E6" s="55">
        <v>31980</v>
      </c>
      <c r="F6" s="54">
        <f t="shared" ca="1" si="0"/>
        <v>29</v>
      </c>
      <c r="G6" s="53" t="s">
        <v>34</v>
      </c>
      <c r="H6" s="52">
        <v>26795</v>
      </c>
      <c r="I6" s="51">
        <v>4</v>
      </c>
    </row>
    <row r="7" spans="1:9" x14ac:dyDescent="0.25">
      <c r="A7" s="56" t="s">
        <v>628</v>
      </c>
      <c r="B7" s="58" t="s">
        <v>56</v>
      </c>
      <c r="C7" s="56" t="s">
        <v>30</v>
      </c>
      <c r="D7" s="56" t="s">
        <v>0</v>
      </c>
      <c r="E7" s="55">
        <v>32536</v>
      </c>
      <c r="F7" s="54">
        <f t="shared" ca="1" si="0"/>
        <v>27</v>
      </c>
      <c r="G7" s="53"/>
      <c r="H7" s="52">
        <v>35680</v>
      </c>
      <c r="I7" s="51">
        <v>2</v>
      </c>
    </row>
    <row r="8" spans="1:9" x14ac:dyDescent="0.25">
      <c r="A8" s="57"/>
      <c r="B8" s="58"/>
      <c r="C8" s="57"/>
      <c r="D8" s="56"/>
      <c r="E8" s="55"/>
      <c r="F8" s="54"/>
      <c r="G8" s="53"/>
      <c r="H8" s="52"/>
      <c r="I8" s="51"/>
    </row>
    <row r="9" spans="1:9" x14ac:dyDescent="0.25">
      <c r="A9" s="56" t="s">
        <v>37</v>
      </c>
      <c r="B9" s="58" t="s">
        <v>17</v>
      </c>
      <c r="C9" s="56" t="s">
        <v>37</v>
      </c>
      <c r="D9" s="56" t="s">
        <v>15</v>
      </c>
      <c r="E9" s="55">
        <v>32164</v>
      </c>
      <c r="F9" s="54">
        <f t="shared" ref="F9:F25" ca="1" si="1">DATEDIF(E9,TODAY(),"Y")</f>
        <v>28</v>
      </c>
      <c r="G9" s="53" t="s">
        <v>34</v>
      </c>
      <c r="H9" s="52">
        <v>30445</v>
      </c>
      <c r="I9" s="51">
        <v>1</v>
      </c>
    </row>
    <row r="10" spans="1:9" x14ac:dyDescent="0.25">
      <c r="A10" s="56" t="s">
        <v>37</v>
      </c>
      <c r="B10" s="58" t="s">
        <v>10</v>
      </c>
      <c r="C10" s="56" t="s">
        <v>37</v>
      </c>
      <c r="D10" s="56" t="s">
        <v>0</v>
      </c>
      <c r="E10" s="55">
        <v>32172</v>
      </c>
      <c r="F10" s="54">
        <f t="shared" ca="1" si="1"/>
        <v>28</v>
      </c>
      <c r="G10" s="53" t="s">
        <v>32</v>
      </c>
      <c r="H10" s="52">
        <v>29070</v>
      </c>
      <c r="I10" s="51">
        <v>3</v>
      </c>
    </row>
    <row r="11" spans="1:9" x14ac:dyDescent="0.25">
      <c r="A11" s="56" t="s">
        <v>37</v>
      </c>
      <c r="B11" s="58" t="s">
        <v>13</v>
      </c>
      <c r="C11" s="56" t="s">
        <v>37</v>
      </c>
      <c r="D11" s="56" t="s">
        <v>5</v>
      </c>
      <c r="E11" s="55">
        <v>32521</v>
      </c>
      <c r="F11" s="54">
        <f t="shared" ca="1" si="1"/>
        <v>27</v>
      </c>
      <c r="G11" s="53" t="s">
        <v>32</v>
      </c>
      <c r="H11" s="52">
        <v>79760</v>
      </c>
      <c r="I11" s="51">
        <v>5</v>
      </c>
    </row>
    <row r="12" spans="1:9" x14ac:dyDescent="0.25">
      <c r="A12" s="56" t="s">
        <v>37</v>
      </c>
      <c r="B12" s="58" t="s">
        <v>17</v>
      </c>
      <c r="C12" s="56" t="s">
        <v>37</v>
      </c>
      <c r="D12" s="56" t="s">
        <v>12</v>
      </c>
      <c r="E12" s="55">
        <v>32766</v>
      </c>
      <c r="F12" s="54">
        <f t="shared" ca="1" si="1"/>
        <v>27</v>
      </c>
      <c r="G12" s="53"/>
      <c r="H12" s="52">
        <v>66580</v>
      </c>
      <c r="I12" s="51">
        <v>5</v>
      </c>
    </row>
    <row r="13" spans="1:9" x14ac:dyDescent="0.25">
      <c r="A13" s="56" t="s">
        <v>37</v>
      </c>
      <c r="B13" s="58" t="s">
        <v>13</v>
      </c>
      <c r="C13" s="56" t="s">
        <v>37</v>
      </c>
      <c r="D13" s="56" t="s">
        <v>5</v>
      </c>
      <c r="E13" s="55">
        <v>34154</v>
      </c>
      <c r="F13" s="54">
        <f t="shared" ca="1" si="1"/>
        <v>23</v>
      </c>
      <c r="G13" s="53" t="s">
        <v>32</v>
      </c>
      <c r="H13" s="52">
        <v>60830</v>
      </c>
      <c r="I13" s="51">
        <v>1</v>
      </c>
    </row>
    <row r="14" spans="1:9" x14ac:dyDescent="0.25">
      <c r="A14" s="56" t="s">
        <v>37</v>
      </c>
      <c r="B14" s="58" t="s">
        <v>10</v>
      </c>
      <c r="C14" s="56" t="s">
        <v>37</v>
      </c>
      <c r="D14" s="56" t="s">
        <v>5</v>
      </c>
      <c r="E14" s="55">
        <v>34432</v>
      </c>
      <c r="F14" s="54">
        <f t="shared" ca="1" si="1"/>
        <v>22</v>
      </c>
      <c r="G14" s="53" t="s">
        <v>4</v>
      </c>
      <c r="H14" s="52">
        <v>85300</v>
      </c>
      <c r="I14" s="51">
        <v>2</v>
      </c>
    </row>
    <row r="15" spans="1:9" x14ac:dyDescent="0.25">
      <c r="A15" s="56" t="s">
        <v>37</v>
      </c>
      <c r="B15" s="58" t="s">
        <v>56</v>
      </c>
      <c r="C15" s="56" t="s">
        <v>37</v>
      </c>
      <c r="D15" s="56" t="s">
        <v>5</v>
      </c>
      <c r="E15" s="55">
        <v>34833</v>
      </c>
      <c r="F15" s="54">
        <f t="shared" ca="1" si="1"/>
        <v>21</v>
      </c>
      <c r="G15" s="53" t="s">
        <v>4</v>
      </c>
      <c r="H15" s="52">
        <v>72090</v>
      </c>
      <c r="I15" s="51">
        <v>5</v>
      </c>
    </row>
    <row r="16" spans="1:9" x14ac:dyDescent="0.25">
      <c r="A16" s="56" t="s">
        <v>37</v>
      </c>
      <c r="B16" s="58" t="s">
        <v>56</v>
      </c>
      <c r="C16" s="56" t="s">
        <v>37</v>
      </c>
      <c r="D16" s="56" t="s">
        <v>15</v>
      </c>
      <c r="E16" s="55">
        <v>34907</v>
      </c>
      <c r="F16" s="54">
        <f t="shared" ca="1" si="1"/>
        <v>21</v>
      </c>
      <c r="G16" s="53" t="s">
        <v>32</v>
      </c>
      <c r="H16" s="52">
        <v>15240</v>
      </c>
      <c r="I16" s="51">
        <v>1</v>
      </c>
    </row>
    <row r="17" spans="1:9" x14ac:dyDescent="0.25">
      <c r="A17" s="56" t="s">
        <v>37</v>
      </c>
      <c r="B17" s="58" t="s">
        <v>13</v>
      </c>
      <c r="C17" s="56" t="s">
        <v>37</v>
      </c>
      <c r="D17" s="56" t="s">
        <v>5</v>
      </c>
      <c r="E17" s="55">
        <v>34950</v>
      </c>
      <c r="F17" s="54">
        <f t="shared" ca="1" si="1"/>
        <v>21</v>
      </c>
      <c r="G17" s="53" t="s">
        <v>32</v>
      </c>
      <c r="H17" s="52">
        <v>75150</v>
      </c>
      <c r="I17" s="51">
        <v>1</v>
      </c>
    </row>
    <row r="18" spans="1:9" x14ac:dyDescent="0.25">
      <c r="A18" s="56" t="s">
        <v>37</v>
      </c>
      <c r="B18" s="58" t="s">
        <v>2</v>
      </c>
      <c r="C18" s="56" t="s">
        <v>37</v>
      </c>
      <c r="D18" s="56" t="s">
        <v>5</v>
      </c>
      <c r="E18" s="55">
        <v>35454</v>
      </c>
      <c r="F18" s="54">
        <f t="shared" ca="1" si="1"/>
        <v>19</v>
      </c>
      <c r="G18" s="53" t="s">
        <v>8</v>
      </c>
      <c r="H18" s="52">
        <v>74840</v>
      </c>
      <c r="I18" s="51">
        <v>4</v>
      </c>
    </row>
    <row r="19" spans="1:9" x14ac:dyDescent="0.25">
      <c r="A19" s="56" t="s">
        <v>37</v>
      </c>
      <c r="B19" s="58" t="s">
        <v>39</v>
      </c>
      <c r="C19" s="56" t="s">
        <v>37</v>
      </c>
      <c r="D19" s="56" t="s">
        <v>12</v>
      </c>
      <c r="E19" s="55">
        <v>35467</v>
      </c>
      <c r="F19" s="54">
        <f t="shared" ca="1" si="1"/>
        <v>19</v>
      </c>
      <c r="G19" s="53"/>
      <c r="H19" s="52">
        <v>76690</v>
      </c>
      <c r="I19" s="51">
        <v>3</v>
      </c>
    </row>
    <row r="20" spans="1:9" x14ac:dyDescent="0.25">
      <c r="A20" s="56" t="s">
        <v>37</v>
      </c>
      <c r="B20" s="58" t="s">
        <v>56</v>
      </c>
      <c r="C20" s="56" t="s">
        <v>37</v>
      </c>
      <c r="D20" s="56" t="s">
        <v>5</v>
      </c>
      <c r="E20" s="55">
        <v>36094</v>
      </c>
      <c r="F20" s="54">
        <f t="shared" ca="1" si="1"/>
        <v>18</v>
      </c>
      <c r="G20" s="53" t="s">
        <v>32</v>
      </c>
      <c r="H20" s="52">
        <v>30780</v>
      </c>
      <c r="I20" s="51">
        <v>4</v>
      </c>
    </row>
    <row r="21" spans="1:9" x14ac:dyDescent="0.25">
      <c r="A21" s="56" t="s">
        <v>37</v>
      </c>
      <c r="B21" s="58" t="s">
        <v>17</v>
      </c>
      <c r="C21" s="56" t="s">
        <v>37</v>
      </c>
      <c r="D21" s="56" t="s">
        <v>15</v>
      </c>
      <c r="E21" s="55">
        <v>36472</v>
      </c>
      <c r="F21" s="54">
        <f t="shared" ca="1" si="1"/>
        <v>16</v>
      </c>
      <c r="G21" s="53" t="s">
        <v>8</v>
      </c>
      <c r="H21" s="52">
        <v>17735</v>
      </c>
      <c r="I21" s="51">
        <v>3</v>
      </c>
    </row>
    <row r="22" spans="1:9" x14ac:dyDescent="0.25">
      <c r="A22" s="56" t="s">
        <v>37</v>
      </c>
      <c r="B22" s="58" t="s">
        <v>17</v>
      </c>
      <c r="C22" s="56" t="s">
        <v>37</v>
      </c>
      <c r="D22" s="56" t="s">
        <v>5</v>
      </c>
      <c r="E22" s="55">
        <v>36832</v>
      </c>
      <c r="F22" s="54">
        <f t="shared" ca="1" si="1"/>
        <v>16</v>
      </c>
      <c r="G22" s="53" t="s">
        <v>32</v>
      </c>
      <c r="H22" s="52">
        <v>49350</v>
      </c>
      <c r="I22" s="51">
        <v>4</v>
      </c>
    </row>
    <row r="23" spans="1:9" x14ac:dyDescent="0.25">
      <c r="A23" s="56" t="s">
        <v>37</v>
      </c>
      <c r="B23" s="58" t="s">
        <v>2</v>
      </c>
      <c r="C23" s="56" t="s">
        <v>37</v>
      </c>
      <c r="D23" s="56" t="s">
        <v>5</v>
      </c>
      <c r="E23" s="55">
        <v>37759</v>
      </c>
      <c r="F23" s="54">
        <f t="shared" ca="1" si="1"/>
        <v>13</v>
      </c>
      <c r="G23" s="53" t="s">
        <v>19</v>
      </c>
      <c r="H23" s="52">
        <v>37670</v>
      </c>
      <c r="I23" s="51">
        <v>3</v>
      </c>
    </row>
    <row r="24" spans="1:9" x14ac:dyDescent="0.25">
      <c r="A24" s="56" t="s">
        <v>37</v>
      </c>
      <c r="B24" s="58" t="s">
        <v>39</v>
      </c>
      <c r="C24" s="56" t="s">
        <v>37</v>
      </c>
      <c r="D24" s="56" t="s">
        <v>5</v>
      </c>
      <c r="E24" s="55">
        <v>38394</v>
      </c>
      <c r="F24" s="54">
        <f t="shared" ca="1" si="1"/>
        <v>11</v>
      </c>
      <c r="G24" s="53" t="s">
        <v>8</v>
      </c>
      <c r="H24" s="52">
        <v>58290</v>
      </c>
      <c r="I24" s="51">
        <v>5</v>
      </c>
    </row>
    <row r="25" spans="1:9" x14ac:dyDescent="0.25">
      <c r="A25" s="56" t="s">
        <v>37</v>
      </c>
      <c r="B25" s="58" t="s">
        <v>39</v>
      </c>
      <c r="C25" s="56" t="s">
        <v>37</v>
      </c>
      <c r="D25" s="56" t="s">
        <v>0</v>
      </c>
      <c r="E25" s="55">
        <v>38816</v>
      </c>
      <c r="F25" s="54">
        <f t="shared" ca="1" si="1"/>
        <v>10</v>
      </c>
      <c r="G25" s="53"/>
      <c r="H25" s="52">
        <v>10636</v>
      </c>
      <c r="I25" s="51">
        <v>4</v>
      </c>
    </row>
    <row r="26" spans="1:9" x14ac:dyDescent="0.25">
      <c r="A26" s="57"/>
      <c r="B26" s="58"/>
      <c r="C26" s="57"/>
      <c r="D26" s="56"/>
      <c r="E26" s="55"/>
      <c r="F26" s="54"/>
      <c r="G26" s="53"/>
      <c r="H26" s="52"/>
      <c r="I26" s="51"/>
    </row>
    <row r="27" spans="1:9" x14ac:dyDescent="0.25">
      <c r="A27" s="56" t="s">
        <v>125</v>
      </c>
      <c r="B27" s="58" t="s">
        <v>39</v>
      </c>
      <c r="C27" s="56" t="s">
        <v>125</v>
      </c>
      <c r="D27" s="56" t="s">
        <v>5</v>
      </c>
      <c r="E27" s="55">
        <v>32241</v>
      </c>
      <c r="F27" s="54">
        <f t="shared" ref="F27:F36" ca="1" si="2">DATEDIF(E27,TODAY(),"Y")</f>
        <v>28</v>
      </c>
      <c r="G27" s="53" t="s">
        <v>34</v>
      </c>
      <c r="H27" s="52">
        <v>41350</v>
      </c>
      <c r="I27" s="51">
        <v>2</v>
      </c>
    </row>
    <row r="28" spans="1:9" x14ac:dyDescent="0.25">
      <c r="A28" s="56" t="s">
        <v>125</v>
      </c>
      <c r="B28" s="58" t="s">
        <v>13</v>
      </c>
      <c r="C28" s="56" t="s">
        <v>125</v>
      </c>
      <c r="D28" s="56" t="s">
        <v>5</v>
      </c>
      <c r="E28" s="55">
        <v>32991</v>
      </c>
      <c r="F28" s="54">
        <f t="shared" ca="1" si="2"/>
        <v>26</v>
      </c>
      <c r="G28" s="53" t="s">
        <v>32</v>
      </c>
      <c r="H28" s="52">
        <v>73440</v>
      </c>
      <c r="I28" s="51">
        <v>1</v>
      </c>
    </row>
    <row r="29" spans="1:9" x14ac:dyDescent="0.25">
      <c r="A29" s="56" t="s">
        <v>125</v>
      </c>
      <c r="B29" s="58" t="s">
        <v>17</v>
      </c>
      <c r="C29" s="56" t="s">
        <v>125</v>
      </c>
      <c r="D29" s="56" t="s">
        <v>5</v>
      </c>
      <c r="E29" s="55">
        <v>34149</v>
      </c>
      <c r="F29" s="54">
        <f t="shared" ca="1" si="2"/>
        <v>23</v>
      </c>
      <c r="G29" s="53" t="s">
        <v>4</v>
      </c>
      <c r="H29" s="52">
        <v>49360</v>
      </c>
      <c r="I29" s="51">
        <v>2</v>
      </c>
    </row>
    <row r="30" spans="1:9" x14ac:dyDescent="0.25">
      <c r="A30" s="56" t="s">
        <v>125</v>
      </c>
      <c r="B30" s="58" t="s">
        <v>39</v>
      </c>
      <c r="C30" s="56" t="s">
        <v>125</v>
      </c>
      <c r="D30" s="56" t="s">
        <v>15</v>
      </c>
      <c r="E30" s="55">
        <v>34254</v>
      </c>
      <c r="F30" s="54">
        <f t="shared" ca="1" si="2"/>
        <v>23</v>
      </c>
      <c r="G30" s="53" t="s">
        <v>32</v>
      </c>
      <c r="H30" s="52">
        <v>11025</v>
      </c>
      <c r="I30" s="51">
        <v>1</v>
      </c>
    </row>
    <row r="31" spans="1:9" x14ac:dyDescent="0.25">
      <c r="A31" s="56" t="s">
        <v>125</v>
      </c>
      <c r="B31" s="58" t="s">
        <v>17</v>
      </c>
      <c r="C31" s="56" t="s">
        <v>125</v>
      </c>
      <c r="D31" s="56" t="s">
        <v>0</v>
      </c>
      <c r="E31" s="55">
        <v>34364</v>
      </c>
      <c r="F31" s="54">
        <f t="shared" ca="1" si="2"/>
        <v>22</v>
      </c>
      <c r="G31" s="53"/>
      <c r="H31" s="52">
        <v>20028</v>
      </c>
      <c r="I31" s="51">
        <v>4</v>
      </c>
    </row>
    <row r="32" spans="1:9" x14ac:dyDescent="0.25">
      <c r="A32" s="56" t="s">
        <v>125</v>
      </c>
      <c r="B32" s="58" t="s">
        <v>13</v>
      </c>
      <c r="C32" s="56" t="s">
        <v>125</v>
      </c>
      <c r="D32" s="56" t="s">
        <v>5</v>
      </c>
      <c r="E32" s="55">
        <v>34904</v>
      </c>
      <c r="F32" s="54">
        <f t="shared" ca="1" si="2"/>
        <v>21</v>
      </c>
      <c r="G32" s="53" t="s">
        <v>8</v>
      </c>
      <c r="H32" s="52">
        <v>47850</v>
      </c>
      <c r="I32" s="51">
        <v>1</v>
      </c>
    </row>
    <row r="33" spans="1:9" x14ac:dyDescent="0.25">
      <c r="A33" s="56" t="s">
        <v>125</v>
      </c>
      <c r="B33" s="58" t="s">
        <v>39</v>
      </c>
      <c r="C33" s="56" t="s">
        <v>125</v>
      </c>
      <c r="D33" s="56" t="s">
        <v>5</v>
      </c>
      <c r="E33" s="55">
        <v>35309</v>
      </c>
      <c r="F33" s="54">
        <f t="shared" ca="1" si="2"/>
        <v>20</v>
      </c>
      <c r="G33" s="53" t="s">
        <v>19</v>
      </c>
      <c r="H33" s="52">
        <v>56440</v>
      </c>
      <c r="I33" s="51">
        <v>1</v>
      </c>
    </row>
    <row r="34" spans="1:9" x14ac:dyDescent="0.25">
      <c r="A34" s="56" t="s">
        <v>125</v>
      </c>
      <c r="B34" s="58" t="s">
        <v>39</v>
      </c>
      <c r="C34" s="56" t="s">
        <v>125</v>
      </c>
      <c r="D34" s="56" t="s">
        <v>5</v>
      </c>
      <c r="E34" s="55">
        <v>35583</v>
      </c>
      <c r="F34" s="54">
        <f t="shared" ca="1" si="2"/>
        <v>19</v>
      </c>
      <c r="G34" s="53" t="s">
        <v>4</v>
      </c>
      <c r="H34" s="52">
        <v>33640</v>
      </c>
      <c r="I34" s="51">
        <v>3</v>
      </c>
    </row>
    <row r="35" spans="1:9" x14ac:dyDescent="0.25">
      <c r="A35" s="56" t="s">
        <v>125</v>
      </c>
      <c r="B35" s="58" t="s">
        <v>56</v>
      </c>
      <c r="C35" s="56" t="s">
        <v>125</v>
      </c>
      <c r="D35" s="56" t="s">
        <v>5</v>
      </c>
      <c r="E35" s="55">
        <v>36741</v>
      </c>
      <c r="F35" s="54">
        <f t="shared" ca="1" si="2"/>
        <v>16</v>
      </c>
      <c r="G35" s="53" t="s">
        <v>32</v>
      </c>
      <c r="H35" s="52">
        <v>30350</v>
      </c>
      <c r="I35" s="51">
        <v>1</v>
      </c>
    </row>
    <row r="36" spans="1:9" x14ac:dyDescent="0.25">
      <c r="A36" s="56" t="s">
        <v>125</v>
      </c>
      <c r="B36" s="58" t="s">
        <v>39</v>
      </c>
      <c r="C36" s="56" t="s">
        <v>125</v>
      </c>
      <c r="D36" s="56" t="s">
        <v>5</v>
      </c>
      <c r="E36" s="55">
        <v>38796</v>
      </c>
      <c r="F36" s="54">
        <f t="shared" ca="1" si="2"/>
        <v>10</v>
      </c>
      <c r="G36" s="53" t="s">
        <v>34</v>
      </c>
      <c r="H36" s="52">
        <v>51180</v>
      </c>
      <c r="I36" s="51">
        <v>3</v>
      </c>
    </row>
    <row r="37" spans="1:9" x14ac:dyDescent="0.25">
      <c r="A37" s="57"/>
      <c r="B37" s="58"/>
      <c r="C37" s="57"/>
      <c r="D37" s="56"/>
      <c r="E37" s="55"/>
      <c r="F37" s="54"/>
      <c r="G37" s="53"/>
      <c r="H37" s="52"/>
      <c r="I37" s="51"/>
    </row>
    <row r="38" spans="1:9" x14ac:dyDescent="0.25">
      <c r="A38" s="56" t="s">
        <v>24</v>
      </c>
      <c r="B38" s="58" t="s">
        <v>13</v>
      </c>
      <c r="C38" s="56" t="s">
        <v>24</v>
      </c>
      <c r="D38" s="56" t="s">
        <v>5</v>
      </c>
      <c r="E38" s="55">
        <v>32403</v>
      </c>
      <c r="F38" s="54">
        <f ca="1">DATEDIF(E38,TODAY(),"Y")</f>
        <v>28</v>
      </c>
      <c r="G38" s="53" t="s">
        <v>32</v>
      </c>
      <c r="H38" s="52">
        <v>46220</v>
      </c>
      <c r="I38" s="51">
        <v>3</v>
      </c>
    </row>
    <row r="39" spans="1:9" x14ac:dyDescent="0.25">
      <c r="A39" s="56" t="s">
        <v>24</v>
      </c>
      <c r="B39" s="58" t="s">
        <v>10</v>
      </c>
      <c r="C39" s="56" t="s">
        <v>24</v>
      </c>
      <c r="D39" s="56" t="s">
        <v>12</v>
      </c>
      <c r="E39" s="55">
        <v>34085</v>
      </c>
      <c r="F39" s="54">
        <f ca="1">DATEDIF(E39,TODAY(),"Y")</f>
        <v>23</v>
      </c>
      <c r="G39" s="53"/>
      <c r="H39" s="52">
        <v>58130</v>
      </c>
      <c r="I39" s="51">
        <v>2</v>
      </c>
    </row>
    <row r="40" spans="1:9" x14ac:dyDescent="0.25">
      <c r="A40" s="56" t="s">
        <v>24</v>
      </c>
      <c r="B40" s="58" t="s">
        <v>13</v>
      </c>
      <c r="C40" s="56" t="s">
        <v>24</v>
      </c>
      <c r="D40" s="56" t="s">
        <v>15</v>
      </c>
      <c r="E40" s="55">
        <v>38107</v>
      </c>
      <c r="F40" s="54">
        <f ca="1">DATEDIF(E40,TODAY(),"Y")</f>
        <v>12</v>
      </c>
      <c r="G40" s="53" t="s">
        <v>19</v>
      </c>
      <c r="H40" s="52">
        <v>46095</v>
      </c>
      <c r="I40" s="51">
        <v>3</v>
      </c>
    </row>
    <row r="41" spans="1:9" x14ac:dyDescent="0.25">
      <c r="A41" s="56" t="s">
        <v>24</v>
      </c>
      <c r="B41" s="58" t="s">
        <v>17</v>
      </c>
      <c r="C41" s="56" t="s">
        <v>24</v>
      </c>
      <c r="D41" s="56" t="s">
        <v>15</v>
      </c>
      <c r="E41" s="55">
        <v>38842</v>
      </c>
      <c r="F41" s="54">
        <f ca="1">DATEDIF(E41,TODAY(),"Y")</f>
        <v>10</v>
      </c>
      <c r="G41" s="53" t="s">
        <v>4</v>
      </c>
      <c r="H41" s="52">
        <v>28680</v>
      </c>
      <c r="I41" s="51">
        <v>1</v>
      </c>
    </row>
    <row r="42" spans="1:9" x14ac:dyDescent="0.25">
      <c r="A42" s="57"/>
      <c r="B42" s="58"/>
      <c r="C42" s="57"/>
      <c r="D42" s="56"/>
      <c r="E42" s="55"/>
      <c r="F42" s="54"/>
      <c r="G42" s="53"/>
      <c r="H42" s="52"/>
      <c r="I42" s="51"/>
    </row>
    <row r="43" spans="1:9" x14ac:dyDescent="0.25">
      <c r="A43" s="56" t="s">
        <v>26</v>
      </c>
      <c r="B43" s="58" t="s">
        <v>17</v>
      </c>
      <c r="C43" s="56" t="s">
        <v>26</v>
      </c>
      <c r="D43" s="56" t="s">
        <v>12</v>
      </c>
      <c r="E43" s="55">
        <v>31918</v>
      </c>
      <c r="F43" s="54">
        <f t="shared" ref="F43:F74" ca="1" si="3">DATEDIF(E43,TODAY(),"Y")</f>
        <v>29</v>
      </c>
      <c r="G43" s="53"/>
      <c r="H43" s="52">
        <v>42940</v>
      </c>
      <c r="I43" s="51">
        <v>1</v>
      </c>
    </row>
    <row r="44" spans="1:9" x14ac:dyDescent="0.25">
      <c r="A44" s="56" t="s">
        <v>26</v>
      </c>
      <c r="B44" s="58" t="s">
        <v>39</v>
      </c>
      <c r="C44" s="56" t="s">
        <v>26</v>
      </c>
      <c r="D44" s="56" t="s">
        <v>5</v>
      </c>
      <c r="E44" s="55">
        <v>32038</v>
      </c>
      <c r="F44" s="54">
        <f t="shared" ca="1" si="3"/>
        <v>29</v>
      </c>
      <c r="G44" s="53" t="s">
        <v>8</v>
      </c>
      <c r="H44" s="52">
        <v>49810</v>
      </c>
      <c r="I44" s="51">
        <v>2</v>
      </c>
    </row>
    <row r="45" spans="1:9" x14ac:dyDescent="0.25">
      <c r="A45" s="56" t="s">
        <v>26</v>
      </c>
      <c r="B45" s="58" t="s">
        <v>13</v>
      </c>
      <c r="C45" s="56" t="s">
        <v>26</v>
      </c>
      <c r="D45" s="56" t="s">
        <v>15</v>
      </c>
      <c r="E45" s="55">
        <v>32162</v>
      </c>
      <c r="F45" s="54">
        <f t="shared" ca="1" si="3"/>
        <v>28</v>
      </c>
      <c r="G45" s="53" t="s">
        <v>34</v>
      </c>
      <c r="H45" s="52">
        <v>13800</v>
      </c>
      <c r="I45" s="51">
        <v>3</v>
      </c>
    </row>
    <row r="46" spans="1:9" x14ac:dyDescent="0.25">
      <c r="A46" s="56" t="s">
        <v>26</v>
      </c>
      <c r="B46" s="58" t="s">
        <v>17</v>
      </c>
      <c r="C46" s="56" t="s">
        <v>26</v>
      </c>
      <c r="D46" s="56" t="s">
        <v>5</v>
      </c>
      <c r="E46" s="55">
        <v>32217</v>
      </c>
      <c r="F46" s="54">
        <f t="shared" ca="1" si="3"/>
        <v>28</v>
      </c>
      <c r="G46" s="53" t="s">
        <v>4</v>
      </c>
      <c r="H46" s="52">
        <v>85920</v>
      </c>
      <c r="I46" s="51">
        <v>4</v>
      </c>
    </row>
    <row r="47" spans="1:9" x14ac:dyDescent="0.25">
      <c r="A47" s="56" t="s">
        <v>26</v>
      </c>
      <c r="B47" s="58" t="s">
        <v>17</v>
      </c>
      <c r="C47" s="56" t="s">
        <v>26</v>
      </c>
      <c r="D47" s="56" t="s">
        <v>5</v>
      </c>
      <c r="E47" s="55">
        <v>32265</v>
      </c>
      <c r="F47" s="54">
        <f t="shared" ca="1" si="3"/>
        <v>28</v>
      </c>
      <c r="G47" s="53" t="s">
        <v>34</v>
      </c>
      <c r="H47" s="52">
        <v>61400</v>
      </c>
      <c r="I47" s="51">
        <v>5</v>
      </c>
    </row>
    <row r="48" spans="1:9" x14ac:dyDescent="0.25">
      <c r="A48" s="56" t="s">
        <v>26</v>
      </c>
      <c r="B48" s="58" t="s">
        <v>13</v>
      </c>
      <c r="C48" s="56" t="s">
        <v>26</v>
      </c>
      <c r="D48" s="56" t="s">
        <v>0</v>
      </c>
      <c r="E48" s="55">
        <v>32310</v>
      </c>
      <c r="F48" s="54">
        <f t="shared" ca="1" si="3"/>
        <v>28</v>
      </c>
      <c r="G48" s="53"/>
      <c r="H48" s="52">
        <v>14568</v>
      </c>
      <c r="I48" s="51">
        <v>3</v>
      </c>
    </row>
    <row r="49" spans="1:9" x14ac:dyDescent="0.25">
      <c r="A49" s="56" t="s">
        <v>26</v>
      </c>
      <c r="B49" s="58" t="s">
        <v>56</v>
      </c>
      <c r="C49" s="56" t="s">
        <v>26</v>
      </c>
      <c r="D49" s="56" t="s">
        <v>12</v>
      </c>
      <c r="E49" s="55">
        <v>32368</v>
      </c>
      <c r="F49" s="54">
        <f t="shared" ca="1" si="3"/>
        <v>28</v>
      </c>
      <c r="G49" s="53"/>
      <c r="H49" s="52">
        <v>64460</v>
      </c>
      <c r="I49" s="51">
        <v>1</v>
      </c>
    </row>
    <row r="50" spans="1:9" x14ac:dyDescent="0.25">
      <c r="A50" s="56" t="s">
        <v>26</v>
      </c>
      <c r="B50" s="58" t="s">
        <v>13</v>
      </c>
      <c r="C50" s="56" t="s">
        <v>26</v>
      </c>
      <c r="D50" s="56" t="s">
        <v>5</v>
      </c>
      <c r="E50" s="55">
        <v>32436</v>
      </c>
      <c r="F50" s="54">
        <f t="shared" ca="1" si="3"/>
        <v>28</v>
      </c>
      <c r="G50" s="53" t="s">
        <v>34</v>
      </c>
      <c r="H50" s="52">
        <v>31830</v>
      </c>
      <c r="I50" s="51">
        <v>3</v>
      </c>
    </row>
    <row r="51" spans="1:9" x14ac:dyDescent="0.25">
      <c r="A51" s="56" t="s">
        <v>26</v>
      </c>
      <c r="B51" s="58" t="s">
        <v>39</v>
      </c>
      <c r="C51" s="56" t="s">
        <v>26</v>
      </c>
      <c r="D51" s="56" t="s">
        <v>5</v>
      </c>
      <c r="E51" s="55">
        <v>32476</v>
      </c>
      <c r="F51" s="54">
        <f t="shared" ca="1" si="3"/>
        <v>27</v>
      </c>
      <c r="G51" s="53" t="s">
        <v>32</v>
      </c>
      <c r="H51" s="52">
        <v>71150</v>
      </c>
      <c r="I51" s="51">
        <v>2</v>
      </c>
    </row>
    <row r="52" spans="1:9" x14ac:dyDescent="0.25">
      <c r="A52" s="56" t="s">
        <v>26</v>
      </c>
      <c r="B52" s="58" t="s">
        <v>13</v>
      </c>
      <c r="C52" s="56" t="s">
        <v>26</v>
      </c>
      <c r="D52" s="56" t="s">
        <v>5</v>
      </c>
      <c r="E52" s="55">
        <v>32585</v>
      </c>
      <c r="F52" s="54">
        <f t="shared" ca="1" si="3"/>
        <v>27</v>
      </c>
      <c r="G52" s="53" t="s">
        <v>4</v>
      </c>
      <c r="H52" s="52">
        <v>71670</v>
      </c>
      <c r="I52" s="51">
        <v>4</v>
      </c>
    </row>
    <row r="53" spans="1:9" x14ac:dyDescent="0.25">
      <c r="A53" s="56" t="s">
        <v>26</v>
      </c>
      <c r="B53" s="58" t="s">
        <v>39</v>
      </c>
      <c r="C53" s="56" t="s">
        <v>26</v>
      </c>
      <c r="D53" s="56" t="s">
        <v>12</v>
      </c>
      <c r="E53" s="55">
        <v>32671</v>
      </c>
      <c r="F53" s="54">
        <f t="shared" ca="1" si="3"/>
        <v>27</v>
      </c>
      <c r="G53" s="53"/>
      <c r="H53" s="52">
        <v>83020</v>
      </c>
      <c r="I53" s="51">
        <v>4</v>
      </c>
    </row>
    <row r="54" spans="1:9" x14ac:dyDescent="0.25">
      <c r="A54" s="56" t="s">
        <v>26</v>
      </c>
      <c r="B54" s="58" t="s">
        <v>17</v>
      </c>
      <c r="C54" s="56" t="s">
        <v>26</v>
      </c>
      <c r="D54" s="56" t="s">
        <v>15</v>
      </c>
      <c r="E54" s="55">
        <v>32856</v>
      </c>
      <c r="F54" s="54">
        <f t="shared" ca="1" si="3"/>
        <v>26</v>
      </c>
      <c r="G54" s="53" t="s">
        <v>32</v>
      </c>
      <c r="H54" s="52">
        <v>26890</v>
      </c>
      <c r="I54" s="51">
        <v>3</v>
      </c>
    </row>
    <row r="55" spans="1:9" x14ac:dyDescent="0.25">
      <c r="A55" s="56" t="s">
        <v>26</v>
      </c>
      <c r="B55" s="58" t="s">
        <v>13</v>
      </c>
      <c r="C55" s="56" t="s">
        <v>26</v>
      </c>
      <c r="D55" s="56" t="s">
        <v>5</v>
      </c>
      <c r="E55" s="55">
        <v>33164</v>
      </c>
      <c r="F55" s="54">
        <f t="shared" ca="1" si="3"/>
        <v>26</v>
      </c>
      <c r="G55" s="53" t="s">
        <v>34</v>
      </c>
      <c r="H55" s="52">
        <v>74670</v>
      </c>
      <c r="I55" s="51">
        <v>5</v>
      </c>
    </row>
    <row r="56" spans="1:9" x14ac:dyDescent="0.25">
      <c r="A56" s="56" t="s">
        <v>26</v>
      </c>
      <c r="B56" s="58" t="s">
        <v>13</v>
      </c>
      <c r="C56" s="56" t="s">
        <v>26</v>
      </c>
      <c r="D56" s="56" t="s">
        <v>15</v>
      </c>
      <c r="E56" s="55">
        <v>33238</v>
      </c>
      <c r="F56" s="54">
        <f t="shared" ca="1" si="3"/>
        <v>25</v>
      </c>
      <c r="G56" s="53" t="s">
        <v>8</v>
      </c>
      <c r="H56" s="52">
        <v>38920</v>
      </c>
      <c r="I56" s="51">
        <v>4</v>
      </c>
    </row>
    <row r="57" spans="1:9" x14ac:dyDescent="0.25">
      <c r="A57" s="56" t="s">
        <v>26</v>
      </c>
      <c r="B57" s="58" t="s">
        <v>13</v>
      </c>
      <c r="C57" s="56" t="s">
        <v>26</v>
      </c>
      <c r="D57" s="56" t="s">
        <v>12</v>
      </c>
      <c r="E57" s="55">
        <v>33341</v>
      </c>
      <c r="F57" s="54">
        <f t="shared" ca="1" si="3"/>
        <v>25</v>
      </c>
      <c r="G57" s="53"/>
      <c r="H57" s="52">
        <v>46670</v>
      </c>
      <c r="I57" s="51">
        <v>3</v>
      </c>
    </row>
    <row r="58" spans="1:9" x14ac:dyDescent="0.25">
      <c r="A58" s="56" t="s">
        <v>26</v>
      </c>
      <c r="B58" s="58" t="s">
        <v>17</v>
      </c>
      <c r="C58" s="56" t="s">
        <v>26</v>
      </c>
      <c r="D58" s="56" t="s">
        <v>5</v>
      </c>
      <c r="E58" s="55">
        <v>33522</v>
      </c>
      <c r="F58" s="54">
        <f t="shared" ca="1" si="3"/>
        <v>25</v>
      </c>
      <c r="G58" s="53" t="s">
        <v>32</v>
      </c>
      <c r="H58" s="52">
        <v>31910</v>
      </c>
      <c r="I58" s="51">
        <v>5</v>
      </c>
    </row>
    <row r="59" spans="1:9" x14ac:dyDescent="0.25">
      <c r="A59" s="56" t="s">
        <v>26</v>
      </c>
      <c r="B59" s="58" t="s">
        <v>2</v>
      </c>
      <c r="C59" s="56" t="s">
        <v>26</v>
      </c>
      <c r="D59" s="56" t="s">
        <v>5</v>
      </c>
      <c r="E59" s="55">
        <v>33686</v>
      </c>
      <c r="F59" s="54">
        <f t="shared" ca="1" si="3"/>
        <v>24</v>
      </c>
      <c r="G59" s="53" t="s">
        <v>32</v>
      </c>
      <c r="H59" s="52">
        <v>67890</v>
      </c>
      <c r="I59" s="51">
        <v>5</v>
      </c>
    </row>
    <row r="60" spans="1:9" x14ac:dyDescent="0.25">
      <c r="A60" s="56" t="s">
        <v>26</v>
      </c>
      <c r="B60" s="58" t="s">
        <v>17</v>
      </c>
      <c r="C60" s="56" t="s">
        <v>26</v>
      </c>
      <c r="D60" s="56" t="s">
        <v>5</v>
      </c>
      <c r="E60" s="55">
        <v>33776</v>
      </c>
      <c r="F60" s="54">
        <f t="shared" ca="1" si="3"/>
        <v>24</v>
      </c>
      <c r="G60" s="53" t="s">
        <v>19</v>
      </c>
      <c r="H60" s="52">
        <v>77350</v>
      </c>
      <c r="I60" s="51">
        <v>5</v>
      </c>
    </row>
    <row r="61" spans="1:9" x14ac:dyDescent="0.25">
      <c r="A61" s="56" t="s">
        <v>26</v>
      </c>
      <c r="B61" s="58" t="s">
        <v>10</v>
      </c>
      <c r="C61" s="56" t="s">
        <v>26</v>
      </c>
      <c r="D61" s="56" t="s">
        <v>12</v>
      </c>
      <c r="E61" s="55">
        <v>33809</v>
      </c>
      <c r="F61" s="54">
        <f t="shared" ca="1" si="3"/>
        <v>24</v>
      </c>
      <c r="G61" s="53"/>
      <c r="H61" s="52">
        <v>64390</v>
      </c>
      <c r="I61" s="51">
        <v>2</v>
      </c>
    </row>
    <row r="62" spans="1:9" x14ac:dyDescent="0.25">
      <c r="A62" s="56" t="s">
        <v>26</v>
      </c>
      <c r="B62" s="58" t="s">
        <v>39</v>
      </c>
      <c r="C62" s="56" t="s">
        <v>26</v>
      </c>
      <c r="D62" s="56" t="s">
        <v>12</v>
      </c>
      <c r="E62" s="55">
        <v>33850</v>
      </c>
      <c r="F62" s="54">
        <f t="shared" ca="1" si="3"/>
        <v>24</v>
      </c>
      <c r="G62" s="53"/>
      <c r="H62" s="52">
        <v>50550</v>
      </c>
      <c r="I62" s="51">
        <v>2</v>
      </c>
    </row>
    <row r="63" spans="1:9" x14ac:dyDescent="0.25">
      <c r="A63" s="56" t="s">
        <v>26</v>
      </c>
      <c r="B63" s="58" t="s">
        <v>56</v>
      </c>
      <c r="C63" s="56" t="s">
        <v>26</v>
      </c>
      <c r="D63" s="56" t="s">
        <v>5</v>
      </c>
      <c r="E63" s="55">
        <v>33887</v>
      </c>
      <c r="F63" s="54">
        <f t="shared" ca="1" si="3"/>
        <v>24</v>
      </c>
      <c r="G63" s="53" t="s">
        <v>8</v>
      </c>
      <c r="H63" s="52">
        <v>82120</v>
      </c>
      <c r="I63" s="51">
        <v>5</v>
      </c>
    </row>
    <row r="64" spans="1:9" x14ac:dyDescent="0.25">
      <c r="A64" s="56" t="s">
        <v>26</v>
      </c>
      <c r="B64" s="58" t="s">
        <v>13</v>
      </c>
      <c r="C64" s="56" t="s">
        <v>26</v>
      </c>
      <c r="D64" s="56" t="s">
        <v>5</v>
      </c>
      <c r="E64" s="55">
        <v>33897</v>
      </c>
      <c r="F64" s="54">
        <f t="shared" ca="1" si="3"/>
        <v>24</v>
      </c>
      <c r="G64" s="53" t="s">
        <v>19</v>
      </c>
      <c r="H64" s="52">
        <v>77580</v>
      </c>
      <c r="I64" s="51">
        <v>3</v>
      </c>
    </row>
    <row r="65" spans="1:9" x14ac:dyDescent="0.25">
      <c r="A65" s="56" t="s">
        <v>26</v>
      </c>
      <c r="B65" s="58" t="s">
        <v>13</v>
      </c>
      <c r="C65" s="56" t="s">
        <v>26</v>
      </c>
      <c r="D65" s="56" t="s">
        <v>12</v>
      </c>
      <c r="E65" s="55">
        <v>33945</v>
      </c>
      <c r="F65" s="54">
        <f t="shared" ca="1" si="3"/>
        <v>23</v>
      </c>
      <c r="G65" s="53"/>
      <c r="H65" s="52">
        <v>89310</v>
      </c>
      <c r="I65" s="51">
        <v>5</v>
      </c>
    </row>
    <row r="66" spans="1:9" x14ac:dyDescent="0.25">
      <c r="A66" s="56" t="s">
        <v>26</v>
      </c>
      <c r="B66" s="58" t="s">
        <v>17</v>
      </c>
      <c r="C66" s="56" t="s">
        <v>26</v>
      </c>
      <c r="D66" s="56" t="s">
        <v>12</v>
      </c>
      <c r="E66" s="55">
        <v>34195</v>
      </c>
      <c r="F66" s="54">
        <f t="shared" ca="1" si="3"/>
        <v>23</v>
      </c>
      <c r="G66" s="53"/>
      <c r="H66" s="52">
        <v>74740</v>
      </c>
      <c r="I66" s="51">
        <v>5</v>
      </c>
    </row>
    <row r="67" spans="1:9" x14ac:dyDescent="0.25">
      <c r="A67" s="56" t="s">
        <v>26</v>
      </c>
      <c r="B67" s="58" t="s">
        <v>39</v>
      </c>
      <c r="C67" s="56" t="s">
        <v>26</v>
      </c>
      <c r="D67" s="56" t="s">
        <v>15</v>
      </c>
      <c r="E67" s="55">
        <v>34207</v>
      </c>
      <c r="F67" s="54">
        <f t="shared" ca="1" si="3"/>
        <v>23</v>
      </c>
      <c r="G67" s="53" t="s">
        <v>19</v>
      </c>
      <c r="H67" s="52">
        <v>48415</v>
      </c>
      <c r="I67" s="51">
        <v>4</v>
      </c>
    </row>
    <row r="68" spans="1:9" x14ac:dyDescent="0.25">
      <c r="A68" s="56" t="s">
        <v>26</v>
      </c>
      <c r="B68" s="58" t="s">
        <v>13</v>
      </c>
      <c r="C68" s="56" t="s">
        <v>26</v>
      </c>
      <c r="D68" s="56" t="s">
        <v>12</v>
      </c>
      <c r="E68" s="55">
        <v>34259</v>
      </c>
      <c r="F68" s="54">
        <f t="shared" ca="1" si="3"/>
        <v>23</v>
      </c>
      <c r="G68" s="53"/>
      <c r="H68" s="52">
        <v>84200</v>
      </c>
      <c r="I68" s="51">
        <v>2</v>
      </c>
    </row>
    <row r="69" spans="1:9" x14ac:dyDescent="0.25">
      <c r="A69" s="56" t="s">
        <v>26</v>
      </c>
      <c r="B69" s="58" t="s">
        <v>39</v>
      </c>
      <c r="C69" s="56" t="s">
        <v>26</v>
      </c>
      <c r="D69" s="56" t="s">
        <v>5</v>
      </c>
      <c r="E69" s="55">
        <v>34357</v>
      </c>
      <c r="F69" s="54">
        <f t="shared" ca="1" si="3"/>
        <v>22</v>
      </c>
      <c r="G69" s="53" t="s">
        <v>32</v>
      </c>
      <c r="H69" s="52">
        <v>40920</v>
      </c>
      <c r="I69" s="51">
        <v>4</v>
      </c>
    </row>
    <row r="70" spans="1:9" x14ac:dyDescent="0.25">
      <c r="A70" s="56" t="s">
        <v>26</v>
      </c>
      <c r="B70" s="58" t="s">
        <v>13</v>
      </c>
      <c r="C70" s="56" t="s">
        <v>26</v>
      </c>
      <c r="D70" s="56" t="s">
        <v>5</v>
      </c>
      <c r="E70" s="55">
        <v>34519</v>
      </c>
      <c r="F70" s="54">
        <f t="shared" ca="1" si="3"/>
        <v>22</v>
      </c>
      <c r="G70" s="53" t="s">
        <v>32</v>
      </c>
      <c r="H70" s="52">
        <v>61030</v>
      </c>
      <c r="I70" s="51">
        <v>3</v>
      </c>
    </row>
    <row r="71" spans="1:9" x14ac:dyDescent="0.25">
      <c r="A71" s="56" t="s">
        <v>26</v>
      </c>
      <c r="B71" s="58" t="s">
        <v>17</v>
      </c>
      <c r="C71" s="56" t="s">
        <v>26</v>
      </c>
      <c r="D71" s="56" t="s">
        <v>15</v>
      </c>
      <c r="E71" s="55">
        <v>34532</v>
      </c>
      <c r="F71" s="54">
        <f t="shared" ca="1" si="3"/>
        <v>22</v>
      </c>
      <c r="G71" s="53" t="s">
        <v>8</v>
      </c>
      <c r="H71" s="52">
        <v>23380</v>
      </c>
      <c r="I71" s="51">
        <v>4</v>
      </c>
    </row>
    <row r="72" spans="1:9" x14ac:dyDescent="0.25">
      <c r="A72" s="56" t="s">
        <v>26</v>
      </c>
      <c r="B72" s="58" t="s">
        <v>17</v>
      </c>
      <c r="C72" s="56" t="s">
        <v>26</v>
      </c>
      <c r="D72" s="56" t="s">
        <v>12</v>
      </c>
      <c r="E72" s="55">
        <v>34538</v>
      </c>
      <c r="F72" s="54">
        <f t="shared" ca="1" si="3"/>
        <v>22</v>
      </c>
      <c r="G72" s="53"/>
      <c r="H72" s="52">
        <v>85480</v>
      </c>
      <c r="I72" s="51">
        <v>5</v>
      </c>
    </row>
    <row r="73" spans="1:9" x14ac:dyDescent="0.25">
      <c r="A73" s="56" t="s">
        <v>26</v>
      </c>
      <c r="B73" s="58" t="s">
        <v>17</v>
      </c>
      <c r="C73" s="56" t="s">
        <v>26</v>
      </c>
      <c r="D73" s="56" t="s">
        <v>12</v>
      </c>
      <c r="E73" s="55">
        <v>34538</v>
      </c>
      <c r="F73" s="54">
        <f t="shared" ca="1" si="3"/>
        <v>22</v>
      </c>
      <c r="G73" s="53"/>
      <c r="H73" s="52">
        <v>85480</v>
      </c>
      <c r="I73" s="51">
        <v>5</v>
      </c>
    </row>
    <row r="74" spans="1:9" x14ac:dyDescent="0.25">
      <c r="A74" s="56" t="s">
        <v>26</v>
      </c>
      <c r="B74" s="58" t="s">
        <v>17</v>
      </c>
      <c r="C74" s="56" t="s">
        <v>26</v>
      </c>
      <c r="D74" s="56" t="s">
        <v>12</v>
      </c>
      <c r="E74" s="55">
        <v>34592</v>
      </c>
      <c r="F74" s="54">
        <f t="shared" ca="1" si="3"/>
        <v>22</v>
      </c>
      <c r="G74" s="53"/>
      <c r="H74" s="52">
        <v>63340</v>
      </c>
      <c r="I74" s="51">
        <v>3</v>
      </c>
    </row>
    <row r="75" spans="1:9" x14ac:dyDescent="0.25">
      <c r="A75" s="56" t="s">
        <v>26</v>
      </c>
      <c r="B75" s="58" t="s">
        <v>2</v>
      </c>
      <c r="C75" s="56" t="s">
        <v>26</v>
      </c>
      <c r="D75" s="56" t="s">
        <v>12</v>
      </c>
      <c r="E75" s="55">
        <v>34630</v>
      </c>
      <c r="F75" s="54">
        <f t="shared" ref="F75:F102" ca="1" si="4">DATEDIF(E75,TODAY(),"Y")</f>
        <v>22</v>
      </c>
      <c r="G75" s="53"/>
      <c r="H75" s="52">
        <v>88000</v>
      </c>
      <c r="I75" s="51">
        <v>5</v>
      </c>
    </row>
    <row r="76" spans="1:9" x14ac:dyDescent="0.25">
      <c r="A76" s="56" t="s">
        <v>26</v>
      </c>
      <c r="B76" s="58" t="s">
        <v>39</v>
      </c>
      <c r="C76" s="56" t="s">
        <v>26</v>
      </c>
      <c r="D76" s="56" t="s">
        <v>5</v>
      </c>
      <c r="E76" s="55">
        <v>34655</v>
      </c>
      <c r="F76" s="54">
        <f t="shared" ca="1" si="4"/>
        <v>21</v>
      </c>
      <c r="G76" s="53" t="s">
        <v>19</v>
      </c>
      <c r="H76" s="52">
        <v>34780</v>
      </c>
      <c r="I76" s="51">
        <v>4</v>
      </c>
    </row>
    <row r="77" spans="1:9" x14ac:dyDescent="0.25">
      <c r="A77" s="56" t="s">
        <v>26</v>
      </c>
      <c r="B77" s="58" t="s">
        <v>10</v>
      </c>
      <c r="C77" s="56" t="s">
        <v>26</v>
      </c>
      <c r="D77" s="56" t="s">
        <v>12</v>
      </c>
      <c r="E77" s="55">
        <v>34728</v>
      </c>
      <c r="F77" s="54">
        <f t="shared" ca="1" si="4"/>
        <v>21</v>
      </c>
      <c r="G77" s="53"/>
      <c r="H77" s="52">
        <v>30340</v>
      </c>
      <c r="I77" s="51">
        <v>3</v>
      </c>
    </row>
    <row r="78" spans="1:9" x14ac:dyDescent="0.25">
      <c r="A78" s="56" t="s">
        <v>26</v>
      </c>
      <c r="B78" s="58" t="s">
        <v>39</v>
      </c>
      <c r="C78" s="56" t="s">
        <v>26</v>
      </c>
      <c r="D78" s="56" t="s">
        <v>0</v>
      </c>
      <c r="E78" s="55">
        <v>34749</v>
      </c>
      <c r="F78" s="54">
        <f t="shared" ca="1" si="4"/>
        <v>21</v>
      </c>
      <c r="G78" s="53"/>
      <c r="H78" s="52">
        <v>18500</v>
      </c>
      <c r="I78" s="51">
        <v>5</v>
      </c>
    </row>
    <row r="79" spans="1:9" x14ac:dyDescent="0.25">
      <c r="A79" s="56" t="s">
        <v>26</v>
      </c>
      <c r="B79" s="58" t="s">
        <v>39</v>
      </c>
      <c r="C79" s="56" t="s">
        <v>26</v>
      </c>
      <c r="D79" s="56" t="s">
        <v>12</v>
      </c>
      <c r="E79" s="55">
        <v>34777</v>
      </c>
      <c r="F79" s="54">
        <f t="shared" ca="1" si="4"/>
        <v>21</v>
      </c>
      <c r="G79" s="53"/>
      <c r="H79" s="52">
        <v>76930</v>
      </c>
      <c r="I79" s="51">
        <v>1</v>
      </c>
    </row>
    <row r="80" spans="1:9" x14ac:dyDescent="0.25">
      <c r="A80" s="56" t="s">
        <v>26</v>
      </c>
      <c r="B80" s="58" t="s">
        <v>39</v>
      </c>
      <c r="C80" s="56" t="s">
        <v>26</v>
      </c>
      <c r="D80" s="56" t="s">
        <v>12</v>
      </c>
      <c r="E80" s="55">
        <v>35160</v>
      </c>
      <c r="F80" s="54">
        <f t="shared" ca="1" si="4"/>
        <v>20</v>
      </c>
      <c r="G80" s="53"/>
      <c r="H80" s="52">
        <v>23560</v>
      </c>
      <c r="I80" s="51">
        <v>3</v>
      </c>
    </row>
    <row r="81" spans="1:9" x14ac:dyDescent="0.25">
      <c r="A81" s="56" t="s">
        <v>26</v>
      </c>
      <c r="B81" s="58" t="s">
        <v>39</v>
      </c>
      <c r="C81" s="56" t="s">
        <v>26</v>
      </c>
      <c r="D81" s="56" t="s">
        <v>0</v>
      </c>
      <c r="E81" s="55">
        <v>35177</v>
      </c>
      <c r="F81" s="54">
        <f t="shared" ca="1" si="4"/>
        <v>20</v>
      </c>
      <c r="G81" s="53"/>
      <c r="H81" s="52">
        <v>33056</v>
      </c>
      <c r="I81" s="51">
        <v>5</v>
      </c>
    </row>
    <row r="82" spans="1:9" x14ac:dyDescent="0.25">
      <c r="A82" s="56" t="s">
        <v>26</v>
      </c>
      <c r="B82" s="58" t="s">
        <v>13</v>
      </c>
      <c r="C82" s="56" t="s">
        <v>26</v>
      </c>
      <c r="D82" s="56" t="s">
        <v>5</v>
      </c>
      <c r="E82" s="55">
        <v>35196</v>
      </c>
      <c r="F82" s="54">
        <f t="shared" ca="1" si="4"/>
        <v>20</v>
      </c>
      <c r="G82" s="53" t="s">
        <v>4</v>
      </c>
      <c r="H82" s="52">
        <v>32100</v>
      </c>
      <c r="I82" s="51">
        <v>1</v>
      </c>
    </row>
    <row r="83" spans="1:9" x14ac:dyDescent="0.25">
      <c r="A83" s="56" t="s">
        <v>26</v>
      </c>
      <c r="B83" s="58" t="s">
        <v>13</v>
      </c>
      <c r="C83" s="56" t="s">
        <v>26</v>
      </c>
      <c r="D83" s="56" t="s">
        <v>0</v>
      </c>
      <c r="E83" s="55">
        <v>35292</v>
      </c>
      <c r="F83" s="54">
        <f t="shared" ca="1" si="4"/>
        <v>20</v>
      </c>
      <c r="G83" s="53"/>
      <c r="H83" s="52">
        <v>30080</v>
      </c>
      <c r="I83" s="51">
        <v>3</v>
      </c>
    </row>
    <row r="84" spans="1:9" x14ac:dyDescent="0.25">
      <c r="A84" s="56" t="s">
        <v>26</v>
      </c>
      <c r="B84" s="58" t="s">
        <v>2</v>
      </c>
      <c r="C84" s="56" t="s">
        <v>26</v>
      </c>
      <c r="D84" s="56" t="s">
        <v>15</v>
      </c>
      <c r="E84" s="55">
        <v>35586</v>
      </c>
      <c r="F84" s="54">
        <f t="shared" ca="1" si="4"/>
        <v>19</v>
      </c>
      <c r="G84" s="53" t="s">
        <v>32</v>
      </c>
      <c r="H84" s="52">
        <v>35280</v>
      </c>
      <c r="I84" s="51">
        <v>3</v>
      </c>
    </row>
    <row r="85" spans="1:9" x14ac:dyDescent="0.25">
      <c r="A85" s="56" t="s">
        <v>26</v>
      </c>
      <c r="B85" s="58" t="s">
        <v>13</v>
      </c>
      <c r="C85" s="56" t="s">
        <v>26</v>
      </c>
      <c r="D85" s="56" t="s">
        <v>5</v>
      </c>
      <c r="E85" s="55">
        <v>35698</v>
      </c>
      <c r="F85" s="54">
        <f t="shared" ca="1" si="4"/>
        <v>19</v>
      </c>
      <c r="G85" s="53" t="s">
        <v>32</v>
      </c>
      <c r="H85" s="52">
        <v>27180</v>
      </c>
      <c r="I85" s="51">
        <v>4</v>
      </c>
    </row>
    <row r="86" spans="1:9" x14ac:dyDescent="0.25">
      <c r="A86" s="56" t="s">
        <v>26</v>
      </c>
      <c r="B86" s="58" t="s">
        <v>13</v>
      </c>
      <c r="C86" s="56" t="s">
        <v>26</v>
      </c>
      <c r="D86" s="56" t="s">
        <v>5</v>
      </c>
      <c r="E86" s="55">
        <v>35708</v>
      </c>
      <c r="F86" s="54">
        <f t="shared" ca="1" si="4"/>
        <v>19</v>
      </c>
      <c r="G86" s="53" t="s">
        <v>4</v>
      </c>
      <c r="H86" s="52">
        <v>28650</v>
      </c>
      <c r="I86" s="51">
        <v>4</v>
      </c>
    </row>
    <row r="87" spans="1:9" x14ac:dyDescent="0.25">
      <c r="A87" s="56" t="s">
        <v>26</v>
      </c>
      <c r="B87" s="58" t="s">
        <v>17</v>
      </c>
      <c r="C87" s="56" t="s">
        <v>26</v>
      </c>
      <c r="D87" s="56" t="s">
        <v>5</v>
      </c>
      <c r="E87" s="55">
        <v>35866</v>
      </c>
      <c r="F87" s="54">
        <f t="shared" ca="1" si="4"/>
        <v>18</v>
      </c>
      <c r="G87" s="53" t="s">
        <v>19</v>
      </c>
      <c r="H87" s="52">
        <v>62790</v>
      </c>
      <c r="I87" s="51">
        <v>2</v>
      </c>
    </row>
    <row r="88" spans="1:9" x14ac:dyDescent="0.25">
      <c r="A88" s="56" t="s">
        <v>26</v>
      </c>
      <c r="B88" s="58" t="s">
        <v>17</v>
      </c>
      <c r="C88" s="56" t="s">
        <v>26</v>
      </c>
      <c r="D88" s="56" t="s">
        <v>5</v>
      </c>
      <c r="E88" s="55">
        <v>35931</v>
      </c>
      <c r="F88" s="54">
        <f t="shared" ca="1" si="4"/>
        <v>18</v>
      </c>
      <c r="G88" s="53" t="s">
        <v>32</v>
      </c>
      <c r="H88" s="52">
        <v>71950</v>
      </c>
      <c r="I88" s="51">
        <v>5</v>
      </c>
    </row>
    <row r="89" spans="1:9" x14ac:dyDescent="0.25">
      <c r="A89" s="56" t="s">
        <v>26</v>
      </c>
      <c r="B89" s="58" t="s">
        <v>13</v>
      </c>
      <c r="C89" s="56" t="s">
        <v>26</v>
      </c>
      <c r="D89" s="56" t="s">
        <v>5</v>
      </c>
      <c r="E89" s="55">
        <v>36038</v>
      </c>
      <c r="F89" s="54">
        <f t="shared" ca="1" si="4"/>
        <v>18</v>
      </c>
      <c r="G89" s="53" t="s">
        <v>34</v>
      </c>
      <c r="H89" s="52">
        <v>85880</v>
      </c>
      <c r="I89" s="51">
        <v>3</v>
      </c>
    </row>
    <row r="90" spans="1:9" x14ac:dyDescent="0.25">
      <c r="A90" s="56" t="s">
        <v>26</v>
      </c>
      <c r="B90" s="58" t="s">
        <v>13</v>
      </c>
      <c r="C90" s="56" t="s">
        <v>26</v>
      </c>
      <c r="D90" s="56" t="s">
        <v>5</v>
      </c>
      <c r="E90" s="55">
        <v>36475</v>
      </c>
      <c r="F90" s="54">
        <f t="shared" ca="1" si="4"/>
        <v>16</v>
      </c>
      <c r="G90" s="53" t="s">
        <v>4</v>
      </c>
      <c r="H90" s="52">
        <v>87280</v>
      </c>
      <c r="I90" s="51">
        <v>4</v>
      </c>
    </row>
    <row r="91" spans="1:9" x14ac:dyDescent="0.25">
      <c r="A91" s="56" t="s">
        <v>26</v>
      </c>
      <c r="B91" s="58" t="s">
        <v>39</v>
      </c>
      <c r="C91" s="56" t="s">
        <v>26</v>
      </c>
      <c r="D91" s="56" t="s">
        <v>5</v>
      </c>
      <c r="E91" s="55">
        <v>36650</v>
      </c>
      <c r="F91" s="54">
        <f t="shared" ca="1" si="4"/>
        <v>16</v>
      </c>
      <c r="G91" s="53" t="s">
        <v>32</v>
      </c>
      <c r="H91" s="52">
        <v>66890</v>
      </c>
      <c r="I91" s="51">
        <v>5</v>
      </c>
    </row>
    <row r="92" spans="1:9" x14ac:dyDescent="0.25">
      <c r="A92" s="56" t="s">
        <v>26</v>
      </c>
      <c r="B92" s="58" t="s">
        <v>39</v>
      </c>
      <c r="C92" s="56" t="s">
        <v>26</v>
      </c>
      <c r="D92" s="56" t="s">
        <v>12</v>
      </c>
      <c r="E92" s="55">
        <v>37660</v>
      </c>
      <c r="F92" s="54">
        <f t="shared" ca="1" si="4"/>
        <v>13</v>
      </c>
      <c r="G92" s="53"/>
      <c r="H92" s="52">
        <v>83070</v>
      </c>
      <c r="I92" s="51">
        <v>3</v>
      </c>
    </row>
    <row r="93" spans="1:9" x14ac:dyDescent="0.25">
      <c r="A93" s="56" t="s">
        <v>26</v>
      </c>
      <c r="B93" s="58" t="s">
        <v>39</v>
      </c>
      <c r="C93" s="56" t="s">
        <v>26</v>
      </c>
      <c r="D93" s="56" t="s">
        <v>12</v>
      </c>
      <c r="E93" s="55">
        <v>37730</v>
      </c>
      <c r="F93" s="54">
        <f t="shared" ca="1" si="4"/>
        <v>13</v>
      </c>
      <c r="G93" s="53"/>
      <c r="H93" s="52">
        <v>62150</v>
      </c>
      <c r="I93" s="51">
        <v>4</v>
      </c>
    </row>
    <row r="94" spans="1:9" x14ac:dyDescent="0.25">
      <c r="A94" s="56" t="s">
        <v>26</v>
      </c>
      <c r="B94" s="58" t="s">
        <v>2</v>
      </c>
      <c r="C94" s="56" t="s">
        <v>26</v>
      </c>
      <c r="D94" s="56" t="s">
        <v>15</v>
      </c>
      <c r="E94" s="55">
        <v>38492</v>
      </c>
      <c r="F94" s="54">
        <f t="shared" ca="1" si="4"/>
        <v>11</v>
      </c>
      <c r="G94" s="53" t="s">
        <v>8</v>
      </c>
      <c r="H94" s="52">
        <v>22535</v>
      </c>
      <c r="I94" s="51">
        <v>3</v>
      </c>
    </row>
    <row r="95" spans="1:9" x14ac:dyDescent="0.25">
      <c r="A95" s="56" t="s">
        <v>26</v>
      </c>
      <c r="B95" s="58" t="s">
        <v>10</v>
      </c>
      <c r="C95" s="56" t="s">
        <v>26</v>
      </c>
      <c r="D95" s="56" t="s">
        <v>12</v>
      </c>
      <c r="E95" s="55">
        <v>38612</v>
      </c>
      <c r="F95" s="54">
        <f t="shared" ca="1" si="4"/>
        <v>11</v>
      </c>
      <c r="G95" s="53"/>
      <c r="H95" s="52">
        <v>25790</v>
      </c>
      <c r="I95" s="51">
        <v>3</v>
      </c>
    </row>
    <row r="96" spans="1:9" x14ac:dyDescent="0.25">
      <c r="A96" s="56" t="s">
        <v>26</v>
      </c>
      <c r="B96" s="58" t="s">
        <v>13</v>
      </c>
      <c r="C96" s="56" t="s">
        <v>26</v>
      </c>
      <c r="D96" s="56" t="s">
        <v>12</v>
      </c>
      <c r="E96" s="55">
        <v>38649</v>
      </c>
      <c r="F96" s="54">
        <f t="shared" ca="1" si="4"/>
        <v>11</v>
      </c>
      <c r="G96" s="53"/>
      <c r="H96" s="52">
        <v>79460</v>
      </c>
      <c r="I96" s="51">
        <v>5</v>
      </c>
    </row>
    <row r="97" spans="1:9" x14ac:dyDescent="0.25">
      <c r="A97" s="56" t="s">
        <v>26</v>
      </c>
      <c r="B97" s="58" t="s">
        <v>17</v>
      </c>
      <c r="C97" s="56" t="s">
        <v>26</v>
      </c>
      <c r="D97" s="56" t="s">
        <v>5</v>
      </c>
      <c r="E97" s="55">
        <v>38775</v>
      </c>
      <c r="F97" s="54">
        <f t="shared" ca="1" si="4"/>
        <v>10</v>
      </c>
      <c r="G97" s="53" t="s">
        <v>32</v>
      </c>
      <c r="H97" s="52">
        <v>41490</v>
      </c>
      <c r="I97" s="51">
        <v>5</v>
      </c>
    </row>
    <row r="98" spans="1:9" x14ac:dyDescent="0.25">
      <c r="A98" s="56" t="s">
        <v>26</v>
      </c>
      <c r="B98" s="58" t="s">
        <v>17</v>
      </c>
      <c r="C98" s="56" t="s">
        <v>26</v>
      </c>
      <c r="D98" s="56" t="s">
        <v>5</v>
      </c>
      <c r="E98" s="55">
        <v>38964</v>
      </c>
      <c r="F98" s="54">
        <f t="shared" ca="1" si="4"/>
        <v>10</v>
      </c>
      <c r="G98" s="53" t="s">
        <v>34</v>
      </c>
      <c r="H98" s="52">
        <v>38730</v>
      </c>
      <c r="I98" s="51">
        <v>1</v>
      </c>
    </row>
    <row r="99" spans="1:9" x14ac:dyDescent="0.25">
      <c r="A99" s="56" t="s">
        <v>26</v>
      </c>
      <c r="B99" s="58" t="s">
        <v>39</v>
      </c>
      <c r="C99" s="56" t="s">
        <v>26</v>
      </c>
      <c r="D99" s="56" t="s">
        <v>5</v>
      </c>
      <c r="E99" s="59">
        <v>38982</v>
      </c>
      <c r="F99" s="54">
        <f t="shared" ca="1" si="4"/>
        <v>10</v>
      </c>
      <c r="G99" s="53" t="s">
        <v>32</v>
      </c>
      <c r="H99" s="52">
        <v>23280</v>
      </c>
      <c r="I99" s="51">
        <v>1</v>
      </c>
    </row>
    <row r="100" spans="1:9" x14ac:dyDescent="0.25">
      <c r="A100" s="56" t="s">
        <v>26</v>
      </c>
      <c r="B100" s="58" t="s">
        <v>17</v>
      </c>
      <c r="C100" s="56" t="s">
        <v>26</v>
      </c>
      <c r="D100" s="56" t="s">
        <v>5</v>
      </c>
      <c r="E100" s="55">
        <v>39191</v>
      </c>
      <c r="F100" s="54">
        <f t="shared" ca="1" si="4"/>
        <v>9</v>
      </c>
      <c r="G100" s="53" t="s">
        <v>19</v>
      </c>
      <c r="H100" s="52">
        <v>77820</v>
      </c>
      <c r="I100" s="51">
        <v>3</v>
      </c>
    </row>
    <row r="101" spans="1:9" x14ac:dyDescent="0.25">
      <c r="A101" s="56" t="s">
        <v>26</v>
      </c>
      <c r="B101" s="58" t="s">
        <v>56</v>
      </c>
      <c r="C101" s="56" t="s">
        <v>26</v>
      </c>
      <c r="D101" s="56" t="s">
        <v>5</v>
      </c>
      <c r="E101" s="55">
        <v>39265</v>
      </c>
      <c r="F101" s="54">
        <f t="shared" ca="1" si="4"/>
        <v>9</v>
      </c>
      <c r="G101" s="53" t="s">
        <v>8</v>
      </c>
      <c r="H101" s="52">
        <v>74710</v>
      </c>
      <c r="I101" s="51">
        <v>2</v>
      </c>
    </row>
    <row r="102" spans="1:9" x14ac:dyDescent="0.25">
      <c r="A102" s="56" t="s">
        <v>26</v>
      </c>
      <c r="B102" s="58" t="s">
        <v>13</v>
      </c>
      <c r="C102" s="56" t="s">
        <v>26</v>
      </c>
      <c r="D102" s="56" t="s">
        <v>5</v>
      </c>
      <c r="E102" s="55">
        <v>39286</v>
      </c>
      <c r="F102" s="54">
        <f t="shared" ca="1" si="4"/>
        <v>9</v>
      </c>
      <c r="G102" s="53" t="s">
        <v>19</v>
      </c>
      <c r="H102" s="52">
        <v>68910</v>
      </c>
      <c r="I102" s="51">
        <v>5</v>
      </c>
    </row>
    <row r="103" spans="1:9" x14ac:dyDescent="0.25">
      <c r="A103" s="57"/>
      <c r="B103" s="58"/>
      <c r="C103" s="57"/>
      <c r="D103" s="56"/>
      <c r="E103" s="55"/>
      <c r="F103" s="54"/>
      <c r="G103" s="53"/>
      <c r="H103" s="52"/>
      <c r="I103" s="51"/>
    </row>
    <row r="104" spans="1:9" x14ac:dyDescent="0.25">
      <c r="A104" s="56" t="s">
        <v>84</v>
      </c>
      <c r="B104" s="58" t="s">
        <v>13</v>
      </c>
      <c r="C104" s="56" t="s">
        <v>84</v>
      </c>
      <c r="D104" s="56" t="s">
        <v>5</v>
      </c>
      <c r="E104" s="55">
        <v>36573</v>
      </c>
      <c r="F104" s="54">
        <f t="shared" ref="F104:F111" ca="1" si="5">DATEDIF(E104,TODAY(),"Y")</f>
        <v>16</v>
      </c>
      <c r="G104" s="53" t="s">
        <v>32</v>
      </c>
      <c r="H104" s="52">
        <v>86530</v>
      </c>
      <c r="I104" s="51">
        <v>1</v>
      </c>
    </row>
    <row r="105" spans="1:9" x14ac:dyDescent="0.25">
      <c r="A105" s="56" t="s">
        <v>84</v>
      </c>
      <c r="B105" s="58" t="s">
        <v>17</v>
      </c>
      <c r="C105" s="56" t="s">
        <v>84</v>
      </c>
      <c r="D105" s="56" t="s">
        <v>5</v>
      </c>
      <c r="E105" s="55">
        <v>37087</v>
      </c>
      <c r="F105" s="54">
        <f t="shared" ca="1" si="5"/>
        <v>15</v>
      </c>
      <c r="G105" s="53" t="s">
        <v>32</v>
      </c>
      <c r="H105" s="52">
        <v>36630</v>
      </c>
      <c r="I105" s="51">
        <v>4</v>
      </c>
    </row>
    <row r="106" spans="1:9" x14ac:dyDescent="0.25">
      <c r="A106" s="56" t="s">
        <v>84</v>
      </c>
      <c r="B106" s="58" t="s">
        <v>13</v>
      </c>
      <c r="C106" s="56" t="s">
        <v>84</v>
      </c>
      <c r="D106" s="56" t="s">
        <v>12</v>
      </c>
      <c r="E106" s="55">
        <v>37445</v>
      </c>
      <c r="F106" s="54">
        <f t="shared" ca="1" si="5"/>
        <v>14</v>
      </c>
      <c r="G106" s="53"/>
      <c r="H106" s="52">
        <v>78860</v>
      </c>
      <c r="I106" s="51">
        <v>2</v>
      </c>
    </row>
    <row r="107" spans="1:9" x14ac:dyDescent="0.25">
      <c r="A107" s="56" t="s">
        <v>84</v>
      </c>
      <c r="B107" s="58" t="s">
        <v>10</v>
      </c>
      <c r="C107" s="56" t="s">
        <v>84</v>
      </c>
      <c r="D107" s="56" t="s">
        <v>5</v>
      </c>
      <c r="E107" s="55">
        <v>38078</v>
      </c>
      <c r="F107" s="54">
        <f t="shared" ca="1" si="5"/>
        <v>12</v>
      </c>
      <c r="G107" s="53" t="s">
        <v>32</v>
      </c>
      <c r="H107" s="52">
        <v>71120</v>
      </c>
      <c r="I107" s="51">
        <v>4</v>
      </c>
    </row>
    <row r="108" spans="1:9" x14ac:dyDescent="0.25">
      <c r="A108" s="56" t="s">
        <v>84</v>
      </c>
      <c r="B108" s="58" t="s">
        <v>17</v>
      </c>
      <c r="C108" s="56" t="s">
        <v>84</v>
      </c>
      <c r="D108" s="56" t="s">
        <v>12</v>
      </c>
      <c r="E108" s="55">
        <v>38219</v>
      </c>
      <c r="F108" s="54">
        <f t="shared" ca="1" si="5"/>
        <v>12</v>
      </c>
      <c r="G108" s="53"/>
      <c r="H108" s="52">
        <v>35620</v>
      </c>
      <c r="I108" s="51">
        <v>4</v>
      </c>
    </row>
    <row r="109" spans="1:9" x14ac:dyDescent="0.25">
      <c r="A109" s="56" t="s">
        <v>84</v>
      </c>
      <c r="B109" s="58" t="s">
        <v>13</v>
      </c>
      <c r="C109" s="56" t="s">
        <v>84</v>
      </c>
      <c r="D109" s="56" t="s">
        <v>5</v>
      </c>
      <c r="E109" s="55">
        <v>38613</v>
      </c>
      <c r="F109" s="54">
        <f t="shared" ca="1" si="5"/>
        <v>11</v>
      </c>
      <c r="G109" s="53" t="s">
        <v>32</v>
      </c>
      <c r="H109" s="52">
        <v>76440</v>
      </c>
      <c r="I109" s="51">
        <v>3</v>
      </c>
    </row>
    <row r="110" spans="1:9" x14ac:dyDescent="0.25">
      <c r="A110" s="56" t="s">
        <v>84</v>
      </c>
      <c r="B110" s="58" t="s">
        <v>13</v>
      </c>
      <c r="C110" s="56" t="s">
        <v>84</v>
      </c>
      <c r="D110" s="56" t="s">
        <v>12</v>
      </c>
      <c r="E110" s="59">
        <v>38943</v>
      </c>
      <c r="F110" s="54">
        <f t="shared" ca="1" si="5"/>
        <v>10</v>
      </c>
      <c r="G110" s="53"/>
      <c r="H110" s="52">
        <v>59350</v>
      </c>
      <c r="I110" s="51">
        <v>5</v>
      </c>
    </row>
    <row r="111" spans="1:9" x14ac:dyDescent="0.25">
      <c r="A111" s="56" t="s">
        <v>84</v>
      </c>
      <c r="B111" s="58" t="s">
        <v>56</v>
      </c>
      <c r="C111" s="56" t="s">
        <v>84</v>
      </c>
      <c r="D111" s="56" t="s">
        <v>15</v>
      </c>
      <c r="E111" s="59">
        <v>39195</v>
      </c>
      <c r="F111" s="54">
        <f t="shared" ca="1" si="5"/>
        <v>9</v>
      </c>
      <c r="G111" s="53" t="s">
        <v>4</v>
      </c>
      <c r="H111" s="52">
        <v>46230</v>
      </c>
      <c r="I111" s="51">
        <v>2</v>
      </c>
    </row>
    <row r="112" spans="1:9" x14ac:dyDescent="0.25">
      <c r="A112" s="57"/>
      <c r="B112" s="58"/>
      <c r="C112" s="57"/>
      <c r="D112" s="56"/>
      <c r="E112" s="59"/>
      <c r="F112" s="54"/>
      <c r="G112" s="53"/>
      <c r="H112" s="52"/>
      <c r="I112" s="51"/>
    </row>
    <row r="113" spans="1:9" x14ac:dyDescent="0.25">
      <c r="A113" s="56" t="s">
        <v>16</v>
      </c>
      <c r="B113" s="58" t="s">
        <v>13</v>
      </c>
      <c r="C113" s="56" t="s">
        <v>16</v>
      </c>
      <c r="D113" s="56" t="s">
        <v>5</v>
      </c>
      <c r="E113" s="55">
        <v>31761</v>
      </c>
      <c r="F113" s="54">
        <f t="shared" ref="F113:F121" ca="1" si="6">DATEDIF(E113,TODAY(),"Y")</f>
        <v>29</v>
      </c>
      <c r="G113" s="53" t="s">
        <v>4</v>
      </c>
      <c r="H113" s="52">
        <v>69060</v>
      </c>
      <c r="I113" s="51">
        <v>1</v>
      </c>
    </row>
    <row r="114" spans="1:9" x14ac:dyDescent="0.25">
      <c r="A114" s="56" t="s">
        <v>16</v>
      </c>
      <c r="B114" s="58" t="s">
        <v>17</v>
      </c>
      <c r="C114" s="56" t="s">
        <v>16</v>
      </c>
      <c r="D114" s="56" t="s">
        <v>5</v>
      </c>
      <c r="E114" s="55">
        <v>34139</v>
      </c>
      <c r="F114" s="54">
        <f t="shared" ca="1" si="6"/>
        <v>23</v>
      </c>
      <c r="G114" s="53" t="s">
        <v>4</v>
      </c>
      <c r="H114" s="52">
        <v>22920</v>
      </c>
      <c r="I114" s="51">
        <v>3</v>
      </c>
    </row>
    <row r="115" spans="1:9" x14ac:dyDescent="0.25">
      <c r="A115" s="56" t="s">
        <v>16</v>
      </c>
      <c r="B115" s="58" t="s">
        <v>2</v>
      </c>
      <c r="C115" s="56" t="s">
        <v>16</v>
      </c>
      <c r="D115" s="56" t="s">
        <v>5</v>
      </c>
      <c r="E115" s="55">
        <v>34204</v>
      </c>
      <c r="F115" s="54">
        <f t="shared" ca="1" si="6"/>
        <v>23</v>
      </c>
      <c r="G115" s="53" t="s">
        <v>19</v>
      </c>
      <c r="H115" s="52">
        <v>26510</v>
      </c>
      <c r="I115" s="51">
        <v>1</v>
      </c>
    </row>
    <row r="116" spans="1:9" x14ac:dyDescent="0.25">
      <c r="A116" s="56" t="s">
        <v>16</v>
      </c>
      <c r="B116" s="58" t="s">
        <v>10</v>
      </c>
      <c r="C116" s="56" t="s">
        <v>16</v>
      </c>
      <c r="D116" s="56" t="s">
        <v>5</v>
      </c>
      <c r="E116" s="55">
        <v>34872</v>
      </c>
      <c r="F116" s="54">
        <f t="shared" ca="1" si="6"/>
        <v>21</v>
      </c>
      <c r="G116" s="53" t="s">
        <v>4</v>
      </c>
      <c r="H116" s="52">
        <v>68300</v>
      </c>
      <c r="I116" s="51">
        <v>5</v>
      </c>
    </row>
    <row r="117" spans="1:9" x14ac:dyDescent="0.25">
      <c r="A117" s="56" t="s">
        <v>16</v>
      </c>
      <c r="B117" s="58" t="s">
        <v>17</v>
      </c>
      <c r="C117" s="56" t="s">
        <v>16</v>
      </c>
      <c r="D117" s="56" t="s">
        <v>5</v>
      </c>
      <c r="E117" s="55">
        <v>34939</v>
      </c>
      <c r="F117" s="54">
        <f t="shared" ca="1" si="6"/>
        <v>21</v>
      </c>
      <c r="G117" s="53" t="s">
        <v>32</v>
      </c>
      <c r="H117" s="52">
        <v>49860</v>
      </c>
      <c r="I117" s="51">
        <v>2</v>
      </c>
    </row>
    <row r="118" spans="1:9" x14ac:dyDescent="0.25">
      <c r="A118" s="56" t="s">
        <v>16</v>
      </c>
      <c r="B118" s="58" t="s">
        <v>13</v>
      </c>
      <c r="C118" s="56" t="s">
        <v>16</v>
      </c>
      <c r="D118" s="56" t="s">
        <v>5</v>
      </c>
      <c r="E118" s="55">
        <v>37837</v>
      </c>
      <c r="F118" s="54">
        <f t="shared" ca="1" si="6"/>
        <v>13</v>
      </c>
      <c r="G118" s="53" t="s">
        <v>4</v>
      </c>
      <c r="H118" s="52">
        <v>43680</v>
      </c>
      <c r="I118" s="51">
        <v>5</v>
      </c>
    </row>
    <row r="119" spans="1:9" x14ac:dyDescent="0.25">
      <c r="A119" s="56" t="s">
        <v>16</v>
      </c>
      <c r="B119" s="58" t="s">
        <v>17</v>
      </c>
      <c r="C119" s="56" t="s">
        <v>16</v>
      </c>
      <c r="D119" s="56" t="s">
        <v>0</v>
      </c>
      <c r="E119" s="59">
        <v>39003</v>
      </c>
      <c r="F119" s="54">
        <f t="shared" ca="1" si="6"/>
        <v>10</v>
      </c>
      <c r="G119" s="53"/>
      <c r="H119" s="52">
        <v>27484</v>
      </c>
      <c r="I119" s="51">
        <v>4</v>
      </c>
    </row>
    <row r="120" spans="1:9" x14ac:dyDescent="0.25">
      <c r="A120" s="56" t="s">
        <v>16</v>
      </c>
      <c r="B120" s="58" t="s">
        <v>17</v>
      </c>
      <c r="C120" s="56" t="s">
        <v>16</v>
      </c>
      <c r="D120" s="56" t="s">
        <v>15</v>
      </c>
      <c r="E120" s="59">
        <v>39206</v>
      </c>
      <c r="F120" s="54">
        <f t="shared" ca="1" si="6"/>
        <v>9</v>
      </c>
      <c r="G120" s="53" t="s">
        <v>4</v>
      </c>
      <c r="H120" s="52">
        <v>28625</v>
      </c>
      <c r="I120" s="51">
        <v>1</v>
      </c>
    </row>
    <row r="121" spans="1:9" x14ac:dyDescent="0.25">
      <c r="A121" s="56" t="s">
        <v>16</v>
      </c>
      <c r="B121" s="58" t="s">
        <v>13</v>
      </c>
      <c r="C121" s="56" t="s">
        <v>16</v>
      </c>
      <c r="D121" s="56" t="s">
        <v>15</v>
      </c>
      <c r="E121" s="55">
        <v>39262</v>
      </c>
      <c r="F121" s="54">
        <f t="shared" ca="1" si="6"/>
        <v>9</v>
      </c>
      <c r="G121" s="53" t="s">
        <v>4</v>
      </c>
      <c r="H121" s="52">
        <v>10520</v>
      </c>
      <c r="I121" s="51">
        <v>4</v>
      </c>
    </row>
    <row r="122" spans="1:9" x14ac:dyDescent="0.25">
      <c r="A122" s="57"/>
      <c r="B122" s="58"/>
      <c r="C122" s="57"/>
      <c r="D122" s="56"/>
      <c r="E122" s="55"/>
      <c r="F122" s="54"/>
      <c r="G122" s="53"/>
      <c r="H122" s="52"/>
      <c r="I122" s="51"/>
    </row>
    <row r="123" spans="1:9" x14ac:dyDescent="0.25">
      <c r="A123" s="56" t="s">
        <v>44</v>
      </c>
      <c r="B123" s="58" t="s">
        <v>13</v>
      </c>
      <c r="C123" s="56" t="s">
        <v>44</v>
      </c>
      <c r="D123" s="56" t="s">
        <v>0</v>
      </c>
      <c r="E123" s="55">
        <v>31873</v>
      </c>
      <c r="F123" s="54">
        <f t="shared" ref="F123:F141" ca="1" si="7">DATEDIF(E123,TODAY(),"Y")</f>
        <v>29</v>
      </c>
      <c r="G123" s="53"/>
      <c r="H123" s="52">
        <v>14712</v>
      </c>
      <c r="I123" s="51">
        <v>5</v>
      </c>
    </row>
    <row r="124" spans="1:9" x14ac:dyDescent="0.25">
      <c r="A124" s="56" t="s">
        <v>44</v>
      </c>
      <c r="B124" s="58" t="s">
        <v>56</v>
      </c>
      <c r="C124" s="56" t="s">
        <v>44</v>
      </c>
      <c r="D124" s="56" t="s">
        <v>12</v>
      </c>
      <c r="E124" s="55">
        <v>31935</v>
      </c>
      <c r="F124" s="54">
        <f t="shared" ca="1" si="7"/>
        <v>29</v>
      </c>
      <c r="G124" s="53"/>
      <c r="H124" s="52">
        <v>80050</v>
      </c>
      <c r="I124" s="51">
        <v>2</v>
      </c>
    </row>
    <row r="125" spans="1:9" x14ac:dyDescent="0.25">
      <c r="A125" s="56" t="s">
        <v>44</v>
      </c>
      <c r="B125" s="58" t="s">
        <v>39</v>
      </c>
      <c r="C125" s="56" t="s">
        <v>44</v>
      </c>
      <c r="D125" s="56" t="s">
        <v>5</v>
      </c>
      <c r="E125" s="55">
        <v>32137</v>
      </c>
      <c r="F125" s="54">
        <f t="shared" ca="1" si="7"/>
        <v>28</v>
      </c>
      <c r="G125" s="53" t="s">
        <v>4</v>
      </c>
      <c r="H125" s="52">
        <v>37620</v>
      </c>
      <c r="I125" s="51">
        <v>5</v>
      </c>
    </row>
    <row r="126" spans="1:9" x14ac:dyDescent="0.25">
      <c r="A126" s="56" t="s">
        <v>44</v>
      </c>
      <c r="B126" s="58" t="s">
        <v>17</v>
      </c>
      <c r="C126" s="56" t="s">
        <v>44</v>
      </c>
      <c r="D126" s="56" t="s">
        <v>5</v>
      </c>
      <c r="E126" s="55">
        <v>32303</v>
      </c>
      <c r="F126" s="54">
        <f t="shared" ca="1" si="7"/>
        <v>28</v>
      </c>
      <c r="G126" s="53" t="s">
        <v>19</v>
      </c>
      <c r="H126" s="52">
        <v>82500</v>
      </c>
      <c r="I126" s="51">
        <v>5</v>
      </c>
    </row>
    <row r="127" spans="1:9" x14ac:dyDescent="0.25">
      <c r="A127" s="56" t="s">
        <v>44</v>
      </c>
      <c r="B127" s="58" t="s">
        <v>13</v>
      </c>
      <c r="C127" s="56" t="s">
        <v>44</v>
      </c>
      <c r="D127" s="56" t="s">
        <v>5</v>
      </c>
      <c r="E127" s="55">
        <v>32513</v>
      </c>
      <c r="F127" s="54">
        <f t="shared" ca="1" si="7"/>
        <v>27</v>
      </c>
      <c r="G127" s="53" t="s">
        <v>4</v>
      </c>
      <c r="H127" s="52">
        <v>82760</v>
      </c>
      <c r="I127" s="51">
        <v>4</v>
      </c>
    </row>
    <row r="128" spans="1:9" x14ac:dyDescent="0.25">
      <c r="A128" s="56" t="s">
        <v>44</v>
      </c>
      <c r="B128" s="58" t="s">
        <v>13</v>
      </c>
      <c r="C128" s="56" t="s">
        <v>44</v>
      </c>
      <c r="D128" s="56" t="s">
        <v>15</v>
      </c>
      <c r="E128" s="55">
        <v>32684</v>
      </c>
      <c r="F128" s="54">
        <f t="shared" ca="1" si="7"/>
        <v>27</v>
      </c>
      <c r="G128" s="53" t="s">
        <v>8</v>
      </c>
      <c r="H128" s="52">
        <v>18655</v>
      </c>
      <c r="I128" s="51">
        <v>4</v>
      </c>
    </row>
    <row r="129" spans="1:9" x14ac:dyDescent="0.25">
      <c r="A129" s="56" t="s">
        <v>44</v>
      </c>
      <c r="B129" s="58" t="s">
        <v>39</v>
      </c>
      <c r="C129" s="56" t="s">
        <v>44</v>
      </c>
      <c r="D129" s="56" t="s">
        <v>12</v>
      </c>
      <c r="E129" s="55">
        <v>33840</v>
      </c>
      <c r="F129" s="54">
        <f t="shared" ca="1" si="7"/>
        <v>24</v>
      </c>
      <c r="G129" s="53"/>
      <c r="H129" s="52">
        <v>35260</v>
      </c>
      <c r="I129" s="51">
        <v>2</v>
      </c>
    </row>
    <row r="130" spans="1:9" x14ac:dyDescent="0.25">
      <c r="A130" s="56" t="s">
        <v>44</v>
      </c>
      <c r="B130" s="58" t="s">
        <v>2</v>
      </c>
      <c r="C130" s="56" t="s">
        <v>44</v>
      </c>
      <c r="D130" s="56" t="s">
        <v>5</v>
      </c>
      <c r="E130" s="55">
        <v>34177</v>
      </c>
      <c r="F130" s="54">
        <f t="shared" ca="1" si="7"/>
        <v>23</v>
      </c>
      <c r="G130" s="53" t="s">
        <v>32</v>
      </c>
      <c r="H130" s="52">
        <v>80120</v>
      </c>
      <c r="I130" s="51">
        <v>4</v>
      </c>
    </row>
    <row r="131" spans="1:9" x14ac:dyDescent="0.25">
      <c r="A131" s="56" t="s">
        <v>44</v>
      </c>
      <c r="B131" s="58" t="s">
        <v>13</v>
      </c>
      <c r="C131" s="56" t="s">
        <v>44</v>
      </c>
      <c r="D131" s="56" t="s">
        <v>0</v>
      </c>
      <c r="E131" s="55">
        <v>34363</v>
      </c>
      <c r="F131" s="54">
        <f t="shared" ca="1" si="7"/>
        <v>22</v>
      </c>
      <c r="G131" s="53"/>
      <c r="H131" s="52">
        <v>12676</v>
      </c>
      <c r="I131" s="51">
        <v>2</v>
      </c>
    </row>
    <row r="132" spans="1:9" x14ac:dyDescent="0.25">
      <c r="A132" s="56" t="s">
        <v>44</v>
      </c>
      <c r="B132" s="58" t="s">
        <v>17</v>
      </c>
      <c r="C132" s="56" t="s">
        <v>44</v>
      </c>
      <c r="D132" s="56" t="s">
        <v>12</v>
      </c>
      <c r="E132" s="55">
        <v>34427</v>
      </c>
      <c r="F132" s="54">
        <f t="shared" ca="1" si="7"/>
        <v>22</v>
      </c>
      <c r="G132" s="53"/>
      <c r="H132" s="52">
        <v>76020</v>
      </c>
      <c r="I132" s="51">
        <v>1</v>
      </c>
    </row>
    <row r="133" spans="1:9" x14ac:dyDescent="0.25">
      <c r="A133" s="56" t="s">
        <v>44</v>
      </c>
      <c r="B133" s="58" t="s">
        <v>17</v>
      </c>
      <c r="C133" s="56" t="s">
        <v>44</v>
      </c>
      <c r="D133" s="56" t="s">
        <v>12</v>
      </c>
      <c r="E133" s="55">
        <v>34649</v>
      </c>
      <c r="F133" s="54">
        <f t="shared" ca="1" si="7"/>
        <v>21</v>
      </c>
      <c r="G133" s="53"/>
      <c r="H133" s="52">
        <v>64470</v>
      </c>
      <c r="I133" s="51">
        <v>3</v>
      </c>
    </row>
    <row r="134" spans="1:9" x14ac:dyDescent="0.25">
      <c r="A134" s="56" t="s">
        <v>44</v>
      </c>
      <c r="B134" s="58" t="s">
        <v>17</v>
      </c>
      <c r="C134" s="56" t="s">
        <v>44</v>
      </c>
      <c r="D134" s="56" t="s">
        <v>5</v>
      </c>
      <c r="E134" s="55">
        <v>34767</v>
      </c>
      <c r="F134" s="54">
        <f t="shared" ca="1" si="7"/>
        <v>21</v>
      </c>
      <c r="G134" s="53" t="s">
        <v>4</v>
      </c>
      <c r="H134" s="52">
        <v>50110</v>
      </c>
      <c r="I134" s="51">
        <v>1</v>
      </c>
    </row>
    <row r="135" spans="1:9" x14ac:dyDescent="0.25">
      <c r="A135" s="56" t="s">
        <v>44</v>
      </c>
      <c r="B135" s="58" t="s">
        <v>56</v>
      </c>
      <c r="C135" s="56" t="s">
        <v>44</v>
      </c>
      <c r="D135" s="56" t="s">
        <v>12</v>
      </c>
      <c r="E135" s="55">
        <v>34866</v>
      </c>
      <c r="F135" s="54">
        <f t="shared" ca="1" si="7"/>
        <v>21</v>
      </c>
      <c r="G135" s="53"/>
      <c r="H135" s="52">
        <v>32940</v>
      </c>
      <c r="I135" s="51">
        <v>5</v>
      </c>
    </row>
    <row r="136" spans="1:9" x14ac:dyDescent="0.25">
      <c r="A136" s="56" t="s">
        <v>44</v>
      </c>
      <c r="B136" s="58" t="s">
        <v>13</v>
      </c>
      <c r="C136" s="56" t="s">
        <v>44</v>
      </c>
      <c r="D136" s="56" t="s">
        <v>5</v>
      </c>
      <c r="E136" s="55">
        <v>34959</v>
      </c>
      <c r="F136" s="54">
        <f t="shared" ca="1" si="7"/>
        <v>21</v>
      </c>
      <c r="G136" s="53" t="s">
        <v>4</v>
      </c>
      <c r="H136" s="52">
        <v>61330</v>
      </c>
      <c r="I136" s="51">
        <v>1</v>
      </c>
    </row>
    <row r="137" spans="1:9" x14ac:dyDescent="0.25">
      <c r="A137" s="56" t="s">
        <v>44</v>
      </c>
      <c r="B137" s="58" t="s">
        <v>2</v>
      </c>
      <c r="C137" s="56" t="s">
        <v>44</v>
      </c>
      <c r="D137" s="56" t="s">
        <v>12</v>
      </c>
      <c r="E137" s="55">
        <v>35032</v>
      </c>
      <c r="F137" s="54">
        <f t="shared" ca="1" si="7"/>
        <v>20</v>
      </c>
      <c r="G137" s="53"/>
      <c r="H137" s="52">
        <v>86970</v>
      </c>
      <c r="I137" s="51">
        <v>4</v>
      </c>
    </row>
    <row r="138" spans="1:9" x14ac:dyDescent="0.25">
      <c r="A138" s="56" t="s">
        <v>44</v>
      </c>
      <c r="B138" s="58" t="s">
        <v>17</v>
      </c>
      <c r="C138" s="56" t="s">
        <v>44</v>
      </c>
      <c r="D138" s="56" t="s">
        <v>15</v>
      </c>
      <c r="E138" s="55">
        <v>35047</v>
      </c>
      <c r="F138" s="54">
        <f t="shared" ca="1" si="7"/>
        <v>20</v>
      </c>
      <c r="G138" s="53" t="s">
        <v>8</v>
      </c>
      <c r="H138" s="52">
        <v>42905</v>
      </c>
      <c r="I138" s="51">
        <v>1</v>
      </c>
    </row>
    <row r="139" spans="1:9" x14ac:dyDescent="0.25">
      <c r="A139" s="56" t="s">
        <v>44</v>
      </c>
      <c r="B139" s="58" t="s">
        <v>17</v>
      </c>
      <c r="C139" s="56" t="s">
        <v>44</v>
      </c>
      <c r="D139" s="56" t="s">
        <v>5</v>
      </c>
      <c r="E139" s="55">
        <v>35803</v>
      </c>
      <c r="F139" s="54">
        <f t="shared" ca="1" si="7"/>
        <v>18</v>
      </c>
      <c r="G139" s="53" t="s">
        <v>19</v>
      </c>
      <c r="H139" s="52">
        <v>61150</v>
      </c>
      <c r="I139" s="51">
        <v>4</v>
      </c>
    </row>
    <row r="140" spans="1:9" x14ac:dyDescent="0.25">
      <c r="A140" s="56" t="s">
        <v>44</v>
      </c>
      <c r="B140" s="58" t="s">
        <v>2</v>
      </c>
      <c r="C140" s="56" t="s">
        <v>44</v>
      </c>
      <c r="D140" s="56" t="s">
        <v>5</v>
      </c>
      <c r="E140" s="55">
        <v>36302</v>
      </c>
      <c r="F140" s="54">
        <f t="shared" ca="1" si="7"/>
        <v>17</v>
      </c>
      <c r="G140" s="53" t="s">
        <v>19</v>
      </c>
      <c r="H140" s="52">
        <v>39740</v>
      </c>
      <c r="I140" s="51">
        <v>1</v>
      </c>
    </row>
    <row r="141" spans="1:9" x14ac:dyDescent="0.25">
      <c r="A141" s="56" t="s">
        <v>44</v>
      </c>
      <c r="B141" s="58" t="s">
        <v>10</v>
      </c>
      <c r="C141" s="56" t="s">
        <v>44</v>
      </c>
      <c r="D141" s="56" t="s">
        <v>12</v>
      </c>
      <c r="E141" s="55">
        <v>36357</v>
      </c>
      <c r="F141" s="54">
        <f t="shared" ca="1" si="7"/>
        <v>17</v>
      </c>
      <c r="G141" s="53"/>
      <c r="H141" s="52">
        <v>73390</v>
      </c>
      <c r="I141" s="51">
        <v>2</v>
      </c>
    </row>
    <row r="142" spans="1:9" x14ac:dyDescent="0.25">
      <c r="A142" s="57"/>
      <c r="B142" s="58"/>
      <c r="C142" s="57"/>
      <c r="D142" s="56"/>
      <c r="E142" s="55"/>
      <c r="F142" s="54"/>
      <c r="G142" s="53"/>
      <c r="H142" s="52"/>
      <c r="I142" s="51"/>
    </row>
    <row r="143" spans="1:9" x14ac:dyDescent="0.25">
      <c r="A143" s="56" t="s">
        <v>247</v>
      </c>
      <c r="B143" s="58" t="s">
        <v>17</v>
      </c>
      <c r="C143" s="56" t="s">
        <v>247</v>
      </c>
      <c r="D143" s="56" t="s">
        <v>5</v>
      </c>
      <c r="E143" s="55">
        <v>34019</v>
      </c>
      <c r="F143" s="54">
        <f t="shared" ref="F143:F148" ca="1" si="8">DATEDIF(E143,TODAY(),"Y")</f>
        <v>23</v>
      </c>
      <c r="G143" s="53" t="s">
        <v>32</v>
      </c>
      <c r="H143" s="52">
        <v>66740</v>
      </c>
      <c r="I143" s="51">
        <v>2</v>
      </c>
    </row>
    <row r="144" spans="1:9" x14ac:dyDescent="0.25">
      <c r="A144" s="56" t="s">
        <v>247</v>
      </c>
      <c r="B144" s="58" t="s">
        <v>17</v>
      </c>
      <c r="C144" s="56" t="s">
        <v>247</v>
      </c>
      <c r="D144" s="56" t="s">
        <v>5</v>
      </c>
      <c r="E144" s="55">
        <v>34019</v>
      </c>
      <c r="F144" s="54">
        <f t="shared" ca="1" si="8"/>
        <v>23</v>
      </c>
      <c r="G144" s="53" t="s">
        <v>32</v>
      </c>
      <c r="H144" s="52">
        <v>66740</v>
      </c>
      <c r="I144" s="51">
        <v>2</v>
      </c>
    </row>
    <row r="145" spans="1:9" x14ac:dyDescent="0.25">
      <c r="A145" s="56" t="s">
        <v>247</v>
      </c>
      <c r="B145" s="58" t="s">
        <v>39</v>
      </c>
      <c r="C145" s="56" t="s">
        <v>247</v>
      </c>
      <c r="D145" s="56" t="s">
        <v>5</v>
      </c>
      <c r="E145" s="55">
        <v>35259</v>
      </c>
      <c r="F145" s="54">
        <f t="shared" ca="1" si="8"/>
        <v>20</v>
      </c>
      <c r="G145" s="53" t="s">
        <v>4</v>
      </c>
      <c r="H145" s="52">
        <v>75060</v>
      </c>
      <c r="I145" s="51">
        <v>5</v>
      </c>
    </row>
    <row r="146" spans="1:9" x14ac:dyDescent="0.25">
      <c r="A146" s="56" t="s">
        <v>247</v>
      </c>
      <c r="B146" s="58" t="s">
        <v>13</v>
      </c>
      <c r="C146" s="56" t="s">
        <v>247</v>
      </c>
      <c r="D146" s="56" t="s">
        <v>12</v>
      </c>
      <c r="E146" s="55">
        <v>37217</v>
      </c>
      <c r="F146" s="54">
        <f t="shared" ca="1" si="8"/>
        <v>14</v>
      </c>
      <c r="G146" s="53"/>
      <c r="H146" s="52">
        <v>60060</v>
      </c>
      <c r="I146" s="51">
        <v>2</v>
      </c>
    </row>
    <row r="147" spans="1:9" x14ac:dyDescent="0.25">
      <c r="A147" s="56" t="s">
        <v>247</v>
      </c>
      <c r="B147" s="58" t="s">
        <v>13</v>
      </c>
      <c r="C147" s="56" t="s">
        <v>247</v>
      </c>
      <c r="D147" s="56" t="s">
        <v>5</v>
      </c>
      <c r="E147" s="55">
        <v>37277</v>
      </c>
      <c r="F147" s="54">
        <f t="shared" ca="1" si="8"/>
        <v>14</v>
      </c>
      <c r="G147" s="53" t="s">
        <v>32</v>
      </c>
      <c r="H147" s="52">
        <v>47350</v>
      </c>
      <c r="I147" s="51">
        <v>5</v>
      </c>
    </row>
    <row r="148" spans="1:9" x14ac:dyDescent="0.25">
      <c r="A148" s="56" t="s">
        <v>247</v>
      </c>
      <c r="B148" s="58" t="s">
        <v>39</v>
      </c>
      <c r="C148" s="56" t="s">
        <v>247</v>
      </c>
      <c r="D148" s="56" t="s">
        <v>5</v>
      </c>
      <c r="E148" s="59">
        <v>39090</v>
      </c>
      <c r="F148" s="54">
        <f t="shared" ca="1" si="8"/>
        <v>9</v>
      </c>
      <c r="G148" s="53" t="s">
        <v>4</v>
      </c>
      <c r="H148" s="52">
        <v>79150</v>
      </c>
      <c r="I148" s="51">
        <v>2</v>
      </c>
    </row>
    <row r="149" spans="1:9" x14ac:dyDescent="0.25">
      <c r="A149" s="57"/>
      <c r="B149" s="58"/>
      <c r="C149" s="57"/>
      <c r="D149" s="56"/>
      <c r="E149" s="59"/>
      <c r="F149" s="54"/>
      <c r="G149" s="53"/>
      <c r="H149" s="52"/>
      <c r="I149" s="51"/>
    </row>
    <row r="150" spans="1:9" x14ac:dyDescent="0.25">
      <c r="A150" s="56" t="s">
        <v>72</v>
      </c>
      <c r="B150" s="58" t="s">
        <v>10</v>
      </c>
      <c r="C150" s="56" t="s">
        <v>72</v>
      </c>
      <c r="D150" s="56" t="s">
        <v>5</v>
      </c>
      <c r="E150" s="55">
        <v>31769</v>
      </c>
      <c r="F150" s="54">
        <f t="shared" ref="F150:F188" ca="1" si="9">DATEDIF(E150,TODAY(),"Y")</f>
        <v>29</v>
      </c>
      <c r="G150" s="53" t="s">
        <v>8</v>
      </c>
      <c r="H150" s="52">
        <v>32360</v>
      </c>
      <c r="I150" s="51">
        <v>4</v>
      </c>
    </row>
    <row r="151" spans="1:9" x14ac:dyDescent="0.25">
      <c r="A151" s="56" t="s">
        <v>72</v>
      </c>
      <c r="B151" s="58" t="s">
        <v>17</v>
      </c>
      <c r="C151" s="56" t="s">
        <v>72</v>
      </c>
      <c r="D151" s="56" t="s">
        <v>5</v>
      </c>
      <c r="E151" s="55">
        <v>31807</v>
      </c>
      <c r="F151" s="54">
        <f t="shared" ca="1" si="9"/>
        <v>29</v>
      </c>
      <c r="G151" s="53" t="s">
        <v>19</v>
      </c>
      <c r="H151" s="52">
        <v>35360</v>
      </c>
      <c r="I151" s="51">
        <v>5</v>
      </c>
    </row>
    <row r="152" spans="1:9" x14ac:dyDescent="0.25">
      <c r="A152" s="56" t="s">
        <v>72</v>
      </c>
      <c r="B152" s="58" t="s">
        <v>17</v>
      </c>
      <c r="C152" s="56" t="s">
        <v>72</v>
      </c>
      <c r="D152" s="56" t="s">
        <v>5</v>
      </c>
      <c r="E152" s="55">
        <v>32095</v>
      </c>
      <c r="F152" s="54">
        <f t="shared" ca="1" si="9"/>
        <v>28</v>
      </c>
      <c r="G152" s="53" t="s">
        <v>4</v>
      </c>
      <c r="H152" s="52">
        <v>32140</v>
      </c>
      <c r="I152" s="51">
        <v>2</v>
      </c>
    </row>
    <row r="153" spans="1:9" x14ac:dyDescent="0.25">
      <c r="A153" s="56" t="s">
        <v>72</v>
      </c>
      <c r="B153" s="58" t="s">
        <v>13</v>
      </c>
      <c r="C153" s="56" t="s">
        <v>72</v>
      </c>
      <c r="D153" s="56" t="s">
        <v>12</v>
      </c>
      <c r="E153" s="55">
        <v>32114</v>
      </c>
      <c r="F153" s="54">
        <f t="shared" ca="1" si="9"/>
        <v>28</v>
      </c>
      <c r="G153" s="53"/>
      <c r="H153" s="52">
        <v>22320</v>
      </c>
      <c r="I153" s="51">
        <v>2</v>
      </c>
    </row>
    <row r="154" spans="1:9" x14ac:dyDescent="0.25">
      <c r="A154" s="56" t="s">
        <v>72</v>
      </c>
      <c r="B154" s="58" t="s">
        <v>39</v>
      </c>
      <c r="C154" s="56" t="s">
        <v>72</v>
      </c>
      <c r="D154" s="56" t="s">
        <v>15</v>
      </c>
      <c r="E154" s="55">
        <v>32399</v>
      </c>
      <c r="F154" s="54">
        <f t="shared" ca="1" si="9"/>
        <v>28</v>
      </c>
      <c r="G154" s="53" t="s">
        <v>32</v>
      </c>
      <c r="H154" s="52">
        <v>34110</v>
      </c>
      <c r="I154" s="51">
        <v>4</v>
      </c>
    </row>
    <row r="155" spans="1:9" x14ac:dyDescent="0.25">
      <c r="A155" s="56" t="s">
        <v>72</v>
      </c>
      <c r="B155" s="58" t="s">
        <v>10</v>
      </c>
      <c r="C155" s="56" t="s">
        <v>72</v>
      </c>
      <c r="D155" s="56" t="s">
        <v>5</v>
      </c>
      <c r="E155" s="55">
        <v>32562</v>
      </c>
      <c r="F155" s="54">
        <f t="shared" ca="1" si="9"/>
        <v>27</v>
      </c>
      <c r="G155" s="53" t="s">
        <v>32</v>
      </c>
      <c r="H155" s="52">
        <v>64510</v>
      </c>
      <c r="I155" s="51">
        <v>3</v>
      </c>
    </row>
    <row r="156" spans="1:9" x14ac:dyDescent="0.25">
      <c r="A156" s="56" t="s">
        <v>72</v>
      </c>
      <c r="B156" s="58" t="s">
        <v>56</v>
      </c>
      <c r="C156" s="56" t="s">
        <v>72</v>
      </c>
      <c r="D156" s="56" t="s">
        <v>5</v>
      </c>
      <c r="E156" s="55">
        <v>32613</v>
      </c>
      <c r="F156" s="54">
        <f t="shared" ca="1" si="9"/>
        <v>27</v>
      </c>
      <c r="G156" s="53" t="s">
        <v>4</v>
      </c>
      <c r="H156" s="52">
        <v>46340</v>
      </c>
      <c r="I156" s="51">
        <v>5</v>
      </c>
    </row>
    <row r="157" spans="1:9" x14ac:dyDescent="0.25">
      <c r="A157" s="56" t="s">
        <v>72</v>
      </c>
      <c r="B157" s="58" t="s">
        <v>56</v>
      </c>
      <c r="C157" s="56" t="s">
        <v>72</v>
      </c>
      <c r="D157" s="56" t="s">
        <v>5</v>
      </c>
      <c r="E157" s="55">
        <v>32613</v>
      </c>
      <c r="F157" s="54">
        <f t="shared" ca="1" si="9"/>
        <v>27</v>
      </c>
      <c r="G157" s="53" t="s">
        <v>4</v>
      </c>
      <c r="H157" s="52">
        <v>46340</v>
      </c>
      <c r="I157" s="51">
        <v>5</v>
      </c>
    </row>
    <row r="158" spans="1:9" x14ac:dyDescent="0.25">
      <c r="A158" s="56" t="s">
        <v>72</v>
      </c>
      <c r="B158" s="58" t="s">
        <v>17</v>
      </c>
      <c r="C158" s="56" t="s">
        <v>72</v>
      </c>
      <c r="D158" s="56" t="s">
        <v>12</v>
      </c>
      <c r="E158" s="55">
        <v>32639</v>
      </c>
      <c r="F158" s="54">
        <f t="shared" ca="1" si="9"/>
        <v>27</v>
      </c>
      <c r="G158" s="53"/>
      <c r="H158" s="52">
        <v>81070</v>
      </c>
      <c r="I158" s="51">
        <v>5</v>
      </c>
    </row>
    <row r="159" spans="1:9" x14ac:dyDescent="0.25">
      <c r="A159" s="56" t="s">
        <v>72</v>
      </c>
      <c r="B159" s="58" t="s">
        <v>13</v>
      </c>
      <c r="C159" s="56" t="s">
        <v>72</v>
      </c>
      <c r="D159" s="56" t="s">
        <v>5</v>
      </c>
      <c r="E159" s="55">
        <v>32776</v>
      </c>
      <c r="F159" s="54">
        <f t="shared" ca="1" si="9"/>
        <v>27</v>
      </c>
      <c r="G159" s="53" t="s">
        <v>32</v>
      </c>
      <c r="H159" s="52">
        <v>31840</v>
      </c>
      <c r="I159" s="51">
        <v>1</v>
      </c>
    </row>
    <row r="160" spans="1:9" x14ac:dyDescent="0.25">
      <c r="A160" s="56" t="s">
        <v>72</v>
      </c>
      <c r="B160" s="58" t="s">
        <v>39</v>
      </c>
      <c r="C160" s="56" t="s">
        <v>72</v>
      </c>
      <c r="D160" s="56" t="s">
        <v>12</v>
      </c>
      <c r="E160" s="55">
        <v>32851</v>
      </c>
      <c r="F160" s="54">
        <f t="shared" ca="1" si="9"/>
        <v>26</v>
      </c>
      <c r="G160" s="53"/>
      <c r="H160" s="52">
        <v>64090</v>
      </c>
      <c r="I160" s="51">
        <v>2</v>
      </c>
    </row>
    <row r="161" spans="1:9" x14ac:dyDescent="0.25">
      <c r="A161" s="56" t="s">
        <v>72</v>
      </c>
      <c r="B161" s="58" t="s">
        <v>17</v>
      </c>
      <c r="C161" s="56" t="s">
        <v>72</v>
      </c>
      <c r="D161" s="56" t="s">
        <v>5</v>
      </c>
      <c r="E161" s="55">
        <v>32903</v>
      </c>
      <c r="F161" s="54">
        <f t="shared" ca="1" si="9"/>
        <v>26</v>
      </c>
      <c r="G161" s="53" t="s">
        <v>32</v>
      </c>
      <c r="H161" s="52">
        <v>72900</v>
      </c>
      <c r="I161" s="51">
        <v>3</v>
      </c>
    </row>
    <row r="162" spans="1:9" x14ac:dyDescent="0.25">
      <c r="A162" s="56" t="s">
        <v>72</v>
      </c>
      <c r="B162" s="58" t="s">
        <v>13</v>
      </c>
      <c r="C162" s="56" t="s">
        <v>72</v>
      </c>
      <c r="D162" s="56" t="s">
        <v>15</v>
      </c>
      <c r="E162" s="55">
        <v>33445</v>
      </c>
      <c r="F162" s="54">
        <f t="shared" ca="1" si="9"/>
        <v>25</v>
      </c>
      <c r="G162" s="53" t="s">
        <v>19</v>
      </c>
      <c r="H162" s="52">
        <v>15005</v>
      </c>
      <c r="I162" s="51">
        <v>4</v>
      </c>
    </row>
    <row r="163" spans="1:9" x14ac:dyDescent="0.25">
      <c r="A163" s="56" t="s">
        <v>72</v>
      </c>
      <c r="B163" s="58" t="s">
        <v>39</v>
      </c>
      <c r="C163" s="56" t="s">
        <v>72</v>
      </c>
      <c r="D163" s="56" t="s">
        <v>12</v>
      </c>
      <c r="E163" s="55">
        <v>33451</v>
      </c>
      <c r="F163" s="54">
        <f t="shared" ca="1" si="9"/>
        <v>25</v>
      </c>
      <c r="G163" s="53"/>
      <c r="H163" s="52">
        <v>45040</v>
      </c>
      <c r="I163" s="51">
        <v>5</v>
      </c>
    </row>
    <row r="164" spans="1:9" x14ac:dyDescent="0.25">
      <c r="A164" s="56" t="s">
        <v>72</v>
      </c>
      <c r="B164" s="58" t="s">
        <v>17</v>
      </c>
      <c r="C164" s="56" t="s">
        <v>72</v>
      </c>
      <c r="D164" s="56" t="s">
        <v>12</v>
      </c>
      <c r="E164" s="55">
        <v>33461</v>
      </c>
      <c r="F164" s="54">
        <f t="shared" ca="1" si="9"/>
        <v>25</v>
      </c>
      <c r="G164" s="53"/>
      <c r="H164" s="52">
        <v>26360</v>
      </c>
      <c r="I164" s="51">
        <v>4</v>
      </c>
    </row>
    <row r="165" spans="1:9" x14ac:dyDescent="0.25">
      <c r="A165" s="56" t="s">
        <v>72</v>
      </c>
      <c r="B165" s="58" t="s">
        <v>13</v>
      </c>
      <c r="C165" s="56" t="s">
        <v>72</v>
      </c>
      <c r="D165" s="56" t="s">
        <v>12</v>
      </c>
      <c r="E165" s="55">
        <v>33602</v>
      </c>
      <c r="F165" s="54">
        <f t="shared" ca="1" si="9"/>
        <v>24</v>
      </c>
      <c r="G165" s="53"/>
      <c r="H165" s="52">
        <v>40560</v>
      </c>
      <c r="I165" s="51">
        <v>5</v>
      </c>
    </row>
    <row r="166" spans="1:9" x14ac:dyDescent="0.25">
      <c r="A166" s="56" t="s">
        <v>72</v>
      </c>
      <c r="B166" s="58" t="s">
        <v>13</v>
      </c>
      <c r="C166" s="56" t="s">
        <v>72</v>
      </c>
      <c r="D166" s="56" t="s">
        <v>15</v>
      </c>
      <c r="E166" s="55">
        <v>33760</v>
      </c>
      <c r="F166" s="54">
        <f t="shared" ca="1" si="9"/>
        <v>24</v>
      </c>
      <c r="G166" s="53" t="s">
        <v>8</v>
      </c>
      <c r="H166" s="52">
        <v>21220</v>
      </c>
      <c r="I166" s="51">
        <v>3</v>
      </c>
    </row>
    <row r="167" spans="1:9" x14ac:dyDescent="0.25">
      <c r="A167" s="56" t="s">
        <v>72</v>
      </c>
      <c r="B167" s="58" t="s">
        <v>17</v>
      </c>
      <c r="C167" s="56" t="s">
        <v>72</v>
      </c>
      <c r="D167" s="56" t="s">
        <v>5</v>
      </c>
      <c r="E167" s="55">
        <v>33774</v>
      </c>
      <c r="F167" s="54">
        <f t="shared" ca="1" si="9"/>
        <v>24</v>
      </c>
      <c r="G167" s="53" t="s">
        <v>8</v>
      </c>
      <c r="H167" s="52">
        <v>49260</v>
      </c>
      <c r="I167" s="51">
        <v>3</v>
      </c>
    </row>
    <row r="168" spans="1:9" x14ac:dyDescent="0.25">
      <c r="A168" s="56" t="s">
        <v>72</v>
      </c>
      <c r="B168" s="58" t="s">
        <v>13</v>
      </c>
      <c r="C168" s="56" t="s">
        <v>72</v>
      </c>
      <c r="D168" s="56" t="s">
        <v>15</v>
      </c>
      <c r="E168" s="55">
        <v>33876</v>
      </c>
      <c r="F168" s="54">
        <f t="shared" ca="1" si="9"/>
        <v>24</v>
      </c>
      <c r="G168" s="53" t="s">
        <v>8</v>
      </c>
      <c r="H168" s="52">
        <v>32835</v>
      </c>
      <c r="I168" s="51">
        <v>2</v>
      </c>
    </row>
    <row r="169" spans="1:9" x14ac:dyDescent="0.25">
      <c r="A169" s="56" t="s">
        <v>72</v>
      </c>
      <c r="B169" s="58" t="s">
        <v>13</v>
      </c>
      <c r="C169" s="56" t="s">
        <v>72</v>
      </c>
      <c r="D169" s="56" t="s">
        <v>5</v>
      </c>
      <c r="E169" s="55">
        <v>33943</v>
      </c>
      <c r="F169" s="54">
        <f t="shared" ca="1" si="9"/>
        <v>23</v>
      </c>
      <c r="G169" s="53" t="s">
        <v>32</v>
      </c>
      <c r="H169" s="52">
        <v>63780</v>
      </c>
      <c r="I169" s="51">
        <v>5</v>
      </c>
    </row>
    <row r="170" spans="1:9" x14ac:dyDescent="0.25">
      <c r="A170" s="56" t="s">
        <v>72</v>
      </c>
      <c r="B170" s="58" t="s">
        <v>13</v>
      </c>
      <c r="C170" s="56" t="s">
        <v>72</v>
      </c>
      <c r="D170" s="56" t="s">
        <v>5</v>
      </c>
      <c r="E170" s="55">
        <v>34191</v>
      </c>
      <c r="F170" s="54">
        <f t="shared" ca="1" si="9"/>
        <v>23</v>
      </c>
      <c r="G170" s="53" t="s">
        <v>4</v>
      </c>
      <c r="H170" s="52">
        <v>37750</v>
      </c>
      <c r="I170" s="51">
        <v>5</v>
      </c>
    </row>
    <row r="171" spans="1:9" x14ac:dyDescent="0.25">
      <c r="A171" s="56" t="s">
        <v>72</v>
      </c>
      <c r="B171" s="58" t="s">
        <v>17</v>
      </c>
      <c r="C171" s="56" t="s">
        <v>72</v>
      </c>
      <c r="D171" s="56" t="s">
        <v>5</v>
      </c>
      <c r="E171" s="55">
        <v>34295</v>
      </c>
      <c r="F171" s="54">
        <f t="shared" ca="1" si="9"/>
        <v>22</v>
      </c>
      <c r="G171" s="53" t="s">
        <v>4</v>
      </c>
      <c r="H171" s="52">
        <v>56870</v>
      </c>
      <c r="I171" s="51">
        <v>1</v>
      </c>
    </row>
    <row r="172" spans="1:9" x14ac:dyDescent="0.25">
      <c r="A172" s="56" t="s">
        <v>72</v>
      </c>
      <c r="B172" s="58" t="s">
        <v>17</v>
      </c>
      <c r="C172" s="56" t="s">
        <v>72</v>
      </c>
      <c r="D172" s="56" t="s">
        <v>12</v>
      </c>
      <c r="E172" s="55">
        <v>34629</v>
      </c>
      <c r="F172" s="54">
        <f t="shared" ca="1" si="9"/>
        <v>22</v>
      </c>
      <c r="G172" s="53"/>
      <c r="H172" s="52">
        <v>25120</v>
      </c>
      <c r="I172" s="51">
        <v>5</v>
      </c>
    </row>
    <row r="173" spans="1:9" x14ac:dyDescent="0.25">
      <c r="A173" s="56" t="s">
        <v>72</v>
      </c>
      <c r="B173" s="58" t="s">
        <v>56</v>
      </c>
      <c r="C173" s="56" t="s">
        <v>72</v>
      </c>
      <c r="D173" s="56" t="s">
        <v>5</v>
      </c>
      <c r="E173" s="55">
        <v>34679</v>
      </c>
      <c r="F173" s="54">
        <f t="shared" ca="1" si="9"/>
        <v>21</v>
      </c>
      <c r="G173" s="53" t="s">
        <v>34</v>
      </c>
      <c r="H173" s="52">
        <v>71010</v>
      </c>
      <c r="I173" s="51">
        <v>5</v>
      </c>
    </row>
    <row r="174" spans="1:9" x14ac:dyDescent="0.25">
      <c r="A174" s="56" t="s">
        <v>72</v>
      </c>
      <c r="B174" s="58" t="s">
        <v>56</v>
      </c>
      <c r="C174" s="56" t="s">
        <v>72</v>
      </c>
      <c r="D174" s="56" t="s">
        <v>5</v>
      </c>
      <c r="E174" s="55">
        <v>34772</v>
      </c>
      <c r="F174" s="54">
        <f t="shared" ca="1" si="9"/>
        <v>21</v>
      </c>
      <c r="G174" s="53" t="s">
        <v>4</v>
      </c>
      <c r="H174" s="52">
        <v>82400</v>
      </c>
      <c r="I174" s="51">
        <v>2</v>
      </c>
    </row>
    <row r="175" spans="1:9" x14ac:dyDescent="0.25">
      <c r="A175" s="56" t="s">
        <v>72</v>
      </c>
      <c r="B175" s="58" t="s">
        <v>10</v>
      </c>
      <c r="C175" s="56" t="s">
        <v>72</v>
      </c>
      <c r="D175" s="56" t="s">
        <v>0</v>
      </c>
      <c r="E175" s="55">
        <v>34953</v>
      </c>
      <c r="F175" s="54">
        <f t="shared" ca="1" si="9"/>
        <v>21</v>
      </c>
      <c r="G175" s="53"/>
      <c r="H175" s="52">
        <v>38768</v>
      </c>
      <c r="I175" s="51">
        <v>4</v>
      </c>
    </row>
    <row r="176" spans="1:9" x14ac:dyDescent="0.25">
      <c r="A176" s="56" t="s">
        <v>72</v>
      </c>
      <c r="B176" s="58" t="s">
        <v>10</v>
      </c>
      <c r="C176" s="56" t="s">
        <v>72</v>
      </c>
      <c r="D176" s="56" t="s">
        <v>5</v>
      </c>
      <c r="E176" s="55">
        <v>35104</v>
      </c>
      <c r="F176" s="54">
        <f t="shared" ca="1" si="9"/>
        <v>20</v>
      </c>
      <c r="G176" s="53" t="s">
        <v>8</v>
      </c>
      <c r="H176" s="52">
        <v>39680</v>
      </c>
      <c r="I176" s="51">
        <v>5</v>
      </c>
    </row>
    <row r="177" spans="1:9" x14ac:dyDescent="0.25">
      <c r="A177" s="56" t="s">
        <v>72</v>
      </c>
      <c r="B177" s="58" t="s">
        <v>39</v>
      </c>
      <c r="C177" s="56" t="s">
        <v>72</v>
      </c>
      <c r="D177" s="56" t="s">
        <v>5</v>
      </c>
      <c r="E177" s="55">
        <v>35333</v>
      </c>
      <c r="F177" s="54">
        <f t="shared" ca="1" si="9"/>
        <v>20</v>
      </c>
      <c r="G177" s="53" t="s">
        <v>4</v>
      </c>
      <c r="H177" s="52">
        <v>71380</v>
      </c>
      <c r="I177" s="51">
        <v>2</v>
      </c>
    </row>
    <row r="178" spans="1:9" x14ac:dyDescent="0.25">
      <c r="A178" s="56" t="s">
        <v>72</v>
      </c>
      <c r="B178" s="58" t="s">
        <v>17</v>
      </c>
      <c r="C178" s="56" t="s">
        <v>72</v>
      </c>
      <c r="D178" s="56" t="s">
        <v>5</v>
      </c>
      <c r="E178" s="55">
        <v>35978</v>
      </c>
      <c r="F178" s="54">
        <f t="shared" ca="1" si="9"/>
        <v>18</v>
      </c>
      <c r="G178" s="53" t="s">
        <v>32</v>
      </c>
      <c r="H178" s="52">
        <v>42480</v>
      </c>
      <c r="I178" s="51">
        <v>3</v>
      </c>
    </row>
    <row r="179" spans="1:9" x14ac:dyDescent="0.25">
      <c r="A179" s="56" t="s">
        <v>72</v>
      </c>
      <c r="B179" s="58" t="s">
        <v>13</v>
      </c>
      <c r="C179" s="56" t="s">
        <v>72</v>
      </c>
      <c r="D179" s="56" t="s">
        <v>12</v>
      </c>
      <c r="E179" s="55">
        <v>36331</v>
      </c>
      <c r="F179" s="54">
        <f t="shared" ca="1" si="9"/>
        <v>17</v>
      </c>
      <c r="G179" s="53"/>
      <c r="H179" s="52">
        <v>31970</v>
      </c>
      <c r="I179" s="51">
        <v>5</v>
      </c>
    </row>
    <row r="180" spans="1:9" x14ac:dyDescent="0.25">
      <c r="A180" s="56" t="s">
        <v>72</v>
      </c>
      <c r="B180" s="58" t="s">
        <v>13</v>
      </c>
      <c r="C180" s="56" t="s">
        <v>72</v>
      </c>
      <c r="D180" s="56" t="s">
        <v>5</v>
      </c>
      <c r="E180" s="55">
        <v>36825</v>
      </c>
      <c r="F180" s="54">
        <f t="shared" ca="1" si="9"/>
        <v>16</v>
      </c>
      <c r="G180" s="53" t="s">
        <v>19</v>
      </c>
      <c r="H180" s="52">
        <v>65560</v>
      </c>
      <c r="I180" s="51">
        <v>1</v>
      </c>
    </row>
    <row r="181" spans="1:9" x14ac:dyDescent="0.25">
      <c r="A181" s="56" t="s">
        <v>72</v>
      </c>
      <c r="B181" s="58" t="s">
        <v>13</v>
      </c>
      <c r="C181" s="56" t="s">
        <v>72</v>
      </c>
      <c r="D181" s="56" t="s">
        <v>5</v>
      </c>
      <c r="E181" s="55">
        <v>37443</v>
      </c>
      <c r="F181" s="54">
        <f t="shared" ca="1" si="9"/>
        <v>14</v>
      </c>
      <c r="G181" s="53" t="s">
        <v>32</v>
      </c>
      <c r="H181" s="52">
        <v>22410</v>
      </c>
      <c r="I181" s="51">
        <v>4</v>
      </c>
    </row>
    <row r="182" spans="1:9" x14ac:dyDescent="0.25">
      <c r="A182" s="56" t="s">
        <v>72</v>
      </c>
      <c r="B182" s="58" t="s">
        <v>17</v>
      </c>
      <c r="C182" s="56" t="s">
        <v>72</v>
      </c>
      <c r="D182" s="56" t="s">
        <v>15</v>
      </c>
      <c r="E182" s="55">
        <v>38458</v>
      </c>
      <c r="F182" s="54">
        <f t="shared" ca="1" si="9"/>
        <v>11</v>
      </c>
      <c r="G182" s="53" t="s">
        <v>32</v>
      </c>
      <c r="H182" s="52">
        <v>39515</v>
      </c>
      <c r="I182" s="51">
        <v>5</v>
      </c>
    </row>
    <row r="183" spans="1:9" x14ac:dyDescent="0.25">
      <c r="A183" s="56" t="s">
        <v>72</v>
      </c>
      <c r="B183" s="58" t="s">
        <v>17</v>
      </c>
      <c r="C183" s="56" t="s">
        <v>72</v>
      </c>
      <c r="D183" s="56" t="s">
        <v>0</v>
      </c>
      <c r="E183" s="55">
        <v>38583</v>
      </c>
      <c r="F183" s="54">
        <f t="shared" ca="1" si="9"/>
        <v>11</v>
      </c>
      <c r="G183" s="53"/>
      <c r="H183" s="52">
        <v>15744</v>
      </c>
      <c r="I183" s="51">
        <v>3</v>
      </c>
    </row>
    <row r="184" spans="1:9" x14ac:dyDescent="0.25">
      <c r="A184" s="56" t="s">
        <v>72</v>
      </c>
      <c r="B184" s="58" t="s">
        <v>56</v>
      </c>
      <c r="C184" s="56" t="s">
        <v>72</v>
      </c>
      <c r="D184" s="56" t="s">
        <v>12</v>
      </c>
      <c r="E184" s="55">
        <v>38744</v>
      </c>
      <c r="F184" s="54">
        <f t="shared" ca="1" si="9"/>
        <v>10</v>
      </c>
      <c r="G184" s="53"/>
      <c r="H184" s="52">
        <v>56920</v>
      </c>
      <c r="I184" s="51">
        <v>4</v>
      </c>
    </row>
    <row r="185" spans="1:9" x14ac:dyDescent="0.25">
      <c r="A185" s="56" t="s">
        <v>72</v>
      </c>
      <c r="B185" s="58" t="s">
        <v>17</v>
      </c>
      <c r="C185" s="56" t="s">
        <v>72</v>
      </c>
      <c r="D185" s="56" t="s">
        <v>12</v>
      </c>
      <c r="E185" s="59">
        <v>38926</v>
      </c>
      <c r="F185" s="54">
        <f t="shared" ca="1" si="9"/>
        <v>10</v>
      </c>
      <c r="G185" s="53"/>
      <c r="H185" s="52">
        <v>45830</v>
      </c>
      <c r="I185" s="51">
        <v>4</v>
      </c>
    </row>
    <row r="186" spans="1:9" x14ac:dyDescent="0.25">
      <c r="A186" s="56" t="s">
        <v>72</v>
      </c>
      <c r="B186" s="58" t="s">
        <v>2</v>
      </c>
      <c r="C186" s="56" t="s">
        <v>72</v>
      </c>
      <c r="D186" s="56" t="s">
        <v>12</v>
      </c>
      <c r="E186" s="55">
        <v>38949</v>
      </c>
      <c r="F186" s="54">
        <f t="shared" ca="1" si="9"/>
        <v>10</v>
      </c>
      <c r="G186" s="53"/>
      <c r="H186" s="52">
        <v>45710</v>
      </c>
      <c r="I186" s="51">
        <v>3</v>
      </c>
    </row>
    <row r="187" spans="1:9" x14ac:dyDescent="0.25">
      <c r="A187" s="56" t="s">
        <v>72</v>
      </c>
      <c r="B187" s="58" t="s">
        <v>17</v>
      </c>
      <c r="C187" s="56" t="s">
        <v>72</v>
      </c>
      <c r="D187" s="56" t="s">
        <v>5</v>
      </c>
      <c r="E187" s="55">
        <v>39089</v>
      </c>
      <c r="F187" s="54">
        <f t="shared" ca="1" si="9"/>
        <v>9</v>
      </c>
      <c r="G187" s="53" t="s">
        <v>19</v>
      </c>
      <c r="H187" s="52">
        <v>32640</v>
      </c>
      <c r="I187" s="51">
        <v>4</v>
      </c>
    </row>
    <row r="188" spans="1:9" x14ac:dyDescent="0.25">
      <c r="A188" s="56" t="s">
        <v>72</v>
      </c>
      <c r="B188" s="58" t="s">
        <v>13</v>
      </c>
      <c r="C188" s="56" t="s">
        <v>72</v>
      </c>
      <c r="D188" s="56" t="s">
        <v>5</v>
      </c>
      <c r="E188" s="55">
        <v>39160</v>
      </c>
      <c r="F188" s="54">
        <f t="shared" ca="1" si="9"/>
        <v>9</v>
      </c>
      <c r="G188" s="53" t="s">
        <v>4</v>
      </c>
      <c r="H188" s="52">
        <v>42620</v>
      </c>
      <c r="I188" s="51">
        <v>3</v>
      </c>
    </row>
    <row r="189" spans="1:9" x14ac:dyDescent="0.25">
      <c r="A189" s="57"/>
      <c r="B189" s="58"/>
      <c r="C189" s="57"/>
      <c r="D189" s="56"/>
      <c r="E189" s="55"/>
      <c r="F189" s="54"/>
      <c r="G189" s="53"/>
      <c r="H189" s="52"/>
      <c r="I189" s="51"/>
    </row>
    <row r="190" spans="1:9" x14ac:dyDescent="0.25">
      <c r="A190" s="56" t="s">
        <v>50</v>
      </c>
      <c r="B190" s="58" t="s">
        <v>17</v>
      </c>
      <c r="C190" s="56" t="s">
        <v>50</v>
      </c>
      <c r="D190" s="56" t="s">
        <v>5</v>
      </c>
      <c r="E190" s="55">
        <v>32075</v>
      </c>
      <c r="F190" s="54">
        <f t="shared" ref="F190:F197" ca="1" si="10">DATEDIF(E190,TODAY(),"Y")</f>
        <v>29</v>
      </c>
      <c r="G190" s="53" t="s">
        <v>32</v>
      </c>
      <c r="H190" s="52">
        <v>89140</v>
      </c>
      <c r="I190" s="51">
        <v>1</v>
      </c>
    </row>
    <row r="191" spans="1:9" x14ac:dyDescent="0.25">
      <c r="A191" s="56" t="s">
        <v>50</v>
      </c>
      <c r="B191" s="58" t="s">
        <v>17</v>
      </c>
      <c r="C191" s="56" t="s">
        <v>50</v>
      </c>
      <c r="D191" s="56" t="s">
        <v>15</v>
      </c>
      <c r="E191" s="55">
        <v>33091</v>
      </c>
      <c r="F191" s="54">
        <f t="shared" ca="1" si="10"/>
        <v>26</v>
      </c>
      <c r="G191" s="53" t="s">
        <v>19</v>
      </c>
      <c r="H191" s="52">
        <v>89780</v>
      </c>
      <c r="I191" s="51">
        <v>4</v>
      </c>
    </row>
    <row r="192" spans="1:9" x14ac:dyDescent="0.25">
      <c r="A192" s="56" t="s">
        <v>50</v>
      </c>
      <c r="B192" s="58" t="s">
        <v>17</v>
      </c>
      <c r="C192" s="56" t="s">
        <v>50</v>
      </c>
      <c r="D192" s="56" t="s">
        <v>0</v>
      </c>
      <c r="E192" s="55">
        <v>35209</v>
      </c>
      <c r="F192" s="54">
        <f t="shared" ca="1" si="10"/>
        <v>20</v>
      </c>
      <c r="G192" s="53" t="s">
        <v>4</v>
      </c>
      <c r="H192" s="52">
        <v>61860</v>
      </c>
      <c r="I192" s="51">
        <v>5</v>
      </c>
    </row>
    <row r="193" spans="1:9" x14ac:dyDescent="0.25">
      <c r="A193" s="56" t="s">
        <v>50</v>
      </c>
      <c r="B193" s="58" t="s">
        <v>10</v>
      </c>
      <c r="C193" s="56" t="s">
        <v>50</v>
      </c>
      <c r="D193" s="56" t="s">
        <v>12</v>
      </c>
      <c r="E193" s="55">
        <v>35363</v>
      </c>
      <c r="F193" s="54">
        <f t="shared" ca="1" si="10"/>
        <v>20</v>
      </c>
      <c r="G193" s="53" t="s">
        <v>4</v>
      </c>
      <c r="H193" s="52">
        <v>69410</v>
      </c>
      <c r="I193" s="51">
        <v>4</v>
      </c>
    </row>
    <row r="194" spans="1:9" x14ac:dyDescent="0.25">
      <c r="A194" s="56" t="s">
        <v>50</v>
      </c>
      <c r="B194" s="58" t="s">
        <v>10</v>
      </c>
      <c r="C194" s="56" t="s">
        <v>50</v>
      </c>
      <c r="D194" s="56" t="s">
        <v>5</v>
      </c>
      <c r="E194" s="55">
        <v>35733</v>
      </c>
      <c r="F194" s="54">
        <f t="shared" ca="1" si="10"/>
        <v>19</v>
      </c>
      <c r="G194" s="53" t="s">
        <v>34</v>
      </c>
      <c r="H194" s="52">
        <v>45150</v>
      </c>
      <c r="I194" s="51">
        <v>1</v>
      </c>
    </row>
    <row r="195" spans="1:9" x14ac:dyDescent="0.25">
      <c r="A195" s="56" t="s">
        <v>50</v>
      </c>
      <c r="B195" s="58" t="s">
        <v>13</v>
      </c>
      <c r="C195" s="56" t="s">
        <v>50</v>
      </c>
      <c r="D195" s="56" t="s">
        <v>15</v>
      </c>
      <c r="E195" s="55">
        <v>36195</v>
      </c>
      <c r="F195" s="54">
        <f t="shared" ca="1" si="10"/>
        <v>17</v>
      </c>
      <c r="G195" s="53" t="s">
        <v>8</v>
      </c>
      <c r="H195" s="52">
        <v>51800</v>
      </c>
      <c r="I195" s="51">
        <v>1</v>
      </c>
    </row>
    <row r="196" spans="1:9" x14ac:dyDescent="0.25">
      <c r="A196" s="56" t="s">
        <v>50</v>
      </c>
      <c r="B196" s="58" t="s">
        <v>13</v>
      </c>
      <c r="C196" s="56" t="s">
        <v>50</v>
      </c>
      <c r="D196" s="56" t="s">
        <v>0</v>
      </c>
      <c r="E196" s="55">
        <v>36636</v>
      </c>
      <c r="F196" s="54">
        <f t="shared" ca="1" si="10"/>
        <v>16</v>
      </c>
      <c r="G196" s="53" t="s">
        <v>32</v>
      </c>
      <c r="H196" s="52">
        <v>85130</v>
      </c>
      <c r="I196" s="51">
        <v>5</v>
      </c>
    </row>
    <row r="197" spans="1:9" x14ac:dyDescent="0.25">
      <c r="A197" s="56" t="s">
        <v>50</v>
      </c>
      <c r="B197" s="58" t="s">
        <v>56</v>
      </c>
      <c r="C197" s="56" t="s">
        <v>50</v>
      </c>
      <c r="D197" s="56" t="s">
        <v>12</v>
      </c>
      <c r="E197" s="55">
        <v>38953</v>
      </c>
      <c r="F197" s="54">
        <f t="shared" ca="1" si="10"/>
        <v>10</v>
      </c>
      <c r="G197" s="53" t="s">
        <v>19</v>
      </c>
      <c r="H197" s="52">
        <v>71190</v>
      </c>
      <c r="I197" s="51">
        <v>4</v>
      </c>
    </row>
    <row r="198" spans="1:9" x14ac:dyDescent="0.25">
      <c r="A198" s="57"/>
      <c r="B198" s="58"/>
      <c r="C198" s="57"/>
      <c r="D198" s="56"/>
      <c r="E198" s="55"/>
      <c r="F198" s="54"/>
      <c r="G198" s="53"/>
      <c r="H198" s="52"/>
      <c r="I198" s="51"/>
    </row>
    <row r="199" spans="1:9" x14ac:dyDescent="0.25">
      <c r="A199" s="56" t="s">
        <v>20</v>
      </c>
      <c r="B199" s="58" t="s">
        <v>13</v>
      </c>
      <c r="C199" s="56" t="s">
        <v>20</v>
      </c>
      <c r="D199" s="56" t="s">
        <v>5</v>
      </c>
      <c r="E199" s="55">
        <v>32303</v>
      </c>
      <c r="F199" s="54">
        <f t="shared" ref="F199:F230" ca="1" si="11">DATEDIF(E199,TODAY(),"Y")</f>
        <v>28</v>
      </c>
      <c r="G199" s="53" t="s">
        <v>770</v>
      </c>
      <c r="H199" s="52">
        <v>56900</v>
      </c>
      <c r="I199" s="51">
        <v>5</v>
      </c>
    </row>
    <row r="200" spans="1:9" x14ac:dyDescent="0.25">
      <c r="A200" s="56" t="s">
        <v>20</v>
      </c>
      <c r="B200" s="58" t="s">
        <v>17</v>
      </c>
      <c r="C200" s="56" t="s">
        <v>20</v>
      </c>
      <c r="D200" s="56" t="s">
        <v>5</v>
      </c>
      <c r="E200" s="55">
        <v>32321</v>
      </c>
      <c r="F200" s="54">
        <f t="shared" ca="1" si="11"/>
        <v>28</v>
      </c>
      <c r="G200" s="53" t="s">
        <v>32</v>
      </c>
      <c r="H200" s="52">
        <v>52940</v>
      </c>
      <c r="I200" s="51">
        <v>4</v>
      </c>
    </row>
    <row r="201" spans="1:9" x14ac:dyDescent="0.25">
      <c r="A201" s="56" t="s">
        <v>20</v>
      </c>
      <c r="B201" s="58" t="s">
        <v>17</v>
      </c>
      <c r="C201" s="56" t="s">
        <v>20</v>
      </c>
      <c r="D201" s="56" t="s">
        <v>5</v>
      </c>
      <c r="E201" s="55">
        <v>32338</v>
      </c>
      <c r="F201" s="54">
        <f t="shared" ca="1" si="11"/>
        <v>28</v>
      </c>
      <c r="G201" s="53" t="s">
        <v>8</v>
      </c>
      <c r="H201" s="52">
        <v>60380</v>
      </c>
      <c r="I201" s="51">
        <v>4</v>
      </c>
    </row>
    <row r="202" spans="1:9" x14ac:dyDescent="0.25">
      <c r="A202" s="56" t="s">
        <v>20</v>
      </c>
      <c r="B202" s="58" t="s">
        <v>39</v>
      </c>
      <c r="C202" s="56" t="s">
        <v>20</v>
      </c>
      <c r="D202" s="56" t="s">
        <v>5</v>
      </c>
      <c r="E202" s="55">
        <v>32410</v>
      </c>
      <c r="F202" s="54">
        <f t="shared" ca="1" si="11"/>
        <v>28</v>
      </c>
      <c r="G202" s="53" t="s">
        <v>4</v>
      </c>
      <c r="H202" s="52">
        <v>58910</v>
      </c>
      <c r="I202" s="51">
        <v>1</v>
      </c>
    </row>
    <row r="203" spans="1:9" x14ac:dyDescent="0.25">
      <c r="A203" s="56" t="s">
        <v>20</v>
      </c>
      <c r="B203" s="58" t="s">
        <v>17</v>
      </c>
      <c r="C203" s="56" t="s">
        <v>20</v>
      </c>
      <c r="D203" s="56" t="s">
        <v>5</v>
      </c>
      <c r="E203" s="55">
        <v>32411</v>
      </c>
      <c r="F203" s="54">
        <f t="shared" ca="1" si="11"/>
        <v>28</v>
      </c>
      <c r="G203" s="53" t="s">
        <v>4</v>
      </c>
      <c r="H203" s="52">
        <v>26190</v>
      </c>
      <c r="I203" s="51">
        <v>5</v>
      </c>
    </row>
    <row r="204" spans="1:9" x14ac:dyDescent="0.25">
      <c r="A204" s="56" t="s">
        <v>20</v>
      </c>
      <c r="B204" s="58" t="s">
        <v>10</v>
      </c>
      <c r="C204" s="56" t="s">
        <v>20</v>
      </c>
      <c r="D204" s="56" t="s">
        <v>0</v>
      </c>
      <c r="E204" s="55">
        <v>32441</v>
      </c>
      <c r="F204" s="54">
        <f t="shared" ca="1" si="11"/>
        <v>28</v>
      </c>
      <c r="G204" s="53"/>
      <c r="H204" s="52">
        <v>22344</v>
      </c>
      <c r="I204" s="51">
        <v>4</v>
      </c>
    </row>
    <row r="205" spans="1:9" x14ac:dyDescent="0.25">
      <c r="A205" s="56" t="s">
        <v>20</v>
      </c>
      <c r="B205" s="58" t="s">
        <v>13</v>
      </c>
      <c r="C205" s="56" t="s">
        <v>20</v>
      </c>
      <c r="D205" s="56" t="s">
        <v>12</v>
      </c>
      <c r="E205" s="55">
        <v>32464</v>
      </c>
      <c r="F205" s="54">
        <f t="shared" ca="1" si="11"/>
        <v>27</v>
      </c>
      <c r="G205" s="53"/>
      <c r="H205" s="52">
        <v>32190</v>
      </c>
      <c r="I205" s="51">
        <v>3</v>
      </c>
    </row>
    <row r="206" spans="1:9" x14ac:dyDescent="0.25">
      <c r="A206" s="56" t="s">
        <v>20</v>
      </c>
      <c r="B206" s="58" t="s">
        <v>17</v>
      </c>
      <c r="C206" s="56" t="s">
        <v>20</v>
      </c>
      <c r="D206" s="56" t="s">
        <v>12</v>
      </c>
      <c r="E206" s="55">
        <v>32509</v>
      </c>
      <c r="F206" s="54">
        <f t="shared" ca="1" si="11"/>
        <v>27</v>
      </c>
      <c r="G206" s="53"/>
      <c r="H206" s="52">
        <v>49530</v>
      </c>
      <c r="I206" s="51">
        <v>2</v>
      </c>
    </row>
    <row r="207" spans="1:9" x14ac:dyDescent="0.25">
      <c r="A207" s="56" t="s">
        <v>20</v>
      </c>
      <c r="B207" s="58" t="s">
        <v>17</v>
      </c>
      <c r="C207" s="56" t="s">
        <v>20</v>
      </c>
      <c r="D207" s="56" t="s">
        <v>12</v>
      </c>
      <c r="E207" s="55">
        <v>32669</v>
      </c>
      <c r="F207" s="54">
        <f t="shared" ca="1" si="11"/>
        <v>27</v>
      </c>
      <c r="G207" s="53"/>
      <c r="H207" s="52">
        <v>73990</v>
      </c>
      <c r="I207" s="51">
        <v>3</v>
      </c>
    </row>
    <row r="208" spans="1:9" x14ac:dyDescent="0.25">
      <c r="A208" s="56" t="s">
        <v>20</v>
      </c>
      <c r="B208" s="58" t="s">
        <v>17</v>
      </c>
      <c r="C208" s="56" t="s">
        <v>20</v>
      </c>
      <c r="D208" s="56" t="s">
        <v>5</v>
      </c>
      <c r="E208" s="55">
        <v>32683</v>
      </c>
      <c r="F208" s="54">
        <f t="shared" ca="1" si="11"/>
        <v>27</v>
      </c>
      <c r="G208" s="53" t="s">
        <v>4</v>
      </c>
      <c r="H208" s="52">
        <v>45500</v>
      </c>
      <c r="I208" s="51">
        <v>3</v>
      </c>
    </row>
    <row r="209" spans="1:9" x14ac:dyDescent="0.25">
      <c r="A209" s="56" t="s">
        <v>20</v>
      </c>
      <c r="B209" s="58" t="s">
        <v>56</v>
      </c>
      <c r="C209" s="56" t="s">
        <v>20</v>
      </c>
      <c r="D209" s="56" t="s">
        <v>12</v>
      </c>
      <c r="E209" s="55">
        <v>32721</v>
      </c>
      <c r="F209" s="54">
        <f t="shared" ca="1" si="11"/>
        <v>27</v>
      </c>
      <c r="G209" s="53"/>
      <c r="H209" s="52">
        <v>64430</v>
      </c>
      <c r="I209" s="51">
        <v>4</v>
      </c>
    </row>
    <row r="210" spans="1:9" x14ac:dyDescent="0.25">
      <c r="A210" s="56" t="s">
        <v>20</v>
      </c>
      <c r="B210" s="58" t="s">
        <v>39</v>
      </c>
      <c r="C210" s="56" t="s">
        <v>20</v>
      </c>
      <c r="D210" s="56" t="s">
        <v>12</v>
      </c>
      <c r="E210" s="55">
        <v>32743</v>
      </c>
      <c r="F210" s="54">
        <f t="shared" ca="1" si="11"/>
        <v>27</v>
      </c>
      <c r="G210" s="53"/>
      <c r="H210" s="52">
        <v>79220</v>
      </c>
      <c r="I210" s="51">
        <v>4</v>
      </c>
    </row>
    <row r="211" spans="1:9" x14ac:dyDescent="0.25">
      <c r="A211" s="56" t="s">
        <v>20</v>
      </c>
      <c r="B211" s="58" t="s">
        <v>10</v>
      </c>
      <c r="C211" s="56" t="s">
        <v>20</v>
      </c>
      <c r="D211" s="56" t="s">
        <v>5</v>
      </c>
      <c r="E211" s="55">
        <v>32758</v>
      </c>
      <c r="F211" s="54">
        <f t="shared" ca="1" si="11"/>
        <v>27</v>
      </c>
      <c r="G211" s="53" t="s">
        <v>4</v>
      </c>
      <c r="H211" s="52">
        <v>23330</v>
      </c>
      <c r="I211" s="51">
        <v>4</v>
      </c>
    </row>
    <row r="212" spans="1:9" x14ac:dyDescent="0.25">
      <c r="A212" s="56" t="s">
        <v>20</v>
      </c>
      <c r="B212" s="58" t="s">
        <v>17</v>
      </c>
      <c r="C212" s="56" t="s">
        <v>20</v>
      </c>
      <c r="D212" s="56" t="s">
        <v>12</v>
      </c>
      <c r="E212" s="55">
        <v>32839</v>
      </c>
      <c r="F212" s="54">
        <f t="shared" ca="1" si="11"/>
        <v>26</v>
      </c>
      <c r="G212" s="53"/>
      <c r="H212" s="52">
        <v>45770</v>
      </c>
      <c r="I212" s="51">
        <v>5</v>
      </c>
    </row>
    <row r="213" spans="1:9" x14ac:dyDescent="0.25">
      <c r="A213" s="56" t="s">
        <v>20</v>
      </c>
      <c r="B213" s="58" t="s">
        <v>17</v>
      </c>
      <c r="C213" s="56" t="s">
        <v>20</v>
      </c>
      <c r="D213" s="56" t="s">
        <v>5</v>
      </c>
      <c r="E213" s="55">
        <v>32841</v>
      </c>
      <c r="F213" s="54">
        <f t="shared" ca="1" si="11"/>
        <v>26</v>
      </c>
      <c r="G213" s="53" t="s">
        <v>4</v>
      </c>
      <c r="H213" s="52">
        <v>81980</v>
      </c>
      <c r="I213" s="51">
        <v>2</v>
      </c>
    </row>
    <row r="214" spans="1:9" x14ac:dyDescent="0.25">
      <c r="A214" s="56" t="s">
        <v>20</v>
      </c>
      <c r="B214" s="58" t="s">
        <v>39</v>
      </c>
      <c r="C214" s="56" t="s">
        <v>20</v>
      </c>
      <c r="D214" s="56" t="s">
        <v>15</v>
      </c>
      <c r="E214" s="55">
        <v>32853</v>
      </c>
      <c r="F214" s="54">
        <f t="shared" ca="1" si="11"/>
        <v>26</v>
      </c>
      <c r="G214" s="53" t="s">
        <v>34</v>
      </c>
      <c r="H214" s="52">
        <v>18895</v>
      </c>
      <c r="I214" s="51">
        <v>4</v>
      </c>
    </row>
    <row r="215" spans="1:9" x14ac:dyDescent="0.25">
      <c r="A215" s="56" t="s">
        <v>20</v>
      </c>
      <c r="B215" s="58" t="s">
        <v>10</v>
      </c>
      <c r="C215" s="56" t="s">
        <v>20</v>
      </c>
      <c r="D215" s="56" t="s">
        <v>0</v>
      </c>
      <c r="E215" s="55">
        <v>32855</v>
      </c>
      <c r="F215" s="54">
        <f t="shared" ca="1" si="11"/>
        <v>26</v>
      </c>
      <c r="G215" s="53"/>
      <c r="H215" s="52">
        <v>30416</v>
      </c>
      <c r="I215" s="51">
        <v>1</v>
      </c>
    </row>
    <row r="216" spans="1:9" x14ac:dyDescent="0.25">
      <c r="A216" s="56" t="s">
        <v>20</v>
      </c>
      <c r="B216" s="58" t="s">
        <v>10</v>
      </c>
      <c r="C216" s="56" t="s">
        <v>20</v>
      </c>
      <c r="D216" s="56" t="s">
        <v>12</v>
      </c>
      <c r="E216" s="55">
        <v>32955</v>
      </c>
      <c r="F216" s="54">
        <f t="shared" ca="1" si="11"/>
        <v>26</v>
      </c>
      <c r="G216" s="53"/>
      <c r="H216" s="52">
        <v>35460</v>
      </c>
      <c r="I216" s="51">
        <v>3</v>
      </c>
    </row>
    <row r="217" spans="1:9" x14ac:dyDescent="0.25">
      <c r="A217" s="56" t="s">
        <v>20</v>
      </c>
      <c r="B217" s="58" t="s">
        <v>17</v>
      </c>
      <c r="C217" s="56" t="s">
        <v>20</v>
      </c>
      <c r="D217" s="56" t="s">
        <v>5</v>
      </c>
      <c r="E217" s="55">
        <v>33094</v>
      </c>
      <c r="F217" s="54">
        <f t="shared" ca="1" si="11"/>
        <v>26</v>
      </c>
      <c r="G217" s="53" t="s">
        <v>4</v>
      </c>
      <c r="H217" s="52">
        <v>24710</v>
      </c>
      <c r="I217" s="51">
        <v>2</v>
      </c>
    </row>
    <row r="218" spans="1:9" x14ac:dyDescent="0.25">
      <c r="A218" s="56" t="s">
        <v>20</v>
      </c>
      <c r="B218" s="58" t="s">
        <v>17</v>
      </c>
      <c r="C218" s="56" t="s">
        <v>20</v>
      </c>
      <c r="D218" s="56" t="s">
        <v>12</v>
      </c>
      <c r="E218" s="55">
        <v>33115</v>
      </c>
      <c r="F218" s="54">
        <f t="shared" ca="1" si="11"/>
        <v>26</v>
      </c>
      <c r="G218" s="53"/>
      <c r="H218" s="52">
        <v>63310</v>
      </c>
      <c r="I218" s="51">
        <v>3</v>
      </c>
    </row>
    <row r="219" spans="1:9" x14ac:dyDescent="0.25">
      <c r="A219" s="56" t="s">
        <v>20</v>
      </c>
      <c r="B219" s="58" t="s">
        <v>56</v>
      </c>
      <c r="C219" s="56" t="s">
        <v>20</v>
      </c>
      <c r="D219" s="56" t="s">
        <v>5</v>
      </c>
      <c r="E219" s="55">
        <v>33173</v>
      </c>
      <c r="F219" s="54">
        <f t="shared" ca="1" si="11"/>
        <v>26</v>
      </c>
      <c r="G219" s="53" t="s">
        <v>32</v>
      </c>
      <c r="H219" s="52">
        <v>81010</v>
      </c>
      <c r="I219" s="51">
        <v>4</v>
      </c>
    </row>
    <row r="220" spans="1:9" x14ac:dyDescent="0.25">
      <c r="A220" s="56" t="s">
        <v>20</v>
      </c>
      <c r="B220" s="58" t="s">
        <v>39</v>
      </c>
      <c r="C220" s="56" t="s">
        <v>20</v>
      </c>
      <c r="D220" s="56" t="s">
        <v>5</v>
      </c>
      <c r="E220" s="55">
        <v>33231</v>
      </c>
      <c r="F220" s="54">
        <f t="shared" ca="1" si="11"/>
        <v>25</v>
      </c>
      <c r="G220" s="53" t="s">
        <v>8</v>
      </c>
      <c r="H220" s="52">
        <v>34480</v>
      </c>
      <c r="I220" s="51">
        <v>3</v>
      </c>
    </row>
    <row r="221" spans="1:9" x14ac:dyDescent="0.25">
      <c r="A221" s="56" t="s">
        <v>20</v>
      </c>
      <c r="B221" s="58" t="s">
        <v>56</v>
      </c>
      <c r="C221" s="56" t="s">
        <v>20</v>
      </c>
      <c r="D221" s="56" t="s">
        <v>15</v>
      </c>
      <c r="E221" s="55">
        <v>33273</v>
      </c>
      <c r="F221" s="54">
        <f t="shared" ca="1" si="11"/>
        <v>25</v>
      </c>
      <c r="G221" s="53" t="s">
        <v>34</v>
      </c>
      <c r="H221" s="52">
        <v>15260</v>
      </c>
      <c r="I221" s="51">
        <v>2</v>
      </c>
    </row>
    <row r="222" spans="1:9" x14ac:dyDescent="0.25">
      <c r="A222" s="56" t="s">
        <v>20</v>
      </c>
      <c r="B222" s="58" t="s">
        <v>2</v>
      </c>
      <c r="C222" s="56" t="s">
        <v>20</v>
      </c>
      <c r="D222" s="56" t="s">
        <v>12</v>
      </c>
      <c r="E222" s="55">
        <v>33361</v>
      </c>
      <c r="F222" s="54">
        <f t="shared" ca="1" si="11"/>
        <v>25</v>
      </c>
      <c r="G222" s="53"/>
      <c r="H222" s="52">
        <v>80690</v>
      </c>
      <c r="I222" s="51">
        <v>3</v>
      </c>
    </row>
    <row r="223" spans="1:9" x14ac:dyDescent="0.25">
      <c r="A223" s="56" t="s">
        <v>20</v>
      </c>
      <c r="B223" s="58" t="s">
        <v>56</v>
      </c>
      <c r="C223" s="56" t="s">
        <v>20</v>
      </c>
      <c r="D223" s="56" t="s">
        <v>5</v>
      </c>
      <c r="E223" s="55">
        <v>33475</v>
      </c>
      <c r="F223" s="54">
        <f t="shared" ca="1" si="11"/>
        <v>25</v>
      </c>
      <c r="G223" s="53" t="s">
        <v>32</v>
      </c>
      <c r="H223" s="52">
        <v>24300</v>
      </c>
      <c r="I223" s="51">
        <v>3</v>
      </c>
    </row>
    <row r="224" spans="1:9" x14ac:dyDescent="0.25">
      <c r="A224" s="56" t="s">
        <v>20</v>
      </c>
      <c r="B224" s="58" t="s">
        <v>13</v>
      </c>
      <c r="C224" s="56" t="s">
        <v>20</v>
      </c>
      <c r="D224" s="56" t="s">
        <v>5</v>
      </c>
      <c r="E224" s="55">
        <v>33571</v>
      </c>
      <c r="F224" s="54">
        <f t="shared" ca="1" si="11"/>
        <v>24</v>
      </c>
      <c r="G224" s="53" t="s">
        <v>34</v>
      </c>
      <c r="H224" s="52">
        <v>63070</v>
      </c>
      <c r="I224" s="51">
        <v>1</v>
      </c>
    </row>
    <row r="225" spans="1:9" x14ac:dyDescent="0.25">
      <c r="A225" s="56" t="s">
        <v>20</v>
      </c>
      <c r="B225" s="58" t="s">
        <v>13</v>
      </c>
      <c r="C225" s="56" t="s">
        <v>20</v>
      </c>
      <c r="D225" s="56" t="s">
        <v>5</v>
      </c>
      <c r="E225" s="55">
        <v>33661</v>
      </c>
      <c r="F225" s="54">
        <f t="shared" ca="1" si="11"/>
        <v>24</v>
      </c>
      <c r="G225" s="53" t="s">
        <v>4</v>
      </c>
      <c r="H225" s="52">
        <v>67050</v>
      </c>
      <c r="I225" s="51">
        <v>4</v>
      </c>
    </row>
    <row r="226" spans="1:9" x14ac:dyDescent="0.25">
      <c r="A226" s="56" t="s">
        <v>20</v>
      </c>
      <c r="B226" s="58" t="s">
        <v>39</v>
      </c>
      <c r="C226" s="56" t="s">
        <v>20</v>
      </c>
      <c r="D226" s="56" t="s">
        <v>5</v>
      </c>
      <c r="E226" s="55">
        <v>33710</v>
      </c>
      <c r="F226" s="54">
        <f t="shared" ca="1" si="11"/>
        <v>24</v>
      </c>
      <c r="G226" s="53" t="s">
        <v>34</v>
      </c>
      <c r="H226" s="52">
        <v>38940</v>
      </c>
      <c r="I226" s="51">
        <v>2</v>
      </c>
    </row>
    <row r="227" spans="1:9" x14ac:dyDescent="0.25">
      <c r="A227" s="56" t="s">
        <v>20</v>
      </c>
      <c r="B227" s="58" t="s">
        <v>13</v>
      </c>
      <c r="C227" s="56" t="s">
        <v>20</v>
      </c>
      <c r="D227" s="56" t="s">
        <v>5</v>
      </c>
      <c r="E227" s="55">
        <v>33714</v>
      </c>
      <c r="F227" s="54">
        <f t="shared" ca="1" si="11"/>
        <v>24</v>
      </c>
      <c r="G227" s="53" t="s">
        <v>4</v>
      </c>
      <c r="H227" s="52">
        <v>73072</v>
      </c>
      <c r="I227" s="51">
        <v>5</v>
      </c>
    </row>
    <row r="228" spans="1:9" x14ac:dyDescent="0.25">
      <c r="A228" s="56" t="s">
        <v>20</v>
      </c>
      <c r="B228" s="58" t="s">
        <v>17</v>
      </c>
      <c r="C228" s="56" t="s">
        <v>20</v>
      </c>
      <c r="D228" s="56" t="s">
        <v>5</v>
      </c>
      <c r="E228" s="55">
        <v>33846</v>
      </c>
      <c r="F228" s="54">
        <f t="shared" ca="1" si="11"/>
        <v>24</v>
      </c>
      <c r="G228" s="53" t="s">
        <v>4</v>
      </c>
      <c r="H228" s="52">
        <v>86260</v>
      </c>
      <c r="I228" s="51">
        <v>3</v>
      </c>
    </row>
    <row r="229" spans="1:9" x14ac:dyDescent="0.25">
      <c r="A229" s="56" t="s">
        <v>20</v>
      </c>
      <c r="B229" s="58" t="s">
        <v>13</v>
      </c>
      <c r="C229" s="56" t="s">
        <v>20</v>
      </c>
      <c r="D229" s="56" t="s">
        <v>12</v>
      </c>
      <c r="E229" s="55">
        <v>33875</v>
      </c>
      <c r="F229" s="54">
        <f t="shared" ca="1" si="11"/>
        <v>24</v>
      </c>
      <c r="G229" s="53"/>
      <c r="H229" s="52">
        <v>24410</v>
      </c>
      <c r="I229" s="51">
        <v>3</v>
      </c>
    </row>
    <row r="230" spans="1:9" x14ac:dyDescent="0.25">
      <c r="A230" s="56" t="s">
        <v>20</v>
      </c>
      <c r="B230" s="58" t="s">
        <v>17</v>
      </c>
      <c r="C230" s="56" t="s">
        <v>20</v>
      </c>
      <c r="D230" s="56" t="s">
        <v>5</v>
      </c>
      <c r="E230" s="55">
        <v>33878</v>
      </c>
      <c r="F230" s="54">
        <f t="shared" ca="1" si="11"/>
        <v>24</v>
      </c>
      <c r="G230" s="53" t="s">
        <v>4</v>
      </c>
      <c r="H230" s="52">
        <v>44270</v>
      </c>
      <c r="I230" s="51">
        <v>2</v>
      </c>
    </row>
    <row r="231" spans="1:9" x14ac:dyDescent="0.25">
      <c r="A231" s="56" t="s">
        <v>20</v>
      </c>
      <c r="B231" s="58" t="s">
        <v>13</v>
      </c>
      <c r="C231" s="56" t="s">
        <v>20</v>
      </c>
      <c r="D231" s="56" t="s">
        <v>15</v>
      </c>
      <c r="E231" s="55">
        <v>33879</v>
      </c>
      <c r="F231" s="54">
        <f t="shared" ref="F231:F262" ca="1" si="12">DATEDIF(E231,TODAY(),"Y")</f>
        <v>24</v>
      </c>
      <c r="G231" s="53" t="s">
        <v>32</v>
      </c>
      <c r="H231" s="52">
        <v>46285</v>
      </c>
      <c r="I231" s="51">
        <v>5</v>
      </c>
    </row>
    <row r="232" spans="1:9" x14ac:dyDescent="0.25">
      <c r="A232" s="56" t="s">
        <v>20</v>
      </c>
      <c r="B232" s="58" t="s">
        <v>13</v>
      </c>
      <c r="C232" s="56" t="s">
        <v>20</v>
      </c>
      <c r="D232" s="56" t="s">
        <v>5</v>
      </c>
      <c r="E232" s="55">
        <v>33889</v>
      </c>
      <c r="F232" s="54">
        <f t="shared" ca="1" si="12"/>
        <v>24</v>
      </c>
      <c r="G232" s="53" t="s">
        <v>32</v>
      </c>
      <c r="H232" s="52">
        <v>73450</v>
      </c>
      <c r="I232" s="51">
        <v>3</v>
      </c>
    </row>
    <row r="233" spans="1:9" x14ac:dyDescent="0.25">
      <c r="A233" s="56" t="s">
        <v>20</v>
      </c>
      <c r="B233" s="58" t="s">
        <v>56</v>
      </c>
      <c r="C233" s="56" t="s">
        <v>20</v>
      </c>
      <c r="D233" s="56" t="s">
        <v>5</v>
      </c>
      <c r="E233" s="55">
        <v>34001</v>
      </c>
      <c r="F233" s="54">
        <f t="shared" ca="1" si="12"/>
        <v>23</v>
      </c>
      <c r="G233" s="53" t="s">
        <v>19</v>
      </c>
      <c r="H233" s="52">
        <v>39520</v>
      </c>
      <c r="I233" s="51">
        <v>5</v>
      </c>
    </row>
    <row r="234" spans="1:9" x14ac:dyDescent="0.25">
      <c r="A234" s="56" t="s">
        <v>20</v>
      </c>
      <c r="B234" s="58" t="s">
        <v>56</v>
      </c>
      <c r="C234" s="56" t="s">
        <v>20</v>
      </c>
      <c r="D234" s="56" t="s">
        <v>15</v>
      </c>
      <c r="E234" s="55">
        <v>34033</v>
      </c>
      <c r="F234" s="54">
        <f t="shared" ca="1" si="12"/>
        <v>23</v>
      </c>
      <c r="G234" s="53" t="s">
        <v>32</v>
      </c>
      <c r="H234" s="52">
        <v>46645</v>
      </c>
      <c r="I234" s="51">
        <v>5</v>
      </c>
    </row>
    <row r="235" spans="1:9" x14ac:dyDescent="0.25">
      <c r="A235" s="56" t="s">
        <v>20</v>
      </c>
      <c r="B235" s="58" t="s">
        <v>17</v>
      </c>
      <c r="C235" s="56" t="s">
        <v>20</v>
      </c>
      <c r="D235" s="56" t="s">
        <v>12</v>
      </c>
      <c r="E235" s="55">
        <v>34039</v>
      </c>
      <c r="F235" s="54">
        <f t="shared" ca="1" si="12"/>
        <v>23</v>
      </c>
      <c r="G235" s="53"/>
      <c r="H235" s="52">
        <v>52940</v>
      </c>
      <c r="I235" s="51">
        <v>4</v>
      </c>
    </row>
    <row r="236" spans="1:9" x14ac:dyDescent="0.25">
      <c r="A236" s="56" t="s">
        <v>20</v>
      </c>
      <c r="B236" s="58" t="s">
        <v>17</v>
      </c>
      <c r="C236" s="56" t="s">
        <v>20</v>
      </c>
      <c r="D236" s="56" t="s">
        <v>5</v>
      </c>
      <c r="E236" s="55">
        <v>34046</v>
      </c>
      <c r="F236" s="54">
        <f t="shared" ca="1" si="12"/>
        <v>23</v>
      </c>
      <c r="G236" s="53" t="s">
        <v>34</v>
      </c>
      <c r="H236" s="52">
        <v>45480</v>
      </c>
      <c r="I236" s="51">
        <v>4</v>
      </c>
    </row>
    <row r="237" spans="1:9" x14ac:dyDescent="0.25">
      <c r="A237" s="56" t="s">
        <v>20</v>
      </c>
      <c r="B237" s="58" t="s">
        <v>2</v>
      </c>
      <c r="C237" s="56" t="s">
        <v>20</v>
      </c>
      <c r="D237" s="56" t="s">
        <v>12</v>
      </c>
      <c r="E237" s="55">
        <v>34050</v>
      </c>
      <c r="F237" s="54">
        <f t="shared" ca="1" si="12"/>
        <v>23</v>
      </c>
      <c r="G237" s="53"/>
      <c r="H237" s="52">
        <v>28260</v>
      </c>
      <c r="I237" s="51">
        <v>5</v>
      </c>
    </row>
    <row r="238" spans="1:9" x14ac:dyDescent="0.25">
      <c r="A238" s="56" t="s">
        <v>20</v>
      </c>
      <c r="B238" s="58" t="s">
        <v>2</v>
      </c>
      <c r="C238" s="56" t="s">
        <v>20</v>
      </c>
      <c r="D238" s="56" t="s">
        <v>5</v>
      </c>
      <c r="E238" s="55">
        <v>34051</v>
      </c>
      <c r="F238" s="54">
        <f t="shared" ca="1" si="12"/>
        <v>23</v>
      </c>
      <c r="G238" s="53" t="s">
        <v>32</v>
      </c>
      <c r="H238" s="52">
        <v>59320</v>
      </c>
      <c r="I238" s="51">
        <v>4</v>
      </c>
    </row>
    <row r="239" spans="1:9" x14ac:dyDescent="0.25">
      <c r="A239" s="56" t="s">
        <v>20</v>
      </c>
      <c r="B239" s="58" t="s">
        <v>17</v>
      </c>
      <c r="C239" s="56" t="s">
        <v>20</v>
      </c>
      <c r="D239" s="56" t="s">
        <v>12</v>
      </c>
      <c r="E239" s="55">
        <v>34069</v>
      </c>
      <c r="F239" s="54">
        <f t="shared" ca="1" si="12"/>
        <v>23</v>
      </c>
      <c r="G239" s="53"/>
      <c r="H239" s="52">
        <v>66010</v>
      </c>
      <c r="I239" s="51">
        <v>2</v>
      </c>
    </row>
    <row r="240" spans="1:9" x14ac:dyDescent="0.25">
      <c r="A240" s="56" t="s">
        <v>20</v>
      </c>
      <c r="B240" s="58" t="s">
        <v>17</v>
      </c>
      <c r="C240" s="56" t="s">
        <v>20</v>
      </c>
      <c r="D240" s="56" t="s">
        <v>12</v>
      </c>
      <c r="E240" s="55">
        <v>34141</v>
      </c>
      <c r="F240" s="54">
        <f t="shared" ca="1" si="12"/>
        <v>23</v>
      </c>
      <c r="G240" s="53"/>
      <c r="H240" s="52">
        <v>42150</v>
      </c>
      <c r="I240" s="51">
        <v>5</v>
      </c>
    </row>
    <row r="241" spans="1:9" x14ac:dyDescent="0.25">
      <c r="A241" s="56" t="s">
        <v>20</v>
      </c>
      <c r="B241" s="58" t="s">
        <v>39</v>
      </c>
      <c r="C241" s="56" t="s">
        <v>20</v>
      </c>
      <c r="D241" s="56" t="s">
        <v>0</v>
      </c>
      <c r="E241" s="55">
        <v>34180</v>
      </c>
      <c r="F241" s="54">
        <f t="shared" ca="1" si="12"/>
        <v>23</v>
      </c>
      <c r="G241" s="53"/>
      <c r="H241" s="52">
        <v>22472</v>
      </c>
      <c r="I241" s="51">
        <v>1</v>
      </c>
    </row>
    <row r="242" spans="1:9" x14ac:dyDescent="0.25">
      <c r="A242" s="56" t="s">
        <v>20</v>
      </c>
      <c r="B242" s="58" t="s">
        <v>39</v>
      </c>
      <c r="C242" s="56" t="s">
        <v>20</v>
      </c>
      <c r="D242" s="56" t="s">
        <v>5</v>
      </c>
      <c r="E242" s="55">
        <v>34201</v>
      </c>
      <c r="F242" s="54">
        <f t="shared" ca="1" si="12"/>
        <v>23</v>
      </c>
      <c r="G242" s="53" t="s">
        <v>4</v>
      </c>
      <c r="H242" s="52">
        <v>73144</v>
      </c>
      <c r="I242" s="51">
        <v>5</v>
      </c>
    </row>
    <row r="243" spans="1:9" x14ac:dyDescent="0.25">
      <c r="A243" s="56" t="s">
        <v>20</v>
      </c>
      <c r="B243" s="58" t="s">
        <v>17</v>
      </c>
      <c r="C243" s="56" t="s">
        <v>20</v>
      </c>
      <c r="D243" s="56" t="s">
        <v>5</v>
      </c>
      <c r="E243" s="55">
        <v>34210</v>
      </c>
      <c r="F243" s="54">
        <f t="shared" ca="1" si="12"/>
        <v>23</v>
      </c>
      <c r="G243" s="53" t="s">
        <v>32</v>
      </c>
      <c r="H243" s="52">
        <v>79730</v>
      </c>
      <c r="I243" s="51">
        <v>2</v>
      </c>
    </row>
    <row r="244" spans="1:9" x14ac:dyDescent="0.25">
      <c r="A244" s="56" t="s">
        <v>20</v>
      </c>
      <c r="B244" s="58" t="s">
        <v>13</v>
      </c>
      <c r="C244" s="56" t="s">
        <v>20</v>
      </c>
      <c r="D244" s="56" t="s">
        <v>5</v>
      </c>
      <c r="E244" s="55">
        <v>34216</v>
      </c>
      <c r="F244" s="54">
        <f t="shared" ca="1" si="12"/>
        <v>23</v>
      </c>
      <c r="G244" s="53" t="s">
        <v>4</v>
      </c>
      <c r="H244" s="52">
        <v>32390</v>
      </c>
      <c r="I244" s="51">
        <v>2</v>
      </c>
    </row>
    <row r="245" spans="1:9" x14ac:dyDescent="0.25">
      <c r="A245" s="56" t="s">
        <v>20</v>
      </c>
      <c r="B245" s="58" t="s">
        <v>10</v>
      </c>
      <c r="C245" s="56" t="s">
        <v>20</v>
      </c>
      <c r="D245" s="56" t="s">
        <v>5</v>
      </c>
      <c r="E245" s="55">
        <v>34219</v>
      </c>
      <c r="F245" s="54">
        <f t="shared" ca="1" si="12"/>
        <v>23</v>
      </c>
      <c r="G245" s="53" t="s">
        <v>19</v>
      </c>
      <c r="H245" s="52">
        <v>44920</v>
      </c>
      <c r="I245" s="51">
        <v>1</v>
      </c>
    </row>
    <row r="246" spans="1:9" x14ac:dyDescent="0.25">
      <c r="A246" s="56" t="s">
        <v>20</v>
      </c>
      <c r="B246" s="58" t="s">
        <v>17</v>
      </c>
      <c r="C246" s="56" t="s">
        <v>20</v>
      </c>
      <c r="D246" s="56" t="s">
        <v>5</v>
      </c>
      <c r="E246" s="55">
        <v>34279</v>
      </c>
      <c r="F246" s="54">
        <f t="shared" ca="1" si="12"/>
        <v>22</v>
      </c>
      <c r="G246" s="53" t="s">
        <v>32</v>
      </c>
      <c r="H246" s="52">
        <v>60280</v>
      </c>
      <c r="I246" s="51">
        <v>1</v>
      </c>
    </row>
    <row r="247" spans="1:9" x14ac:dyDescent="0.25">
      <c r="A247" s="56" t="s">
        <v>20</v>
      </c>
      <c r="B247" s="58" t="s">
        <v>56</v>
      </c>
      <c r="C247" s="56" t="s">
        <v>20</v>
      </c>
      <c r="D247" s="56" t="s">
        <v>5</v>
      </c>
      <c r="E247" s="55">
        <v>34281</v>
      </c>
      <c r="F247" s="54">
        <f t="shared" ca="1" si="12"/>
        <v>22</v>
      </c>
      <c r="G247" s="53" t="s">
        <v>4</v>
      </c>
      <c r="H247" s="52">
        <v>61150</v>
      </c>
      <c r="I247" s="51">
        <v>2</v>
      </c>
    </row>
    <row r="248" spans="1:9" x14ac:dyDescent="0.25">
      <c r="A248" s="56" t="s">
        <v>20</v>
      </c>
      <c r="B248" s="58" t="s">
        <v>17</v>
      </c>
      <c r="C248" s="56" t="s">
        <v>20</v>
      </c>
      <c r="D248" s="56" t="s">
        <v>5</v>
      </c>
      <c r="E248" s="55">
        <v>34385</v>
      </c>
      <c r="F248" s="54">
        <f t="shared" ca="1" si="12"/>
        <v>22</v>
      </c>
      <c r="G248" s="53" t="s">
        <v>32</v>
      </c>
      <c r="H248" s="52">
        <v>60100</v>
      </c>
      <c r="I248" s="51">
        <v>1</v>
      </c>
    </row>
    <row r="249" spans="1:9" x14ac:dyDescent="0.25">
      <c r="A249" s="56" t="s">
        <v>20</v>
      </c>
      <c r="B249" s="58" t="s">
        <v>13</v>
      </c>
      <c r="C249" s="56" t="s">
        <v>20</v>
      </c>
      <c r="D249" s="56" t="s">
        <v>5</v>
      </c>
      <c r="E249" s="55">
        <v>34393</v>
      </c>
      <c r="F249" s="54">
        <f t="shared" ca="1" si="12"/>
        <v>22</v>
      </c>
      <c r="G249" s="53" t="s">
        <v>34</v>
      </c>
      <c r="H249" s="52">
        <v>66430</v>
      </c>
      <c r="I249" s="51">
        <v>2</v>
      </c>
    </row>
    <row r="250" spans="1:9" x14ac:dyDescent="0.25">
      <c r="A250" s="56" t="s">
        <v>20</v>
      </c>
      <c r="B250" s="58" t="s">
        <v>39</v>
      </c>
      <c r="C250" s="56" t="s">
        <v>20</v>
      </c>
      <c r="D250" s="56" t="s">
        <v>5</v>
      </c>
      <c r="E250" s="55">
        <v>34404</v>
      </c>
      <c r="F250" s="54">
        <f t="shared" ca="1" si="12"/>
        <v>22</v>
      </c>
      <c r="G250" s="53" t="s">
        <v>34</v>
      </c>
      <c r="H250" s="52">
        <v>70020</v>
      </c>
      <c r="I250" s="51">
        <v>3</v>
      </c>
    </row>
    <row r="251" spans="1:9" x14ac:dyDescent="0.25">
      <c r="A251" s="56" t="s">
        <v>20</v>
      </c>
      <c r="B251" s="58" t="s">
        <v>56</v>
      </c>
      <c r="C251" s="56" t="s">
        <v>20</v>
      </c>
      <c r="D251" s="56" t="s">
        <v>5</v>
      </c>
      <c r="E251" s="55">
        <v>34491</v>
      </c>
      <c r="F251" s="54">
        <f t="shared" ca="1" si="12"/>
        <v>22</v>
      </c>
      <c r="G251" s="53" t="s">
        <v>32</v>
      </c>
      <c r="H251" s="52">
        <v>78570</v>
      </c>
      <c r="I251" s="51">
        <v>1</v>
      </c>
    </row>
    <row r="252" spans="1:9" x14ac:dyDescent="0.25">
      <c r="A252" s="56" t="s">
        <v>20</v>
      </c>
      <c r="B252" s="58" t="s">
        <v>56</v>
      </c>
      <c r="C252" s="56" t="s">
        <v>20</v>
      </c>
      <c r="D252" s="56" t="s">
        <v>15</v>
      </c>
      <c r="E252" s="55">
        <v>34497</v>
      </c>
      <c r="F252" s="54">
        <f t="shared" ca="1" si="12"/>
        <v>22</v>
      </c>
      <c r="G252" s="53" t="s">
        <v>32</v>
      </c>
      <c r="H252" s="52">
        <v>48835</v>
      </c>
      <c r="I252" s="51">
        <v>5</v>
      </c>
    </row>
    <row r="253" spans="1:9" x14ac:dyDescent="0.25">
      <c r="A253" s="56" t="s">
        <v>20</v>
      </c>
      <c r="B253" s="58" t="s">
        <v>39</v>
      </c>
      <c r="C253" s="56" t="s">
        <v>20</v>
      </c>
      <c r="D253" s="56" t="s">
        <v>0</v>
      </c>
      <c r="E253" s="55">
        <v>34519</v>
      </c>
      <c r="F253" s="54">
        <f t="shared" ca="1" si="12"/>
        <v>22</v>
      </c>
      <c r="G253" s="53"/>
      <c r="H253" s="52">
        <v>29176</v>
      </c>
      <c r="I253" s="51">
        <v>3</v>
      </c>
    </row>
    <row r="254" spans="1:9" x14ac:dyDescent="0.25">
      <c r="A254" s="56" t="s">
        <v>20</v>
      </c>
      <c r="B254" s="58" t="s">
        <v>2</v>
      </c>
      <c r="C254" s="56" t="s">
        <v>20</v>
      </c>
      <c r="D254" s="56" t="s">
        <v>5</v>
      </c>
      <c r="E254" s="55">
        <v>34520</v>
      </c>
      <c r="F254" s="54">
        <f t="shared" ca="1" si="12"/>
        <v>22</v>
      </c>
      <c r="G254" s="53" t="s">
        <v>19</v>
      </c>
      <c r="H254" s="52">
        <v>35460</v>
      </c>
      <c r="I254" s="51">
        <v>5</v>
      </c>
    </row>
    <row r="255" spans="1:9" x14ac:dyDescent="0.25">
      <c r="A255" s="56" t="s">
        <v>20</v>
      </c>
      <c r="B255" s="58" t="s">
        <v>56</v>
      </c>
      <c r="C255" s="56" t="s">
        <v>20</v>
      </c>
      <c r="D255" s="56" t="s">
        <v>12</v>
      </c>
      <c r="E255" s="55">
        <v>34617</v>
      </c>
      <c r="F255" s="54">
        <f t="shared" ca="1" si="12"/>
        <v>22</v>
      </c>
      <c r="G255" s="53"/>
      <c r="H255" s="52">
        <v>76910</v>
      </c>
      <c r="I255" s="51">
        <v>1</v>
      </c>
    </row>
    <row r="256" spans="1:9" x14ac:dyDescent="0.25">
      <c r="A256" s="56" t="s">
        <v>20</v>
      </c>
      <c r="B256" s="58" t="s">
        <v>13</v>
      </c>
      <c r="C256" s="56" t="s">
        <v>20</v>
      </c>
      <c r="D256" s="56" t="s">
        <v>5</v>
      </c>
      <c r="E256" s="55">
        <v>34622</v>
      </c>
      <c r="F256" s="54">
        <f t="shared" ca="1" si="12"/>
        <v>22</v>
      </c>
      <c r="G256" s="53" t="s">
        <v>4</v>
      </c>
      <c r="H256" s="52">
        <v>89740</v>
      </c>
      <c r="I256" s="51">
        <v>5</v>
      </c>
    </row>
    <row r="257" spans="1:9" x14ac:dyDescent="0.25">
      <c r="A257" s="56" t="s">
        <v>20</v>
      </c>
      <c r="B257" s="58" t="s">
        <v>39</v>
      </c>
      <c r="C257" s="56" t="s">
        <v>20</v>
      </c>
      <c r="D257" s="56" t="s">
        <v>5</v>
      </c>
      <c r="E257" s="55">
        <v>34628</v>
      </c>
      <c r="F257" s="54">
        <f t="shared" ca="1" si="12"/>
        <v>22</v>
      </c>
      <c r="G257" s="53" t="s">
        <v>19</v>
      </c>
      <c r="H257" s="52">
        <v>55450</v>
      </c>
      <c r="I257" s="51">
        <v>5</v>
      </c>
    </row>
    <row r="258" spans="1:9" x14ac:dyDescent="0.25">
      <c r="A258" s="56" t="s">
        <v>20</v>
      </c>
      <c r="B258" s="58" t="s">
        <v>13</v>
      </c>
      <c r="C258" s="56" t="s">
        <v>20</v>
      </c>
      <c r="D258" s="56" t="s">
        <v>12</v>
      </c>
      <c r="E258" s="55">
        <v>34662</v>
      </c>
      <c r="F258" s="54">
        <f t="shared" ca="1" si="12"/>
        <v>21</v>
      </c>
      <c r="G258" s="53"/>
      <c r="H258" s="52">
        <v>71710</v>
      </c>
      <c r="I258" s="51">
        <v>5</v>
      </c>
    </row>
    <row r="259" spans="1:9" x14ac:dyDescent="0.25">
      <c r="A259" s="56" t="s">
        <v>20</v>
      </c>
      <c r="B259" s="58" t="s">
        <v>13</v>
      </c>
      <c r="C259" s="56" t="s">
        <v>20</v>
      </c>
      <c r="D259" s="56" t="s">
        <v>0</v>
      </c>
      <c r="E259" s="55">
        <v>34672</v>
      </c>
      <c r="F259" s="54">
        <f t="shared" ca="1" si="12"/>
        <v>21</v>
      </c>
      <c r="G259" s="53"/>
      <c r="H259" s="52">
        <v>8904</v>
      </c>
      <c r="I259" s="51">
        <v>3</v>
      </c>
    </row>
    <row r="260" spans="1:9" x14ac:dyDescent="0.25">
      <c r="A260" s="56" t="s">
        <v>20</v>
      </c>
      <c r="B260" s="58" t="s">
        <v>17</v>
      </c>
      <c r="C260" s="56" t="s">
        <v>20</v>
      </c>
      <c r="D260" s="56" t="s">
        <v>12</v>
      </c>
      <c r="E260" s="55">
        <v>34682</v>
      </c>
      <c r="F260" s="54">
        <f t="shared" ca="1" si="12"/>
        <v>21</v>
      </c>
      <c r="G260" s="53"/>
      <c r="H260" s="52">
        <v>68260</v>
      </c>
      <c r="I260" s="51">
        <v>5</v>
      </c>
    </row>
    <row r="261" spans="1:9" x14ac:dyDescent="0.25">
      <c r="A261" s="56" t="s">
        <v>20</v>
      </c>
      <c r="B261" s="58" t="s">
        <v>17</v>
      </c>
      <c r="C261" s="56" t="s">
        <v>20</v>
      </c>
      <c r="D261" s="56" t="s">
        <v>5</v>
      </c>
      <c r="E261" s="55">
        <v>34686</v>
      </c>
      <c r="F261" s="54">
        <f t="shared" ca="1" si="12"/>
        <v>21</v>
      </c>
      <c r="G261" s="53" t="s">
        <v>32</v>
      </c>
      <c r="H261" s="52">
        <v>40340</v>
      </c>
      <c r="I261" s="51">
        <v>2</v>
      </c>
    </row>
    <row r="262" spans="1:9" x14ac:dyDescent="0.25">
      <c r="A262" s="56" t="s">
        <v>20</v>
      </c>
      <c r="B262" s="58" t="s">
        <v>13</v>
      </c>
      <c r="C262" s="56" t="s">
        <v>20</v>
      </c>
      <c r="D262" s="56" t="s">
        <v>12</v>
      </c>
      <c r="E262" s="55">
        <v>34687</v>
      </c>
      <c r="F262" s="54">
        <f t="shared" ca="1" si="12"/>
        <v>21</v>
      </c>
      <c r="G262" s="53"/>
      <c r="H262" s="52">
        <v>72520</v>
      </c>
      <c r="I262" s="51">
        <v>3</v>
      </c>
    </row>
    <row r="263" spans="1:9" x14ac:dyDescent="0.25">
      <c r="A263" s="56" t="s">
        <v>20</v>
      </c>
      <c r="B263" s="58" t="s">
        <v>17</v>
      </c>
      <c r="C263" s="56" t="s">
        <v>20</v>
      </c>
      <c r="D263" s="56" t="s">
        <v>5</v>
      </c>
      <c r="E263" s="55">
        <v>34699</v>
      </c>
      <c r="F263" s="54">
        <f t="shared" ref="F263:F294" ca="1" si="13">DATEDIF(E263,TODAY(),"Y")</f>
        <v>21</v>
      </c>
      <c r="G263" s="53" t="s">
        <v>32</v>
      </c>
      <c r="H263" s="52">
        <v>75120</v>
      </c>
      <c r="I263" s="51">
        <v>5</v>
      </c>
    </row>
    <row r="264" spans="1:9" x14ac:dyDescent="0.25">
      <c r="A264" s="56" t="s">
        <v>20</v>
      </c>
      <c r="B264" s="58" t="s">
        <v>10</v>
      </c>
      <c r="C264" s="56" t="s">
        <v>20</v>
      </c>
      <c r="D264" s="56" t="s">
        <v>12</v>
      </c>
      <c r="E264" s="55">
        <v>34701</v>
      </c>
      <c r="F264" s="54">
        <f t="shared" ca="1" si="13"/>
        <v>21</v>
      </c>
      <c r="G264" s="53"/>
      <c r="H264" s="52">
        <v>45050</v>
      </c>
      <c r="I264" s="51">
        <v>1</v>
      </c>
    </row>
    <row r="265" spans="1:9" x14ac:dyDescent="0.25">
      <c r="A265" s="56" t="s">
        <v>20</v>
      </c>
      <c r="B265" s="58" t="s">
        <v>10</v>
      </c>
      <c r="C265" s="56" t="s">
        <v>20</v>
      </c>
      <c r="D265" s="56" t="s">
        <v>0</v>
      </c>
      <c r="E265" s="55">
        <v>34757</v>
      </c>
      <c r="F265" s="54">
        <f t="shared" ca="1" si="13"/>
        <v>21</v>
      </c>
      <c r="G265" s="53"/>
      <c r="H265" s="52">
        <v>37612</v>
      </c>
      <c r="I265" s="51">
        <v>4</v>
      </c>
    </row>
    <row r="266" spans="1:9" x14ac:dyDescent="0.25">
      <c r="A266" s="56" t="s">
        <v>20</v>
      </c>
      <c r="B266" s="58" t="s">
        <v>10</v>
      </c>
      <c r="C266" s="56" t="s">
        <v>20</v>
      </c>
      <c r="D266" s="56" t="s">
        <v>0</v>
      </c>
      <c r="E266" s="55">
        <v>34757</v>
      </c>
      <c r="F266" s="54">
        <f t="shared" ca="1" si="13"/>
        <v>21</v>
      </c>
      <c r="G266" s="53"/>
      <c r="H266" s="52">
        <v>37612</v>
      </c>
      <c r="I266" s="51">
        <v>4</v>
      </c>
    </row>
    <row r="267" spans="1:9" x14ac:dyDescent="0.25">
      <c r="A267" s="56" t="s">
        <v>20</v>
      </c>
      <c r="B267" s="58" t="s">
        <v>10</v>
      </c>
      <c r="C267" s="56" t="s">
        <v>20</v>
      </c>
      <c r="D267" s="56" t="s">
        <v>5</v>
      </c>
      <c r="E267" s="55">
        <v>34774</v>
      </c>
      <c r="F267" s="54">
        <f t="shared" ca="1" si="13"/>
        <v>21</v>
      </c>
      <c r="G267" s="53" t="s">
        <v>32</v>
      </c>
      <c r="H267" s="52">
        <v>33210</v>
      </c>
      <c r="I267" s="51">
        <v>4</v>
      </c>
    </row>
    <row r="268" spans="1:9" x14ac:dyDescent="0.25">
      <c r="A268" s="56" t="s">
        <v>20</v>
      </c>
      <c r="B268" s="58" t="s">
        <v>17</v>
      </c>
      <c r="C268" s="56" t="s">
        <v>20</v>
      </c>
      <c r="D268" s="56" t="s">
        <v>5</v>
      </c>
      <c r="E268" s="55">
        <v>34791</v>
      </c>
      <c r="F268" s="54">
        <f t="shared" ca="1" si="13"/>
        <v>21</v>
      </c>
      <c r="G268" s="53" t="s">
        <v>32</v>
      </c>
      <c r="H268" s="52">
        <v>88240</v>
      </c>
      <c r="I268" s="51">
        <v>5</v>
      </c>
    </row>
    <row r="269" spans="1:9" x14ac:dyDescent="0.25">
      <c r="A269" s="56" t="s">
        <v>20</v>
      </c>
      <c r="B269" s="58" t="s">
        <v>39</v>
      </c>
      <c r="C269" s="56" t="s">
        <v>20</v>
      </c>
      <c r="D269" s="56" t="s">
        <v>5</v>
      </c>
      <c r="E269" s="55">
        <v>34812</v>
      </c>
      <c r="F269" s="54">
        <f t="shared" ca="1" si="13"/>
        <v>21</v>
      </c>
      <c r="G269" s="53" t="s">
        <v>34</v>
      </c>
      <c r="H269" s="52">
        <v>22660</v>
      </c>
      <c r="I269" s="51">
        <v>2</v>
      </c>
    </row>
    <row r="270" spans="1:9" x14ac:dyDescent="0.25">
      <c r="A270" s="56" t="s">
        <v>20</v>
      </c>
      <c r="B270" s="58" t="s">
        <v>17</v>
      </c>
      <c r="C270" s="56" t="s">
        <v>20</v>
      </c>
      <c r="D270" s="56" t="s">
        <v>15</v>
      </c>
      <c r="E270" s="55">
        <v>34867</v>
      </c>
      <c r="F270" s="54">
        <f t="shared" ca="1" si="13"/>
        <v>21</v>
      </c>
      <c r="G270" s="53" t="s">
        <v>19</v>
      </c>
      <c r="H270" s="52">
        <v>21670</v>
      </c>
      <c r="I270" s="51">
        <v>2</v>
      </c>
    </row>
    <row r="271" spans="1:9" x14ac:dyDescent="0.25">
      <c r="A271" s="56" t="s">
        <v>20</v>
      </c>
      <c r="B271" s="58" t="s">
        <v>56</v>
      </c>
      <c r="C271" s="56" t="s">
        <v>20</v>
      </c>
      <c r="D271" s="56" t="s">
        <v>5</v>
      </c>
      <c r="E271" s="55">
        <v>34888</v>
      </c>
      <c r="F271" s="54">
        <f t="shared" ca="1" si="13"/>
        <v>21</v>
      </c>
      <c r="G271" s="53" t="s">
        <v>8</v>
      </c>
      <c r="H271" s="52">
        <v>81400</v>
      </c>
      <c r="I271" s="51">
        <v>2</v>
      </c>
    </row>
    <row r="272" spans="1:9" x14ac:dyDescent="0.25">
      <c r="A272" s="56" t="s">
        <v>20</v>
      </c>
      <c r="B272" s="58" t="s">
        <v>17</v>
      </c>
      <c r="C272" s="56" t="s">
        <v>20</v>
      </c>
      <c r="D272" s="56" t="s">
        <v>15</v>
      </c>
      <c r="E272" s="55">
        <v>34959</v>
      </c>
      <c r="F272" s="54">
        <f t="shared" ca="1" si="13"/>
        <v>21</v>
      </c>
      <c r="G272" s="53" t="s">
        <v>4</v>
      </c>
      <c r="H272" s="52">
        <v>48190</v>
      </c>
      <c r="I272" s="51">
        <v>1</v>
      </c>
    </row>
    <row r="273" spans="1:9" x14ac:dyDescent="0.25">
      <c r="A273" s="56" t="s">
        <v>20</v>
      </c>
      <c r="B273" s="58" t="s">
        <v>17</v>
      </c>
      <c r="C273" s="56" t="s">
        <v>20</v>
      </c>
      <c r="D273" s="56" t="s">
        <v>15</v>
      </c>
      <c r="E273" s="55">
        <v>34959</v>
      </c>
      <c r="F273" s="54">
        <f t="shared" ca="1" si="13"/>
        <v>21</v>
      </c>
      <c r="G273" s="53" t="s">
        <v>4</v>
      </c>
      <c r="H273" s="52">
        <v>48190</v>
      </c>
      <c r="I273" s="51">
        <v>1</v>
      </c>
    </row>
    <row r="274" spans="1:9" x14ac:dyDescent="0.25">
      <c r="A274" s="56" t="s">
        <v>20</v>
      </c>
      <c r="B274" s="58" t="s">
        <v>17</v>
      </c>
      <c r="C274" s="56" t="s">
        <v>20</v>
      </c>
      <c r="D274" s="56" t="s">
        <v>5</v>
      </c>
      <c r="E274" s="55">
        <v>34963</v>
      </c>
      <c r="F274" s="54">
        <f t="shared" ca="1" si="13"/>
        <v>21</v>
      </c>
      <c r="G274" s="53" t="s">
        <v>4</v>
      </c>
      <c r="H274" s="52">
        <v>61330</v>
      </c>
      <c r="I274" s="51">
        <v>4</v>
      </c>
    </row>
    <row r="275" spans="1:9" x14ac:dyDescent="0.25">
      <c r="A275" s="56" t="s">
        <v>20</v>
      </c>
      <c r="B275" s="58" t="s">
        <v>10</v>
      </c>
      <c r="C275" s="56" t="s">
        <v>20</v>
      </c>
      <c r="D275" s="56" t="s">
        <v>12</v>
      </c>
      <c r="E275" s="55">
        <v>34973</v>
      </c>
      <c r="F275" s="54">
        <f t="shared" ca="1" si="13"/>
        <v>21</v>
      </c>
      <c r="G275" s="53"/>
      <c r="H275" s="52">
        <v>25130</v>
      </c>
      <c r="I275" s="51">
        <v>5</v>
      </c>
    </row>
    <row r="276" spans="1:9" x14ac:dyDescent="0.25">
      <c r="A276" s="56" t="s">
        <v>20</v>
      </c>
      <c r="B276" s="58" t="s">
        <v>17</v>
      </c>
      <c r="C276" s="56" t="s">
        <v>20</v>
      </c>
      <c r="D276" s="56" t="s">
        <v>0</v>
      </c>
      <c r="E276" s="55">
        <v>34995</v>
      </c>
      <c r="F276" s="54">
        <f t="shared" ca="1" si="13"/>
        <v>21</v>
      </c>
      <c r="G276" s="53"/>
      <c r="H276" s="52">
        <v>9424</v>
      </c>
      <c r="I276" s="51">
        <v>4</v>
      </c>
    </row>
    <row r="277" spans="1:9" x14ac:dyDescent="0.25">
      <c r="A277" s="56" t="s">
        <v>20</v>
      </c>
      <c r="B277" s="58" t="s">
        <v>13</v>
      </c>
      <c r="C277" s="56" t="s">
        <v>20</v>
      </c>
      <c r="D277" s="56" t="s">
        <v>5</v>
      </c>
      <c r="E277" s="55">
        <v>35008</v>
      </c>
      <c r="F277" s="54">
        <f t="shared" ca="1" si="13"/>
        <v>20</v>
      </c>
      <c r="G277" s="53" t="s">
        <v>4</v>
      </c>
      <c r="H277" s="52">
        <v>68750</v>
      </c>
      <c r="I277" s="51">
        <v>1</v>
      </c>
    </row>
    <row r="278" spans="1:9" x14ac:dyDescent="0.25">
      <c r="A278" s="56" t="s">
        <v>20</v>
      </c>
      <c r="B278" s="58" t="s">
        <v>13</v>
      </c>
      <c r="C278" s="56" t="s">
        <v>20</v>
      </c>
      <c r="D278" s="56" t="s">
        <v>5</v>
      </c>
      <c r="E278" s="55">
        <v>35022</v>
      </c>
      <c r="F278" s="54">
        <f t="shared" ca="1" si="13"/>
        <v>20</v>
      </c>
      <c r="G278" s="53" t="s">
        <v>19</v>
      </c>
      <c r="H278" s="52">
        <v>37760</v>
      </c>
      <c r="I278" s="51">
        <v>2</v>
      </c>
    </row>
    <row r="279" spans="1:9" x14ac:dyDescent="0.25">
      <c r="A279" s="56" t="s">
        <v>20</v>
      </c>
      <c r="B279" s="58" t="s">
        <v>2</v>
      </c>
      <c r="C279" s="56" t="s">
        <v>20</v>
      </c>
      <c r="D279" s="56" t="s">
        <v>12</v>
      </c>
      <c r="E279" s="55">
        <v>35040</v>
      </c>
      <c r="F279" s="54">
        <f t="shared" ca="1" si="13"/>
        <v>20</v>
      </c>
      <c r="G279" s="53"/>
      <c r="H279" s="52">
        <v>27380</v>
      </c>
      <c r="I279" s="51">
        <v>3</v>
      </c>
    </row>
    <row r="280" spans="1:9" x14ac:dyDescent="0.25">
      <c r="A280" s="56" t="s">
        <v>20</v>
      </c>
      <c r="B280" s="58" t="s">
        <v>13</v>
      </c>
      <c r="C280" s="56" t="s">
        <v>20</v>
      </c>
      <c r="D280" s="56" t="s">
        <v>15</v>
      </c>
      <c r="E280" s="55">
        <v>35050</v>
      </c>
      <c r="F280" s="54">
        <f t="shared" ca="1" si="13"/>
        <v>20</v>
      </c>
      <c r="G280" s="53" t="s">
        <v>4</v>
      </c>
      <c r="H280" s="52">
        <v>11065</v>
      </c>
      <c r="I280" s="51">
        <v>1</v>
      </c>
    </row>
    <row r="281" spans="1:9" x14ac:dyDescent="0.25">
      <c r="A281" s="56" t="s">
        <v>20</v>
      </c>
      <c r="B281" s="58" t="s">
        <v>10</v>
      </c>
      <c r="C281" s="56" t="s">
        <v>20</v>
      </c>
      <c r="D281" s="56" t="s">
        <v>5</v>
      </c>
      <c r="E281" s="55">
        <v>35103</v>
      </c>
      <c r="F281" s="54">
        <f t="shared" ca="1" si="13"/>
        <v>20</v>
      </c>
      <c r="G281" s="53" t="s">
        <v>32</v>
      </c>
      <c r="H281" s="52">
        <v>40060</v>
      </c>
      <c r="I281" s="51">
        <v>3</v>
      </c>
    </row>
    <row r="282" spans="1:9" x14ac:dyDescent="0.25">
      <c r="A282" s="56" t="s">
        <v>20</v>
      </c>
      <c r="B282" s="58" t="s">
        <v>13</v>
      </c>
      <c r="C282" s="56" t="s">
        <v>20</v>
      </c>
      <c r="D282" s="56" t="s">
        <v>15</v>
      </c>
      <c r="E282" s="55">
        <v>35112</v>
      </c>
      <c r="F282" s="54">
        <f t="shared" ca="1" si="13"/>
        <v>20</v>
      </c>
      <c r="G282" s="53" t="s">
        <v>4</v>
      </c>
      <c r="H282" s="52">
        <v>17270</v>
      </c>
      <c r="I282" s="51">
        <v>5</v>
      </c>
    </row>
    <row r="283" spans="1:9" x14ac:dyDescent="0.25">
      <c r="A283" s="56" t="s">
        <v>20</v>
      </c>
      <c r="B283" s="58" t="s">
        <v>13</v>
      </c>
      <c r="C283" s="56" t="s">
        <v>20</v>
      </c>
      <c r="D283" s="56" t="s">
        <v>5</v>
      </c>
      <c r="E283" s="55">
        <v>35121</v>
      </c>
      <c r="F283" s="54">
        <f t="shared" ca="1" si="13"/>
        <v>20</v>
      </c>
      <c r="G283" s="53" t="s">
        <v>32</v>
      </c>
      <c r="H283" s="52">
        <v>35820</v>
      </c>
      <c r="I283" s="51">
        <v>2</v>
      </c>
    </row>
    <row r="284" spans="1:9" x14ac:dyDescent="0.25">
      <c r="A284" s="56" t="s">
        <v>20</v>
      </c>
      <c r="B284" s="58" t="s">
        <v>39</v>
      </c>
      <c r="C284" s="56" t="s">
        <v>20</v>
      </c>
      <c r="D284" s="56" t="s">
        <v>5</v>
      </c>
      <c r="E284" s="55">
        <v>35134</v>
      </c>
      <c r="F284" s="54">
        <f t="shared" ca="1" si="13"/>
        <v>20</v>
      </c>
      <c r="G284" s="53" t="s">
        <v>32</v>
      </c>
      <c r="H284" s="52">
        <v>67280</v>
      </c>
      <c r="I284" s="51">
        <v>3</v>
      </c>
    </row>
    <row r="285" spans="1:9" x14ac:dyDescent="0.25">
      <c r="A285" s="56" t="s">
        <v>20</v>
      </c>
      <c r="B285" s="58" t="s">
        <v>17</v>
      </c>
      <c r="C285" s="56" t="s">
        <v>20</v>
      </c>
      <c r="D285" s="56" t="s">
        <v>12</v>
      </c>
      <c r="E285" s="55">
        <v>35145</v>
      </c>
      <c r="F285" s="54">
        <f t="shared" ca="1" si="13"/>
        <v>20</v>
      </c>
      <c r="G285" s="53"/>
      <c r="H285" s="52">
        <v>23810</v>
      </c>
      <c r="I285" s="51">
        <v>4</v>
      </c>
    </row>
    <row r="286" spans="1:9" x14ac:dyDescent="0.25">
      <c r="A286" s="56" t="s">
        <v>20</v>
      </c>
      <c r="B286" s="58" t="s">
        <v>17</v>
      </c>
      <c r="C286" s="56" t="s">
        <v>20</v>
      </c>
      <c r="D286" s="56" t="s">
        <v>15</v>
      </c>
      <c r="E286" s="55">
        <v>35193</v>
      </c>
      <c r="F286" s="54">
        <f t="shared" ca="1" si="13"/>
        <v>20</v>
      </c>
      <c r="G286" s="53" t="s">
        <v>19</v>
      </c>
      <c r="H286" s="52">
        <v>41615</v>
      </c>
      <c r="I286" s="51">
        <v>1</v>
      </c>
    </row>
    <row r="287" spans="1:9" x14ac:dyDescent="0.25">
      <c r="A287" s="56" t="s">
        <v>20</v>
      </c>
      <c r="B287" s="58" t="s">
        <v>17</v>
      </c>
      <c r="C287" s="56" t="s">
        <v>20</v>
      </c>
      <c r="D287" s="56" t="s">
        <v>5</v>
      </c>
      <c r="E287" s="55">
        <v>35225</v>
      </c>
      <c r="F287" s="54">
        <f t="shared" ca="1" si="13"/>
        <v>20</v>
      </c>
      <c r="G287" s="53" t="s">
        <v>32</v>
      </c>
      <c r="H287" s="52">
        <v>76192</v>
      </c>
      <c r="I287" s="51">
        <v>4</v>
      </c>
    </row>
    <row r="288" spans="1:9" x14ac:dyDescent="0.25">
      <c r="A288" s="56" t="s">
        <v>20</v>
      </c>
      <c r="B288" s="58" t="s">
        <v>10</v>
      </c>
      <c r="C288" s="56" t="s">
        <v>20</v>
      </c>
      <c r="D288" s="56" t="s">
        <v>12</v>
      </c>
      <c r="E288" s="55">
        <v>35290</v>
      </c>
      <c r="F288" s="54">
        <f t="shared" ca="1" si="13"/>
        <v>20</v>
      </c>
      <c r="G288" s="53"/>
      <c r="H288" s="52">
        <v>41840</v>
      </c>
      <c r="I288" s="51">
        <v>2</v>
      </c>
    </row>
    <row r="289" spans="1:9" x14ac:dyDescent="0.25">
      <c r="A289" s="56" t="s">
        <v>20</v>
      </c>
      <c r="B289" s="58" t="s">
        <v>13</v>
      </c>
      <c r="C289" s="56" t="s">
        <v>20</v>
      </c>
      <c r="D289" s="56" t="s">
        <v>15</v>
      </c>
      <c r="E289" s="55">
        <v>35294</v>
      </c>
      <c r="F289" s="54">
        <f t="shared" ca="1" si="13"/>
        <v>20</v>
      </c>
      <c r="G289" s="53" t="s">
        <v>4</v>
      </c>
      <c r="H289" s="52">
        <v>46710</v>
      </c>
      <c r="I289" s="51">
        <v>3</v>
      </c>
    </row>
    <row r="290" spans="1:9" x14ac:dyDescent="0.25">
      <c r="A290" s="56" t="s">
        <v>20</v>
      </c>
      <c r="B290" s="58" t="s">
        <v>17</v>
      </c>
      <c r="C290" s="56" t="s">
        <v>20</v>
      </c>
      <c r="D290" s="56" t="s">
        <v>12</v>
      </c>
      <c r="E290" s="55">
        <v>35327</v>
      </c>
      <c r="F290" s="54">
        <f t="shared" ca="1" si="13"/>
        <v>20</v>
      </c>
      <c r="G290" s="53"/>
      <c r="H290" s="52">
        <v>57600</v>
      </c>
      <c r="I290" s="51">
        <v>3</v>
      </c>
    </row>
    <row r="291" spans="1:9" x14ac:dyDescent="0.25">
      <c r="A291" s="56" t="s">
        <v>20</v>
      </c>
      <c r="B291" s="58" t="s">
        <v>39</v>
      </c>
      <c r="C291" s="56" t="s">
        <v>20</v>
      </c>
      <c r="D291" s="56" t="s">
        <v>5</v>
      </c>
      <c r="E291" s="55">
        <v>35388</v>
      </c>
      <c r="F291" s="54">
        <f t="shared" ca="1" si="13"/>
        <v>19</v>
      </c>
      <c r="G291" s="53" t="s">
        <v>19</v>
      </c>
      <c r="H291" s="52">
        <v>23650</v>
      </c>
      <c r="I291" s="51">
        <v>1</v>
      </c>
    </row>
    <row r="292" spans="1:9" x14ac:dyDescent="0.25">
      <c r="A292" s="56" t="s">
        <v>20</v>
      </c>
      <c r="B292" s="58" t="s">
        <v>10</v>
      </c>
      <c r="C292" s="56" t="s">
        <v>20</v>
      </c>
      <c r="D292" s="56" t="s">
        <v>12</v>
      </c>
      <c r="E292" s="55">
        <v>35394</v>
      </c>
      <c r="F292" s="54">
        <f t="shared" ca="1" si="13"/>
        <v>19</v>
      </c>
      <c r="G292" s="53"/>
      <c r="H292" s="52">
        <v>57760</v>
      </c>
      <c r="I292" s="51">
        <v>3</v>
      </c>
    </row>
    <row r="293" spans="1:9" x14ac:dyDescent="0.25">
      <c r="A293" s="56" t="s">
        <v>20</v>
      </c>
      <c r="B293" s="58" t="s">
        <v>13</v>
      </c>
      <c r="C293" s="56" t="s">
        <v>20</v>
      </c>
      <c r="D293" s="56" t="s">
        <v>5</v>
      </c>
      <c r="E293" s="55">
        <v>35397</v>
      </c>
      <c r="F293" s="54">
        <f t="shared" ca="1" si="13"/>
        <v>19</v>
      </c>
      <c r="G293" s="53" t="s">
        <v>8</v>
      </c>
      <c r="H293" s="52">
        <v>38870</v>
      </c>
      <c r="I293" s="51">
        <v>2</v>
      </c>
    </row>
    <row r="294" spans="1:9" x14ac:dyDescent="0.25">
      <c r="A294" s="56" t="s">
        <v>20</v>
      </c>
      <c r="B294" s="58" t="s">
        <v>13</v>
      </c>
      <c r="C294" s="56" t="s">
        <v>20</v>
      </c>
      <c r="D294" s="56" t="s">
        <v>12</v>
      </c>
      <c r="E294" s="55">
        <v>35408</v>
      </c>
      <c r="F294" s="54">
        <f t="shared" ca="1" si="13"/>
        <v>19</v>
      </c>
      <c r="G294" s="53"/>
      <c r="H294" s="52">
        <v>89520</v>
      </c>
      <c r="I294" s="51">
        <v>5</v>
      </c>
    </row>
    <row r="295" spans="1:9" x14ac:dyDescent="0.25">
      <c r="A295" s="56" t="s">
        <v>20</v>
      </c>
      <c r="B295" s="58" t="s">
        <v>13</v>
      </c>
      <c r="C295" s="56" t="s">
        <v>20</v>
      </c>
      <c r="D295" s="56" t="s">
        <v>12</v>
      </c>
      <c r="E295" s="55">
        <v>35419</v>
      </c>
      <c r="F295" s="54">
        <f t="shared" ref="F295:F326" ca="1" si="14">DATEDIF(E295,TODAY(),"Y")</f>
        <v>19</v>
      </c>
      <c r="G295" s="53"/>
      <c r="H295" s="52">
        <v>45420</v>
      </c>
      <c r="I295" s="51">
        <v>1</v>
      </c>
    </row>
    <row r="296" spans="1:9" x14ac:dyDescent="0.25">
      <c r="A296" s="56" t="s">
        <v>20</v>
      </c>
      <c r="B296" s="58" t="s">
        <v>13</v>
      </c>
      <c r="C296" s="56" t="s">
        <v>20</v>
      </c>
      <c r="D296" s="56" t="s">
        <v>12</v>
      </c>
      <c r="E296" s="55">
        <v>35667</v>
      </c>
      <c r="F296" s="54">
        <f t="shared" ca="1" si="14"/>
        <v>19</v>
      </c>
      <c r="G296" s="53"/>
      <c r="H296" s="52">
        <v>68510</v>
      </c>
      <c r="I296" s="51">
        <v>5</v>
      </c>
    </row>
    <row r="297" spans="1:9" x14ac:dyDescent="0.25">
      <c r="A297" s="56" t="s">
        <v>20</v>
      </c>
      <c r="B297" s="58" t="s">
        <v>13</v>
      </c>
      <c r="C297" s="56" t="s">
        <v>20</v>
      </c>
      <c r="D297" s="56" t="s">
        <v>5</v>
      </c>
      <c r="E297" s="55">
        <v>35758</v>
      </c>
      <c r="F297" s="54">
        <f t="shared" ca="1" si="14"/>
        <v>18</v>
      </c>
      <c r="G297" s="53" t="s">
        <v>34</v>
      </c>
      <c r="H297" s="52">
        <v>66010</v>
      </c>
      <c r="I297" s="51">
        <v>5</v>
      </c>
    </row>
    <row r="298" spans="1:9" x14ac:dyDescent="0.25">
      <c r="A298" s="56" t="s">
        <v>20</v>
      </c>
      <c r="B298" s="58" t="s">
        <v>10</v>
      </c>
      <c r="C298" s="56" t="s">
        <v>20</v>
      </c>
      <c r="D298" s="56" t="s">
        <v>5</v>
      </c>
      <c r="E298" s="55">
        <v>35919</v>
      </c>
      <c r="F298" s="54">
        <f t="shared" ca="1" si="14"/>
        <v>18</v>
      </c>
      <c r="G298" s="53" t="s">
        <v>4</v>
      </c>
      <c r="H298" s="52">
        <v>25310</v>
      </c>
      <c r="I298" s="51">
        <v>4</v>
      </c>
    </row>
    <row r="299" spans="1:9" x14ac:dyDescent="0.25">
      <c r="A299" s="56" t="s">
        <v>20</v>
      </c>
      <c r="B299" s="58" t="s">
        <v>56</v>
      </c>
      <c r="C299" s="56" t="s">
        <v>20</v>
      </c>
      <c r="D299" s="56" t="s">
        <v>12</v>
      </c>
      <c r="E299" s="55">
        <v>36016</v>
      </c>
      <c r="F299" s="54">
        <f t="shared" ca="1" si="14"/>
        <v>18</v>
      </c>
      <c r="G299" s="53"/>
      <c r="H299" s="52">
        <v>52770</v>
      </c>
      <c r="I299" s="51">
        <v>2</v>
      </c>
    </row>
    <row r="300" spans="1:9" x14ac:dyDescent="0.25">
      <c r="A300" s="56" t="s">
        <v>20</v>
      </c>
      <c r="B300" s="58" t="s">
        <v>17</v>
      </c>
      <c r="C300" s="56" t="s">
        <v>20</v>
      </c>
      <c r="D300" s="56" t="s">
        <v>5</v>
      </c>
      <c r="E300" s="55">
        <v>36021</v>
      </c>
      <c r="F300" s="54">
        <f t="shared" ca="1" si="14"/>
        <v>18</v>
      </c>
      <c r="G300" s="53" t="s">
        <v>4</v>
      </c>
      <c r="H300" s="52">
        <v>62750</v>
      </c>
      <c r="I300" s="51">
        <v>3</v>
      </c>
    </row>
    <row r="301" spans="1:9" x14ac:dyDescent="0.25">
      <c r="A301" s="56" t="s">
        <v>20</v>
      </c>
      <c r="B301" s="58" t="s">
        <v>13</v>
      </c>
      <c r="C301" s="56" t="s">
        <v>20</v>
      </c>
      <c r="D301" s="56" t="s">
        <v>5</v>
      </c>
      <c r="E301" s="55">
        <v>36084</v>
      </c>
      <c r="F301" s="54">
        <f t="shared" ca="1" si="14"/>
        <v>18</v>
      </c>
      <c r="G301" s="53" t="s">
        <v>32</v>
      </c>
      <c r="H301" s="52">
        <v>28970</v>
      </c>
      <c r="I301" s="51">
        <v>3</v>
      </c>
    </row>
    <row r="302" spans="1:9" x14ac:dyDescent="0.25">
      <c r="A302" s="56" t="s">
        <v>20</v>
      </c>
      <c r="B302" s="58" t="s">
        <v>17</v>
      </c>
      <c r="C302" s="56" t="s">
        <v>20</v>
      </c>
      <c r="D302" s="56" t="s">
        <v>5</v>
      </c>
      <c r="E302" s="55">
        <v>36126</v>
      </c>
      <c r="F302" s="54">
        <f t="shared" ca="1" si="14"/>
        <v>17</v>
      </c>
      <c r="G302" s="53" t="s">
        <v>19</v>
      </c>
      <c r="H302" s="52">
        <v>64130</v>
      </c>
      <c r="I302" s="51">
        <v>1</v>
      </c>
    </row>
    <row r="303" spans="1:9" x14ac:dyDescent="0.25">
      <c r="A303" s="56" t="s">
        <v>20</v>
      </c>
      <c r="B303" s="58" t="s">
        <v>17</v>
      </c>
      <c r="C303" s="56" t="s">
        <v>20</v>
      </c>
      <c r="D303" s="56" t="s">
        <v>5</v>
      </c>
      <c r="E303" s="55">
        <v>36199</v>
      </c>
      <c r="F303" s="54">
        <f t="shared" ca="1" si="14"/>
        <v>17</v>
      </c>
      <c r="G303" s="53" t="s">
        <v>4</v>
      </c>
      <c r="H303" s="52">
        <v>69080</v>
      </c>
      <c r="I303" s="51">
        <v>3</v>
      </c>
    </row>
    <row r="304" spans="1:9" x14ac:dyDescent="0.25">
      <c r="A304" s="56" t="s">
        <v>20</v>
      </c>
      <c r="B304" s="58" t="s">
        <v>39</v>
      </c>
      <c r="C304" s="56" t="s">
        <v>20</v>
      </c>
      <c r="D304" s="56" t="s">
        <v>15</v>
      </c>
      <c r="E304" s="55">
        <v>36310</v>
      </c>
      <c r="F304" s="54">
        <f t="shared" ca="1" si="14"/>
        <v>17</v>
      </c>
      <c r="G304" s="53" t="s">
        <v>32</v>
      </c>
      <c r="H304" s="52">
        <v>24460</v>
      </c>
      <c r="I304" s="51">
        <v>1</v>
      </c>
    </row>
    <row r="305" spans="1:9" x14ac:dyDescent="0.25">
      <c r="A305" s="56" t="s">
        <v>20</v>
      </c>
      <c r="B305" s="58" t="s">
        <v>13</v>
      </c>
      <c r="C305" s="56" t="s">
        <v>20</v>
      </c>
      <c r="D305" s="56" t="s">
        <v>12</v>
      </c>
      <c r="E305" s="55">
        <v>36324</v>
      </c>
      <c r="F305" s="54">
        <f t="shared" ca="1" si="14"/>
        <v>17</v>
      </c>
      <c r="G305" s="53"/>
      <c r="H305" s="52">
        <v>61370</v>
      </c>
      <c r="I305" s="51">
        <v>3</v>
      </c>
    </row>
    <row r="306" spans="1:9" x14ac:dyDescent="0.25">
      <c r="A306" s="56" t="s">
        <v>20</v>
      </c>
      <c r="B306" s="58" t="s">
        <v>13</v>
      </c>
      <c r="C306" s="56" t="s">
        <v>20</v>
      </c>
      <c r="D306" s="56" t="s">
        <v>0</v>
      </c>
      <c r="E306" s="55">
        <v>36420</v>
      </c>
      <c r="F306" s="54">
        <f t="shared" ca="1" si="14"/>
        <v>17</v>
      </c>
      <c r="G306" s="53"/>
      <c r="H306" s="52">
        <v>8892</v>
      </c>
      <c r="I306" s="51">
        <v>1</v>
      </c>
    </row>
    <row r="307" spans="1:9" x14ac:dyDescent="0.25">
      <c r="A307" s="56" t="s">
        <v>20</v>
      </c>
      <c r="B307" s="58" t="s">
        <v>2</v>
      </c>
      <c r="C307" s="56" t="s">
        <v>20</v>
      </c>
      <c r="D307" s="56" t="s">
        <v>12</v>
      </c>
      <c r="E307" s="55">
        <v>36510</v>
      </c>
      <c r="F307" s="54">
        <f t="shared" ca="1" si="14"/>
        <v>16</v>
      </c>
      <c r="G307" s="53"/>
      <c r="H307" s="52">
        <v>75420</v>
      </c>
      <c r="I307" s="51">
        <v>1</v>
      </c>
    </row>
    <row r="308" spans="1:9" x14ac:dyDescent="0.25">
      <c r="A308" s="56" t="s">
        <v>20</v>
      </c>
      <c r="B308" s="58" t="s">
        <v>13</v>
      </c>
      <c r="C308" s="56" t="s">
        <v>20</v>
      </c>
      <c r="D308" s="56" t="s">
        <v>5</v>
      </c>
      <c r="E308" s="55">
        <v>36556</v>
      </c>
      <c r="F308" s="54">
        <f t="shared" ca="1" si="14"/>
        <v>16</v>
      </c>
      <c r="G308" s="53" t="s">
        <v>34</v>
      </c>
      <c r="H308" s="52">
        <v>54230</v>
      </c>
      <c r="I308" s="51">
        <v>5</v>
      </c>
    </row>
    <row r="309" spans="1:9" x14ac:dyDescent="0.25">
      <c r="A309" s="56" t="s">
        <v>20</v>
      </c>
      <c r="B309" s="58" t="s">
        <v>2</v>
      </c>
      <c r="C309" s="56" t="s">
        <v>20</v>
      </c>
      <c r="D309" s="56" t="s">
        <v>12</v>
      </c>
      <c r="E309" s="55">
        <v>36589</v>
      </c>
      <c r="F309" s="54">
        <f t="shared" ca="1" si="14"/>
        <v>16</v>
      </c>
      <c r="G309" s="53"/>
      <c r="H309" s="52">
        <v>64220</v>
      </c>
      <c r="I309" s="51">
        <v>5</v>
      </c>
    </row>
    <row r="310" spans="1:9" x14ac:dyDescent="0.25">
      <c r="A310" s="56" t="s">
        <v>20</v>
      </c>
      <c r="B310" s="58" t="s">
        <v>2</v>
      </c>
      <c r="C310" s="56" t="s">
        <v>20</v>
      </c>
      <c r="D310" s="56" t="s">
        <v>5</v>
      </c>
      <c r="E310" s="55">
        <v>36626</v>
      </c>
      <c r="F310" s="54">
        <f t="shared" ca="1" si="14"/>
        <v>16</v>
      </c>
      <c r="G310" s="53" t="s">
        <v>4</v>
      </c>
      <c r="H310" s="52">
        <v>30920</v>
      </c>
      <c r="I310" s="51">
        <v>5</v>
      </c>
    </row>
    <row r="311" spans="1:9" x14ac:dyDescent="0.25">
      <c r="A311" s="56" t="s">
        <v>20</v>
      </c>
      <c r="B311" s="58" t="s">
        <v>17</v>
      </c>
      <c r="C311" s="56" t="s">
        <v>20</v>
      </c>
      <c r="D311" s="56" t="s">
        <v>5</v>
      </c>
      <c r="E311" s="55">
        <v>36633</v>
      </c>
      <c r="F311" s="54">
        <f t="shared" ca="1" si="14"/>
        <v>16</v>
      </c>
      <c r="G311" s="53" t="s">
        <v>32</v>
      </c>
      <c r="H311" s="52">
        <v>75176</v>
      </c>
      <c r="I311" s="51">
        <v>3</v>
      </c>
    </row>
    <row r="312" spans="1:9" x14ac:dyDescent="0.25">
      <c r="A312" s="56" t="s">
        <v>20</v>
      </c>
      <c r="B312" s="58" t="s">
        <v>13</v>
      </c>
      <c r="C312" s="56" t="s">
        <v>20</v>
      </c>
      <c r="D312" s="56" t="s">
        <v>12</v>
      </c>
      <c r="E312" s="55">
        <v>36734</v>
      </c>
      <c r="F312" s="54">
        <f t="shared" ca="1" si="14"/>
        <v>16</v>
      </c>
      <c r="G312" s="53"/>
      <c r="H312" s="52">
        <v>57410</v>
      </c>
      <c r="I312" s="51">
        <v>2</v>
      </c>
    </row>
    <row r="313" spans="1:9" x14ac:dyDescent="0.25">
      <c r="A313" s="56" t="s">
        <v>20</v>
      </c>
      <c r="B313" s="58" t="s">
        <v>13</v>
      </c>
      <c r="C313" s="56" t="s">
        <v>20</v>
      </c>
      <c r="D313" s="56" t="s">
        <v>12</v>
      </c>
      <c r="E313" s="55">
        <v>36763</v>
      </c>
      <c r="F313" s="54">
        <f t="shared" ca="1" si="14"/>
        <v>16</v>
      </c>
      <c r="G313" s="53"/>
      <c r="H313" s="52">
        <v>39300</v>
      </c>
      <c r="I313" s="51">
        <v>2</v>
      </c>
    </row>
    <row r="314" spans="1:9" x14ac:dyDescent="0.25">
      <c r="A314" s="56" t="s">
        <v>20</v>
      </c>
      <c r="B314" s="58" t="s">
        <v>39</v>
      </c>
      <c r="C314" s="56" t="s">
        <v>20</v>
      </c>
      <c r="D314" s="56" t="s">
        <v>5</v>
      </c>
      <c r="E314" s="55">
        <v>36836</v>
      </c>
      <c r="F314" s="54">
        <f t="shared" ca="1" si="14"/>
        <v>15</v>
      </c>
      <c r="G314" s="53" t="s">
        <v>32</v>
      </c>
      <c r="H314" s="52">
        <v>47340</v>
      </c>
      <c r="I314" s="51">
        <v>2</v>
      </c>
    </row>
    <row r="315" spans="1:9" x14ac:dyDescent="0.25">
      <c r="A315" s="56" t="s">
        <v>20</v>
      </c>
      <c r="B315" s="58" t="s">
        <v>39</v>
      </c>
      <c r="C315" s="56" t="s">
        <v>20</v>
      </c>
      <c r="D315" s="56" t="s">
        <v>12</v>
      </c>
      <c r="E315" s="55">
        <v>36979</v>
      </c>
      <c r="F315" s="54">
        <f t="shared" ca="1" si="14"/>
        <v>15</v>
      </c>
      <c r="G315" s="53"/>
      <c r="H315" s="52">
        <v>71830</v>
      </c>
      <c r="I315" s="51">
        <v>3</v>
      </c>
    </row>
    <row r="316" spans="1:9" x14ac:dyDescent="0.25">
      <c r="A316" s="56" t="s">
        <v>20</v>
      </c>
      <c r="B316" s="58" t="s">
        <v>13</v>
      </c>
      <c r="C316" s="56" t="s">
        <v>20</v>
      </c>
      <c r="D316" s="56" t="s">
        <v>12</v>
      </c>
      <c r="E316" s="55">
        <v>37011</v>
      </c>
      <c r="F316" s="54">
        <f t="shared" ca="1" si="14"/>
        <v>15</v>
      </c>
      <c r="G316" s="53"/>
      <c r="H316" s="52">
        <v>37980</v>
      </c>
      <c r="I316" s="51">
        <v>4</v>
      </c>
    </row>
    <row r="317" spans="1:9" x14ac:dyDescent="0.25">
      <c r="A317" s="56" t="s">
        <v>20</v>
      </c>
      <c r="B317" s="58" t="s">
        <v>2</v>
      </c>
      <c r="C317" s="56" t="s">
        <v>20</v>
      </c>
      <c r="D317" s="56" t="s">
        <v>5</v>
      </c>
      <c r="E317" s="55">
        <v>37011</v>
      </c>
      <c r="F317" s="54">
        <f t="shared" ca="1" si="14"/>
        <v>15</v>
      </c>
      <c r="G317" s="53" t="s">
        <v>34</v>
      </c>
      <c r="H317" s="52">
        <v>70760</v>
      </c>
      <c r="I317" s="51">
        <v>1</v>
      </c>
    </row>
    <row r="318" spans="1:9" x14ac:dyDescent="0.25">
      <c r="A318" s="56" t="s">
        <v>20</v>
      </c>
      <c r="B318" s="58" t="s">
        <v>13</v>
      </c>
      <c r="C318" s="56" t="s">
        <v>20</v>
      </c>
      <c r="D318" s="56" t="s">
        <v>5</v>
      </c>
      <c r="E318" s="55">
        <v>37067</v>
      </c>
      <c r="F318" s="54">
        <f t="shared" ca="1" si="14"/>
        <v>15</v>
      </c>
      <c r="G318" s="53" t="s">
        <v>32</v>
      </c>
      <c r="H318" s="52">
        <v>87760</v>
      </c>
      <c r="I318" s="51">
        <v>1</v>
      </c>
    </row>
    <row r="319" spans="1:9" x14ac:dyDescent="0.25">
      <c r="A319" s="56" t="s">
        <v>20</v>
      </c>
      <c r="B319" s="58" t="s">
        <v>10</v>
      </c>
      <c r="C319" s="56" t="s">
        <v>20</v>
      </c>
      <c r="D319" s="56" t="s">
        <v>5</v>
      </c>
      <c r="E319" s="55">
        <v>37067</v>
      </c>
      <c r="F319" s="54">
        <f t="shared" ca="1" si="14"/>
        <v>15</v>
      </c>
      <c r="G319" s="53" t="s">
        <v>32</v>
      </c>
      <c r="H319" s="52">
        <v>41060</v>
      </c>
      <c r="I319" s="51">
        <v>3</v>
      </c>
    </row>
    <row r="320" spans="1:9" x14ac:dyDescent="0.25">
      <c r="A320" s="56" t="s">
        <v>20</v>
      </c>
      <c r="B320" s="58" t="s">
        <v>13</v>
      </c>
      <c r="C320" s="56" t="s">
        <v>20</v>
      </c>
      <c r="D320" s="56" t="s">
        <v>12</v>
      </c>
      <c r="E320" s="55">
        <v>37197</v>
      </c>
      <c r="F320" s="54">
        <f t="shared" ca="1" si="14"/>
        <v>15</v>
      </c>
      <c r="G320" s="53"/>
      <c r="H320" s="52">
        <v>40940</v>
      </c>
      <c r="I320" s="51">
        <v>2</v>
      </c>
    </row>
    <row r="321" spans="1:9" x14ac:dyDescent="0.25">
      <c r="A321" s="56" t="s">
        <v>20</v>
      </c>
      <c r="B321" s="58" t="s">
        <v>39</v>
      </c>
      <c r="C321" s="56" t="s">
        <v>20</v>
      </c>
      <c r="D321" s="56" t="s">
        <v>12</v>
      </c>
      <c r="E321" s="55">
        <v>37227</v>
      </c>
      <c r="F321" s="54">
        <f t="shared" ca="1" si="14"/>
        <v>14</v>
      </c>
      <c r="G321" s="53"/>
      <c r="H321" s="52">
        <v>39680</v>
      </c>
      <c r="I321" s="51">
        <v>1</v>
      </c>
    </row>
    <row r="322" spans="1:9" x14ac:dyDescent="0.25">
      <c r="A322" s="56" t="s">
        <v>20</v>
      </c>
      <c r="B322" s="58" t="s">
        <v>13</v>
      </c>
      <c r="C322" s="56" t="s">
        <v>20</v>
      </c>
      <c r="D322" s="56" t="s">
        <v>5</v>
      </c>
      <c r="E322" s="55">
        <v>37354</v>
      </c>
      <c r="F322" s="54">
        <f t="shared" ca="1" si="14"/>
        <v>14</v>
      </c>
      <c r="G322" s="53" t="s">
        <v>32</v>
      </c>
      <c r="H322" s="52">
        <v>61060</v>
      </c>
      <c r="I322" s="51">
        <v>5</v>
      </c>
    </row>
    <row r="323" spans="1:9" x14ac:dyDescent="0.25">
      <c r="A323" s="56" t="s">
        <v>20</v>
      </c>
      <c r="B323" s="58" t="s">
        <v>39</v>
      </c>
      <c r="C323" s="56" t="s">
        <v>20</v>
      </c>
      <c r="D323" s="56" t="s">
        <v>5</v>
      </c>
      <c r="E323" s="55">
        <v>37423</v>
      </c>
      <c r="F323" s="54">
        <f t="shared" ca="1" si="14"/>
        <v>14</v>
      </c>
      <c r="G323" s="53" t="s">
        <v>8</v>
      </c>
      <c r="H323" s="52">
        <v>68710</v>
      </c>
      <c r="I323" s="51">
        <v>4</v>
      </c>
    </row>
    <row r="324" spans="1:9" x14ac:dyDescent="0.25">
      <c r="A324" s="56" t="s">
        <v>20</v>
      </c>
      <c r="B324" s="58" t="s">
        <v>39</v>
      </c>
      <c r="C324" s="56" t="s">
        <v>20</v>
      </c>
      <c r="D324" s="56" t="s">
        <v>5</v>
      </c>
      <c r="E324" s="55">
        <v>37499</v>
      </c>
      <c r="F324" s="54">
        <f t="shared" ca="1" si="14"/>
        <v>14</v>
      </c>
      <c r="G324" s="53" t="s">
        <v>34</v>
      </c>
      <c r="H324" s="52">
        <v>76584</v>
      </c>
      <c r="I324" s="51">
        <v>1</v>
      </c>
    </row>
    <row r="325" spans="1:9" x14ac:dyDescent="0.25">
      <c r="A325" s="56" t="s">
        <v>20</v>
      </c>
      <c r="B325" s="58" t="s">
        <v>13</v>
      </c>
      <c r="C325" s="56" t="s">
        <v>20</v>
      </c>
      <c r="D325" s="56" t="s">
        <v>5</v>
      </c>
      <c r="E325" s="55">
        <v>37511</v>
      </c>
      <c r="F325" s="54">
        <f t="shared" ca="1" si="14"/>
        <v>14</v>
      </c>
      <c r="G325" s="53" t="s">
        <v>4</v>
      </c>
      <c r="H325" s="52">
        <v>65720</v>
      </c>
      <c r="I325" s="51">
        <v>1</v>
      </c>
    </row>
    <row r="326" spans="1:9" x14ac:dyDescent="0.25">
      <c r="A326" s="56" t="s">
        <v>20</v>
      </c>
      <c r="B326" s="58" t="s">
        <v>13</v>
      </c>
      <c r="C326" s="56" t="s">
        <v>20</v>
      </c>
      <c r="D326" s="56" t="s">
        <v>5</v>
      </c>
      <c r="E326" s="55">
        <v>37522</v>
      </c>
      <c r="F326" s="54">
        <f t="shared" ca="1" si="14"/>
        <v>14</v>
      </c>
      <c r="G326" s="53" t="s">
        <v>8</v>
      </c>
      <c r="H326" s="52">
        <v>29420</v>
      </c>
      <c r="I326" s="51">
        <v>5</v>
      </c>
    </row>
    <row r="327" spans="1:9" x14ac:dyDescent="0.25">
      <c r="A327" s="56" t="s">
        <v>20</v>
      </c>
      <c r="B327" s="58" t="s">
        <v>10</v>
      </c>
      <c r="C327" s="56" t="s">
        <v>20</v>
      </c>
      <c r="D327" s="56" t="s">
        <v>12</v>
      </c>
      <c r="E327" s="55">
        <v>37564</v>
      </c>
      <c r="F327" s="54">
        <f t="shared" ref="F327:F352" ca="1" si="15">DATEDIF(E327,TODAY(),"Y")</f>
        <v>13</v>
      </c>
      <c r="G327" s="53"/>
      <c r="H327" s="52">
        <v>59330</v>
      </c>
      <c r="I327" s="51">
        <v>4</v>
      </c>
    </row>
    <row r="328" spans="1:9" x14ac:dyDescent="0.25">
      <c r="A328" s="56" t="s">
        <v>20</v>
      </c>
      <c r="B328" s="58" t="s">
        <v>56</v>
      </c>
      <c r="C328" s="56" t="s">
        <v>20</v>
      </c>
      <c r="D328" s="56" t="s">
        <v>12</v>
      </c>
      <c r="E328" s="55">
        <v>37602</v>
      </c>
      <c r="F328" s="54">
        <f t="shared" ca="1" si="15"/>
        <v>13</v>
      </c>
      <c r="G328" s="53"/>
      <c r="H328" s="52">
        <v>80330</v>
      </c>
      <c r="I328" s="51">
        <v>4</v>
      </c>
    </row>
    <row r="329" spans="1:9" x14ac:dyDescent="0.25">
      <c r="A329" s="56" t="s">
        <v>20</v>
      </c>
      <c r="B329" s="58" t="s">
        <v>39</v>
      </c>
      <c r="C329" s="56" t="s">
        <v>20</v>
      </c>
      <c r="D329" s="56" t="s">
        <v>0</v>
      </c>
      <c r="E329" s="55">
        <v>37777</v>
      </c>
      <c r="F329" s="54">
        <f t="shared" ca="1" si="15"/>
        <v>13</v>
      </c>
      <c r="G329" s="53"/>
      <c r="H329" s="52">
        <v>14416</v>
      </c>
      <c r="I329" s="51">
        <v>4</v>
      </c>
    </row>
    <row r="330" spans="1:9" x14ac:dyDescent="0.25">
      <c r="A330" s="56" t="s">
        <v>20</v>
      </c>
      <c r="B330" s="58" t="s">
        <v>13</v>
      </c>
      <c r="C330" s="56" t="s">
        <v>20</v>
      </c>
      <c r="D330" s="56" t="s">
        <v>12</v>
      </c>
      <c r="E330" s="55">
        <v>37879</v>
      </c>
      <c r="F330" s="54">
        <f t="shared" ca="1" si="15"/>
        <v>13</v>
      </c>
      <c r="G330" s="53"/>
      <c r="H330" s="52">
        <v>63850</v>
      </c>
      <c r="I330" s="51">
        <v>2</v>
      </c>
    </row>
    <row r="331" spans="1:9" x14ac:dyDescent="0.25">
      <c r="A331" s="56" t="s">
        <v>20</v>
      </c>
      <c r="B331" s="58" t="s">
        <v>2</v>
      </c>
      <c r="C331" s="56" t="s">
        <v>20</v>
      </c>
      <c r="D331" s="56" t="s">
        <v>5</v>
      </c>
      <c r="E331" s="55">
        <v>38002</v>
      </c>
      <c r="F331" s="54">
        <f t="shared" ca="1" si="15"/>
        <v>12</v>
      </c>
      <c r="G331" s="53" t="s">
        <v>34</v>
      </c>
      <c r="H331" s="52">
        <v>71030</v>
      </c>
      <c r="I331" s="51">
        <v>3</v>
      </c>
    </row>
    <row r="332" spans="1:9" x14ac:dyDescent="0.25">
      <c r="A332" s="56" t="s">
        <v>20</v>
      </c>
      <c r="B332" s="58" t="s">
        <v>10</v>
      </c>
      <c r="C332" s="56" t="s">
        <v>20</v>
      </c>
      <c r="D332" s="56" t="s">
        <v>5</v>
      </c>
      <c r="E332" s="55">
        <v>38038</v>
      </c>
      <c r="F332" s="54">
        <f t="shared" ca="1" si="15"/>
        <v>12</v>
      </c>
      <c r="G332" s="53" t="s">
        <v>32</v>
      </c>
      <c r="H332" s="52">
        <v>46220</v>
      </c>
      <c r="I332" s="51">
        <v>2</v>
      </c>
    </row>
    <row r="333" spans="1:9" x14ac:dyDescent="0.25">
      <c r="A333" s="56" t="s">
        <v>20</v>
      </c>
      <c r="B333" s="58" t="s">
        <v>17</v>
      </c>
      <c r="C333" s="56" t="s">
        <v>20</v>
      </c>
      <c r="D333" s="56" t="s">
        <v>5</v>
      </c>
      <c r="E333" s="55">
        <v>38080</v>
      </c>
      <c r="F333" s="54">
        <f t="shared" ca="1" si="15"/>
        <v>12</v>
      </c>
      <c r="G333" s="53" t="s">
        <v>19</v>
      </c>
      <c r="H333" s="52">
        <v>71490</v>
      </c>
      <c r="I333" s="51">
        <v>5</v>
      </c>
    </row>
    <row r="334" spans="1:9" x14ac:dyDescent="0.25">
      <c r="A334" s="56" t="s">
        <v>20</v>
      </c>
      <c r="B334" s="58" t="s">
        <v>2</v>
      </c>
      <c r="C334" s="56" t="s">
        <v>20</v>
      </c>
      <c r="D334" s="56" t="s">
        <v>5</v>
      </c>
      <c r="E334" s="55">
        <v>38145</v>
      </c>
      <c r="F334" s="54">
        <f t="shared" ca="1" si="15"/>
        <v>12</v>
      </c>
      <c r="G334" s="53" t="s">
        <v>4</v>
      </c>
      <c r="H334" s="52">
        <v>59420</v>
      </c>
      <c r="I334" s="51">
        <v>4</v>
      </c>
    </row>
    <row r="335" spans="1:9" x14ac:dyDescent="0.25">
      <c r="A335" s="56" t="s">
        <v>20</v>
      </c>
      <c r="B335" s="58" t="s">
        <v>39</v>
      </c>
      <c r="C335" s="56" t="s">
        <v>20</v>
      </c>
      <c r="D335" s="56" t="s">
        <v>12</v>
      </c>
      <c r="E335" s="55">
        <v>38228</v>
      </c>
      <c r="F335" s="54">
        <f t="shared" ca="1" si="15"/>
        <v>12</v>
      </c>
      <c r="G335" s="53"/>
      <c r="H335" s="52">
        <v>62780</v>
      </c>
      <c r="I335" s="51">
        <v>4</v>
      </c>
    </row>
    <row r="336" spans="1:9" x14ac:dyDescent="0.25">
      <c r="A336" s="56" t="s">
        <v>20</v>
      </c>
      <c r="B336" s="58" t="s">
        <v>17</v>
      </c>
      <c r="C336" s="56" t="s">
        <v>20</v>
      </c>
      <c r="D336" s="56" t="s">
        <v>12</v>
      </c>
      <c r="E336" s="55">
        <v>38235</v>
      </c>
      <c r="F336" s="54">
        <f t="shared" ca="1" si="15"/>
        <v>12</v>
      </c>
      <c r="G336" s="53"/>
      <c r="H336" s="52">
        <v>84170</v>
      </c>
      <c r="I336" s="51">
        <v>2</v>
      </c>
    </row>
    <row r="337" spans="1:9" x14ac:dyDescent="0.25">
      <c r="A337" s="56" t="s">
        <v>20</v>
      </c>
      <c r="B337" s="58" t="s">
        <v>17</v>
      </c>
      <c r="C337" s="56" t="s">
        <v>20</v>
      </c>
      <c r="D337" s="56" t="s">
        <v>5</v>
      </c>
      <c r="E337" s="55">
        <v>38386</v>
      </c>
      <c r="F337" s="54">
        <f t="shared" ca="1" si="15"/>
        <v>11</v>
      </c>
      <c r="G337" s="53" t="s">
        <v>32</v>
      </c>
      <c r="H337" s="52">
        <v>69320</v>
      </c>
      <c r="I337" s="51">
        <v>3</v>
      </c>
    </row>
    <row r="338" spans="1:9" x14ac:dyDescent="0.25">
      <c r="A338" s="56" t="s">
        <v>20</v>
      </c>
      <c r="B338" s="58" t="s">
        <v>2</v>
      </c>
      <c r="C338" s="56" t="s">
        <v>20</v>
      </c>
      <c r="D338" s="56" t="s">
        <v>0</v>
      </c>
      <c r="E338" s="55">
        <v>38437</v>
      </c>
      <c r="F338" s="54">
        <f t="shared" ca="1" si="15"/>
        <v>11</v>
      </c>
      <c r="G338" s="53"/>
      <c r="H338" s="52">
        <v>10572</v>
      </c>
      <c r="I338" s="51">
        <v>4</v>
      </c>
    </row>
    <row r="339" spans="1:9" x14ac:dyDescent="0.25">
      <c r="A339" s="56" t="s">
        <v>20</v>
      </c>
      <c r="B339" s="58" t="s">
        <v>39</v>
      </c>
      <c r="C339" s="56" t="s">
        <v>20</v>
      </c>
      <c r="D339" s="56" t="s">
        <v>12</v>
      </c>
      <c r="E339" s="55">
        <v>38512</v>
      </c>
      <c r="F339" s="54">
        <f t="shared" ca="1" si="15"/>
        <v>11</v>
      </c>
      <c r="G339" s="53"/>
      <c r="H339" s="52">
        <v>60040</v>
      </c>
      <c r="I339" s="51">
        <v>5</v>
      </c>
    </row>
    <row r="340" spans="1:9" x14ac:dyDescent="0.25">
      <c r="A340" s="56" t="s">
        <v>20</v>
      </c>
      <c r="B340" s="58" t="s">
        <v>39</v>
      </c>
      <c r="C340" s="56" t="s">
        <v>20</v>
      </c>
      <c r="D340" s="56" t="s">
        <v>12</v>
      </c>
      <c r="E340" s="55">
        <v>38520</v>
      </c>
      <c r="F340" s="54">
        <f t="shared" ca="1" si="15"/>
        <v>11</v>
      </c>
      <c r="G340" s="53"/>
      <c r="H340" s="52">
        <v>78520</v>
      </c>
      <c r="I340" s="51">
        <v>4</v>
      </c>
    </row>
    <row r="341" spans="1:9" x14ac:dyDescent="0.25">
      <c r="A341" s="56" t="s">
        <v>20</v>
      </c>
      <c r="B341" s="58" t="s">
        <v>10</v>
      </c>
      <c r="C341" s="56" t="s">
        <v>20</v>
      </c>
      <c r="D341" s="56" t="s">
        <v>5</v>
      </c>
      <c r="E341" s="55">
        <v>38662</v>
      </c>
      <c r="F341" s="54">
        <f t="shared" ca="1" si="15"/>
        <v>10</v>
      </c>
      <c r="G341" s="53" t="s">
        <v>32</v>
      </c>
      <c r="H341" s="52">
        <v>78170</v>
      </c>
      <c r="I341" s="51">
        <v>5</v>
      </c>
    </row>
    <row r="342" spans="1:9" x14ac:dyDescent="0.25">
      <c r="A342" s="56" t="s">
        <v>20</v>
      </c>
      <c r="B342" s="58" t="s">
        <v>2</v>
      </c>
      <c r="C342" s="56" t="s">
        <v>20</v>
      </c>
      <c r="D342" s="56" t="s">
        <v>5</v>
      </c>
      <c r="E342" s="55">
        <v>38865</v>
      </c>
      <c r="F342" s="54">
        <f t="shared" ca="1" si="15"/>
        <v>10</v>
      </c>
      <c r="G342" s="53" t="s">
        <v>19</v>
      </c>
      <c r="H342" s="52">
        <v>34690</v>
      </c>
      <c r="I342" s="51">
        <v>2</v>
      </c>
    </row>
    <row r="343" spans="1:9" x14ac:dyDescent="0.25">
      <c r="A343" s="56" t="s">
        <v>20</v>
      </c>
      <c r="B343" s="58" t="s">
        <v>13</v>
      </c>
      <c r="C343" s="56" t="s">
        <v>20</v>
      </c>
      <c r="D343" s="56" t="s">
        <v>5</v>
      </c>
      <c r="E343" s="55">
        <v>38893</v>
      </c>
      <c r="F343" s="54">
        <f t="shared" ca="1" si="15"/>
        <v>10</v>
      </c>
      <c r="G343" s="53" t="s">
        <v>32</v>
      </c>
      <c r="H343" s="52">
        <v>35600</v>
      </c>
      <c r="I343" s="51">
        <v>5</v>
      </c>
    </row>
    <row r="344" spans="1:9" x14ac:dyDescent="0.25">
      <c r="A344" s="56" t="s">
        <v>20</v>
      </c>
      <c r="B344" s="58" t="s">
        <v>17</v>
      </c>
      <c r="C344" s="56" t="s">
        <v>20</v>
      </c>
      <c r="D344" s="56" t="s">
        <v>5</v>
      </c>
      <c r="E344" s="55">
        <v>38960</v>
      </c>
      <c r="F344" s="54">
        <f t="shared" ca="1" si="15"/>
        <v>10</v>
      </c>
      <c r="G344" s="53" t="s">
        <v>4</v>
      </c>
      <c r="H344" s="52">
        <v>35300</v>
      </c>
      <c r="I344" s="51">
        <v>5</v>
      </c>
    </row>
    <row r="345" spans="1:9" x14ac:dyDescent="0.25">
      <c r="A345" s="56" t="s">
        <v>20</v>
      </c>
      <c r="B345" s="58" t="s">
        <v>13</v>
      </c>
      <c r="C345" s="56" t="s">
        <v>20</v>
      </c>
      <c r="D345" s="56" t="s">
        <v>12</v>
      </c>
      <c r="E345" s="59">
        <v>39139</v>
      </c>
      <c r="F345" s="54">
        <f t="shared" ca="1" si="15"/>
        <v>9</v>
      </c>
      <c r="G345" s="53"/>
      <c r="H345" s="52">
        <v>88840</v>
      </c>
      <c r="I345" s="51">
        <v>5</v>
      </c>
    </row>
    <row r="346" spans="1:9" x14ac:dyDescent="0.25">
      <c r="A346" s="56" t="s">
        <v>20</v>
      </c>
      <c r="B346" s="58" t="s">
        <v>17</v>
      </c>
      <c r="C346" s="56" t="s">
        <v>20</v>
      </c>
      <c r="D346" s="56" t="s">
        <v>12</v>
      </c>
      <c r="E346" s="55">
        <v>39160</v>
      </c>
      <c r="F346" s="54">
        <f t="shared" ca="1" si="15"/>
        <v>9</v>
      </c>
      <c r="G346" s="53"/>
      <c r="H346" s="52">
        <v>37840</v>
      </c>
      <c r="I346" s="51">
        <v>1</v>
      </c>
    </row>
    <row r="347" spans="1:9" x14ac:dyDescent="0.25">
      <c r="A347" s="56" t="s">
        <v>20</v>
      </c>
      <c r="B347" s="58" t="s">
        <v>17</v>
      </c>
      <c r="C347" s="56" t="s">
        <v>20</v>
      </c>
      <c r="D347" s="56" t="s">
        <v>12</v>
      </c>
      <c r="E347" s="55">
        <v>39160</v>
      </c>
      <c r="F347" s="54">
        <f t="shared" ca="1" si="15"/>
        <v>9</v>
      </c>
      <c r="G347" s="53"/>
      <c r="H347" s="52">
        <v>37840</v>
      </c>
      <c r="I347" s="51">
        <v>1</v>
      </c>
    </row>
    <row r="348" spans="1:9" x14ac:dyDescent="0.25">
      <c r="A348" s="56" t="s">
        <v>20</v>
      </c>
      <c r="B348" s="58" t="s">
        <v>17</v>
      </c>
      <c r="C348" s="56" t="s">
        <v>20</v>
      </c>
      <c r="D348" s="56" t="s">
        <v>0</v>
      </c>
      <c r="E348" s="55">
        <v>39264</v>
      </c>
      <c r="F348" s="54">
        <f t="shared" ca="1" si="15"/>
        <v>9</v>
      </c>
      <c r="G348" s="53"/>
      <c r="H348" s="52">
        <v>28424</v>
      </c>
      <c r="I348" s="51">
        <v>4</v>
      </c>
    </row>
    <row r="349" spans="1:9" x14ac:dyDescent="0.25">
      <c r="A349" s="56" t="s">
        <v>20</v>
      </c>
      <c r="B349" s="58" t="s">
        <v>39</v>
      </c>
      <c r="C349" s="56" t="s">
        <v>20</v>
      </c>
      <c r="D349" s="56" t="s">
        <v>5</v>
      </c>
      <c r="E349" s="55">
        <v>39268</v>
      </c>
      <c r="F349" s="54">
        <f t="shared" ca="1" si="15"/>
        <v>9</v>
      </c>
      <c r="G349" s="53" t="s">
        <v>32</v>
      </c>
      <c r="H349" s="52">
        <v>43820</v>
      </c>
      <c r="I349" s="51">
        <v>2</v>
      </c>
    </row>
    <row r="350" spans="1:9" x14ac:dyDescent="0.25">
      <c r="A350" s="56" t="s">
        <v>20</v>
      </c>
      <c r="B350" s="58" t="s">
        <v>13</v>
      </c>
      <c r="C350" s="56" t="s">
        <v>20</v>
      </c>
      <c r="D350" s="56" t="s">
        <v>5</v>
      </c>
      <c r="E350" s="59">
        <v>39293</v>
      </c>
      <c r="F350" s="54">
        <f t="shared" ca="1" si="15"/>
        <v>9</v>
      </c>
      <c r="G350" s="53" t="s">
        <v>19</v>
      </c>
      <c r="H350" s="52">
        <v>44260</v>
      </c>
      <c r="I350" s="51">
        <v>1</v>
      </c>
    </row>
    <row r="351" spans="1:9" x14ac:dyDescent="0.25">
      <c r="A351" s="56" t="s">
        <v>20</v>
      </c>
      <c r="B351" s="58" t="s">
        <v>17</v>
      </c>
      <c r="C351" s="56" t="s">
        <v>20</v>
      </c>
      <c r="D351" s="56" t="s">
        <v>5</v>
      </c>
      <c r="E351" s="55">
        <v>39324</v>
      </c>
      <c r="F351" s="54">
        <f t="shared" ca="1" si="15"/>
        <v>9</v>
      </c>
      <c r="G351" s="53" t="s">
        <v>32</v>
      </c>
      <c r="H351" s="52">
        <v>47440</v>
      </c>
      <c r="I351" s="51">
        <v>3</v>
      </c>
    </row>
    <row r="352" spans="1:9" x14ac:dyDescent="0.25">
      <c r="A352" s="56" t="s">
        <v>20</v>
      </c>
      <c r="B352" s="58" t="s">
        <v>17</v>
      </c>
      <c r="C352" s="56" t="s">
        <v>20</v>
      </c>
      <c r="D352" s="56" t="s">
        <v>12</v>
      </c>
      <c r="E352" s="59">
        <v>39370</v>
      </c>
      <c r="F352" s="54">
        <f t="shared" ca="1" si="15"/>
        <v>9</v>
      </c>
      <c r="G352" s="53"/>
      <c r="H352" s="52">
        <v>57110</v>
      </c>
      <c r="I352" s="51">
        <v>3</v>
      </c>
    </row>
    <row r="353" spans="1:9" x14ac:dyDescent="0.25">
      <c r="A353" s="57"/>
      <c r="B353" s="58"/>
      <c r="C353" s="57"/>
      <c r="D353" s="56"/>
      <c r="E353" s="59"/>
      <c r="F353" s="54"/>
      <c r="G353" s="53"/>
      <c r="H353" s="52"/>
      <c r="I353" s="51"/>
    </row>
    <row r="354" spans="1:9" x14ac:dyDescent="0.25">
      <c r="A354" s="56" t="s">
        <v>95</v>
      </c>
      <c r="B354" s="58" t="s">
        <v>10</v>
      </c>
      <c r="C354" s="56" t="s">
        <v>95</v>
      </c>
      <c r="D354" s="56" t="s">
        <v>5</v>
      </c>
      <c r="E354" s="55">
        <v>32522</v>
      </c>
      <c r="F354" s="54">
        <f t="shared" ref="F354:F360" ca="1" si="16">DATEDIF(E354,TODAY(),"Y")</f>
        <v>27</v>
      </c>
      <c r="G354" s="53" t="s">
        <v>32</v>
      </c>
      <c r="H354" s="52">
        <v>39160</v>
      </c>
      <c r="I354" s="51">
        <v>3</v>
      </c>
    </row>
    <row r="355" spans="1:9" x14ac:dyDescent="0.25">
      <c r="A355" s="56" t="s">
        <v>95</v>
      </c>
      <c r="B355" s="58" t="s">
        <v>39</v>
      </c>
      <c r="C355" s="56" t="s">
        <v>95</v>
      </c>
      <c r="D355" s="56" t="s">
        <v>12</v>
      </c>
      <c r="E355" s="55">
        <v>35455</v>
      </c>
      <c r="F355" s="54">
        <f t="shared" ca="1" si="16"/>
        <v>19</v>
      </c>
      <c r="G355" s="53"/>
      <c r="H355" s="52">
        <v>74500</v>
      </c>
      <c r="I355" s="51">
        <v>4</v>
      </c>
    </row>
    <row r="356" spans="1:9" x14ac:dyDescent="0.25">
      <c r="A356" s="56" t="s">
        <v>95</v>
      </c>
      <c r="B356" s="58" t="s">
        <v>56</v>
      </c>
      <c r="C356" s="56" t="s">
        <v>95</v>
      </c>
      <c r="D356" s="56" t="s">
        <v>5</v>
      </c>
      <c r="E356" s="55">
        <v>36097</v>
      </c>
      <c r="F356" s="54">
        <f t="shared" ca="1" si="16"/>
        <v>18</v>
      </c>
      <c r="G356" s="53" t="s">
        <v>32</v>
      </c>
      <c r="H356" s="52">
        <v>59140</v>
      </c>
      <c r="I356" s="51">
        <v>5</v>
      </c>
    </row>
    <row r="357" spans="1:9" x14ac:dyDescent="0.25">
      <c r="A357" s="56" t="s">
        <v>95</v>
      </c>
      <c r="B357" s="58" t="s">
        <v>13</v>
      </c>
      <c r="C357" s="56" t="s">
        <v>95</v>
      </c>
      <c r="D357" s="56" t="s">
        <v>5</v>
      </c>
      <c r="E357" s="55">
        <v>36626</v>
      </c>
      <c r="F357" s="54">
        <f t="shared" ca="1" si="16"/>
        <v>16</v>
      </c>
      <c r="G357" s="53" t="s">
        <v>4</v>
      </c>
      <c r="H357" s="52">
        <v>53870</v>
      </c>
      <c r="I357" s="51">
        <v>2</v>
      </c>
    </row>
    <row r="358" spans="1:9" x14ac:dyDescent="0.25">
      <c r="A358" s="56" t="s">
        <v>95</v>
      </c>
      <c r="B358" s="58" t="s">
        <v>39</v>
      </c>
      <c r="C358" s="56" t="s">
        <v>95</v>
      </c>
      <c r="D358" s="56" t="s">
        <v>5</v>
      </c>
      <c r="E358" s="55">
        <v>37728</v>
      </c>
      <c r="F358" s="54">
        <f t="shared" ca="1" si="16"/>
        <v>13</v>
      </c>
      <c r="G358" s="53" t="s">
        <v>8</v>
      </c>
      <c r="H358" s="52">
        <v>71400</v>
      </c>
      <c r="I358" s="51">
        <v>4</v>
      </c>
    </row>
    <row r="359" spans="1:9" x14ac:dyDescent="0.25">
      <c r="A359" s="56" t="s">
        <v>95</v>
      </c>
      <c r="B359" s="58" t="s">
        <v>2</v>
      </c>
      <c r="C359" s="56" t="s">
        <v>95</v>
      </c>
      <c r="D359" s="56" t="s">
        <v>12</v>
      </c>
      <c r="E359" s="59">
        <v>38982</v>
      </c>
      <c r="F359" s="54">
        <f t="shared" ca="1" si="16"/>
        <v>10</v>
      </c>
      <c r="G359" s="53"/>
      <c r="H359" s="52">
        <v>61890</v>
      </c>
      <c r="I359" s="51">
        <v>2</v>
      </c>
    </row>
    <row r="360" spans="1:9" x14ac:dyDescent="0.25">
      <c r="A360" s="56" t="s">
        <v>95</v>
      </c>
      <c r="B360" s="58" t="s">
        <v>2</v>
      </c>
      <c r="C360" s="56" t="s">
        <v>95</v>
      </c>
      <c r="D360" s="56" t="s">
        <v>5</v>
      </c>
      <c r="E360" s="59">
        <v>39003</v>
      </c>
      <c r="F360" s="54">
        <f t="shared" ca="1" si="16"/>
        <v>10</v>
      </c>
      <c r="G360" s="53" t="s">
        <v>4</v>
      </c>
      <c r="H360" s="52">
        <v>27250</v>
      </c>
      <c r="I360" s="51">
        <v>5</v>
      </c>
    </row>
    <row r="361" spans="1:9" x14ac:dyDescent="0.25">
      <c r="A361" s="57"/>
      <c r="B361" s="58"/>
      <c r="C361" s="57"/>
      <c r="D361" s="56"/>
      <c r="E361" s="59"/>
      <c r="F361" s="54"/>
      <c r="G361" s="53"/>
      <c r="H361" s="52"/>
      <c r="I361" s="51"/>
    </row>
    <row r="362" spans="1:9" x14ac:dyDescent="0.25">
      <c r="A362" s="56" t="s">
        <v>60</v>
      </c>
      <c r="B362" s="58" t="s">
        <v>39</v>
      </c>
      <c r="C362" s="56" t="s">
        <v>60</v>
      </c>
      <c r="D362" s="56" t="s">
        <v>5</v>
      </c>
      <c r="E362" s="55">
        <v>31913</v>
      </c>
      <c r="F362" s="54">
        <f t="shared" ref="F362:F393" ca="1" si="17">DATEDIF(E362,TODAY(),"Y")</f>
        <v>29</v>
      </c>
      <c r="G362" s="53" t="s">
        <v>34</v>
      </c>
      <c r="H362" s="52">
        <v>31260</v>
      </c>
      <c r="I362" s="51">
        <v>5</v>
      </c>
    </row>
    <row r="363" spans="1:9" x14ac:dyDescent="0.25">
      <c r="A363" s="56" t="s">
        <v>60</v>
      </c>
      <c r="B363" s="58" t="s">
        <v>10</v>
      </c>
      <c r="C363" s="56" t="s">
        <v>60</v>
      </c>
      <c r="D363" s="56" t="s">
        <v>5</v>
      </c>
      <c r="E363" s="55">
        <v>31937</v>
      </c>
      <c r="F363" s="54">
        <f t="shared" ca="1" si="17"/>
        <v>29</v>
      </c>
      <c r="G363" s="53" t="s">
        <v>32</v>
      </c>
      <c r="H363" s="52">
        <v>62740</v>
      </c>
      <c r="I363" s="51">
        <v>4</v>
      </c>
    </row>
    <row r="364" spans="1:9" x14ac:dyDescent="0.25">
      <c r="A364" s="56" t="s">
        <v>60</v>
      </c>
      <c r="B364" s="58" t="s">
        <v>13</v>
      </c>
      <c r="C364" s="56" t="s">
        <v>60</v>
      </c>
      <c r="D364" s="56" t="s">
        <v>0</v>
      </c>
      <c r="E364" s="55">
        <v>31995</v>
      </c>
      <c r="F364" s="54">
        <f t="shared" ca="1" si="17"/>
        <v>29</v>
      </c>
      <c r="G364" s="53"/>
      <c r="H364" s="52">
        <v>36844</v>
      </c>
      <c r="I364" s="51">
        <v>4</v>
      </c>
    </row>
    <row r="365" spans="1:9" x14ac:dyDescent="0.25">
      <c r="A365" s="56" t="s">
        <v>60</v>
      </c>
      <c r="B365" s="58" t="s">
        <v>17</v>
      </c>
      <c r="C365" s="56" t="s">
        <v>60</v>
      </c>
      <c r="D365" s="56" t="s">
        <v>15</v>
      </c>
      <c r="E365" s="55">
        <v>32009</v>
      </c>
      <c r="F365" s="54">
        <f t="shared" ca="1" si="17"/>
        <v>29</v>
      </c>
      <c r="G365" s="53" t="s">
        <v>19</v>
      </c>
      <c r="H365" s="52">
        <v>13090</v>
      </c>
      <c r="I365" s="51">
        <v>4</v>
      </c>
    </row>
    <row r="366" spans="1:9" x14ac:dyDescent="0.25">
      <c r="A366" s="56" t="s">
        <v>60</v>
      </c>
      <c r="B366" s="58" t="s">
        <v>56</v>
      </c>
      <c r="C366" s="56" t="s">
        <v>60</v>
      </c>
      <c r="D366" s="56" t="s">
        <v>5</v>
      </c>
      <c r="E366" s="55">
        <v>32097</v>
      </c>
      <c r="F366" s="54">
        <f t="shared" ca="1" si="17"/>
        <v>28</v>
      </c>
      <c r="G366" s="53" t="s">
        <v>32</v>
      </c>
      <c r="H366" s="52">
        <v>22900</v>
      </c>
      <c r="I366" s="51">
        <v>1</v>
      </c>
    </row>
    <row r="367" spans="1:9" x14ac:dyDescent="0.25">
      <c r="A367" s="56" t="s">
        <v>60</v>
      </c>
      <c r="B367" s="58" t="s">
        <v>13</v>
      </c>
      <c r="C367" s="56" t="s">
        <v>60</v>
      </c>
      <c r="D367" s="56" t="s">
        <v>5</v>
      </c>
      <c r="E367" s="55">
        <v>32296</v>
      </c>
      <c r="F367" s="54">
        <f t="shared" ca="1" si="17"/>
        <v>28</v>
      </c>
      <c r="G367" s="53" t="s">
        <v>34</v>
      </c>
      <c r="H367" s="52">
        <v>87120</v>
      </c>
      <c r="I367" s="51">
        <v>3</v>
      </c>
    </row>
    <row r="368" spans="1:9" x14ac:dyDescent="0.25">
      <c r="A368" s="56" t="s">
        <v>60</v>
      </c>
      <c r="B368" s="58" t="s">
        <v>13</v>
      </c>
      <c r="C368" s="56" t="s">
        <v>60</v>
      </c>
      <c r="D368" s="56" t="s">
        <v>5</v>
      </c>
      <c r="E368" s="55">
        <v>32385</v>
      </c>
      <c r="F368" s="54">
        <f t="shared" ca="1" si="17"/>
        <v>28</v>
      </c>
      <c r="G368" s="53" t="s">
        <v>34</v>
      </c>
      <c r="H368" s="52">
        <v>60560</v>
      </c>
      <c r="I368" s="51">
        <v>4</v>
      </c>
    </row>
    <row r="369" spans="1:9" x14ac:dyDescent="0.25">
      <c r="A369" s="56" t="s">
        <v>60</v>
      </c>
      <c r="B369" s="58" t="s">
        <v>39</v>
      </c>
      <c r="C369" s="56" t="s">
        <v>60</v>
      </c>
      <c r="D369" s="56" t="s">
        <v>5</v>
      </c>
      <c r="E369" s="55">
        <v>32392</v>
      </c>
      <c r="F369" s="54">
        <f t="shared" ca="1" si="17"/>
        <v>28</v>
      </c>
      <c r="G369" s="53" t="s">
        <v>32</v>
      </c>
      <c r="H369" s="52">
        <v>37020</v>
      </c>
      <c r="I369" s="51">
        <v>2</v>
      </c>
    </row>
    <row r="370" spans="1:9" x14ac:dyDescent="0.25">
      <c r="A370" s="56" t="s">
        <v>60</v>
      </c>
      <c r="B370" s="58" t="s">
        <v>56</v>
      </c>
      <c r="C370" s="56" t="s">
        <v>60</v>
      </c>
      <c r="D370" s="56" t="s">
        <v>5</v>
      </c>
      <c r="E370" s="55">
        <v>32455</v>
      </c>
      <c r="F370" s="54">
        <f t="shared" ca="1" si="17"/>
        <v>27</v>
      </c>
      <c r="G370" s="53" t="s">
        <v>34</v>
      </c>
      <c r="H370" s="52">
        <v>73930</v>
      </c>
      <c r="I370" s="51">
        <v>1</v>
      </c>
    </row>
    <row r="371" spans="1:9" x14ac:dyDescent="0.25">
      <c r="A371" s="56" t="s">
        <v>60</v>
      </c>
      <c r="B371" s="58" t="s">
        <v>13</v>
      </c>
      <c r="C371" s="56" t="s">
        <v>60</v>
      </c>
      <c r="D371" s="56" t="s">
        <v>5</v>
      </c>
      <c r="E371" s="55">
        <v>32724</v>
      </c>
      <c r="F371" s="54">
        <f t="shared" ca="1" si="17"/>
        <v>27</v>
      </c>
      <c r="G371" s="53" t="s">
        <v>19</v>
      </c>
      <c r="H371" s="52">
        <v>45180</v>
      </c>
      <c r="I371" s="51">
        <v>5</v>
      </c>
    </row>
    <row r="372" spans="1:9" x14ac:dyDescent="0.25">
      <c r="A372" s="56" t="s">
        <v>60</v>
      </c>
      <c r="B372" s="58" t="s">
        <v>2</v>
      </c>
      <c r="C372" s="56" t="s">
        <v>60</v>
      </c>
      <c r="D372" s="56" t="s">
        <v>12</v>
      </c>
      <c r="E372" s="55">
        <v>32744</v>
      </c>
      <c r="F372" s="54">
        <f t="shared" ca="1" si="17"/>
        <v>27</v>
      </c>
      <c r="G372" s="53"/>
      <c r="H372" s="52">
        <v>29000</v>
      </c>
      <c r="I372" s="51">
        <v>5</v>
      </c>
    </row>
    <row r="373" spans="1:9" x14ac:dyDescent="0.25">
      <c r="A373" s="56" t="s">
        <v>60</v>
      </c>
      <c r="B373" s="58" t="s">
        <v>13</v>
      </c>
      <c r="C373" s="56" t="s">
        <v>60</v>
      </c>
      <c r="D373" s="56" t="s">
        <v>5</v>
      </c>
      <c r="E373" s="55">
        <v>32757</v>
      </c>
      <c r="F373" s="54">
        <f t="shared" ca="1" si="17"/>
        <v>27</v>
      </c>
      <c r="G373" s="53" t="s">
        <v>19</v>
      </c>
      <c r="H373" s="52">
        <v>86540</v>
      </c>
      <c r="I373" s="51">
        <v>4</v>
      </c>
    </row>
    <row r="374" spans="1:9" x14ac:dyDescent="0.25">
      <c r="A374" s="56" t="s">
        <v>60</v>
      </c>
      <c r="B374" s="58" t="s">
        <v>13</v>
      </c>
      <c r="C374" s="56" t="s">
        <v>60</v>
      </c>
      <c r="D374" s="56" t="s">
        <v>5</v>
      </c>
      <c r="E374" s="55">
        <v>32867</v>
      </c>
      <c r="F374" s="54">
        <f t="shared" ca="1" si="17"/>
        <v>26</v>
      </c>
      <c r="G374" s="53" t="s">
        <v>4</v>
      </c>
      <c r="H374" s="52">
        <v>65250</v>
      </c>
      <c r="I374" s="51">
        <v>2</v>
      </c>
    </row>
    <row r="375" spans="1:9" x14ac:dyDescent="0.25">
      <c r="A375" s="56" t="s">
        <v>60</v>
      </c>
      <c r="B375" s="58" t="s">
        <v>13</v>
      </c>
      <c r="C375" s="56" t="s">
        <v>60</v>
      </c>
      <c r="D375" s="56" t="s">
        <v>5</v>
      </c>
      <c r="E375" s="55">
        <v>33565</v>
      </c>
      <c r="F375" s="54">
        <f t="shared" ca="1" si="17"/>
        <v>24</v>
      </c>
      <c r="G375" s="53" t="s">
        <v>8</v>
      </c>
      <c r="H375" s="52">
        <v>66920</v>
      </c>
      <c r="I375" s="51">
        <v>2</v>
      </c>
    </row>
    <row r="376" spans="1:9" x14ac:dyDescent="0.25">
      <c r="A376" s="56" t="s">
        <v>60</v>
      </c>
      <c r="B376" s="58" t="s">
        <v>10</v>
      </c>
      <c r="C376" s="56" t="s">
        <v>60</v>
      </c>
      <c r="D376" s="56" t="s">
        <v>12</v>
      </c>
      <c r="E376" s="55">
        <v>33637</v>
      </c>
      <c r="F376" s="54">
        <f t="shared" ca="1" si="17"/>
        <v>24</v>
      </c>
      <c r="G376" s="53"/>
      <c r="H376" s="52">
        <v>81930</v>
      </c>
      <c r="I376" s="51">
        <v>5</v>
      </c>
    </row>
    <row r="377" spans="1:9" x14ac:dyDescent="0.25">
      <c r="A377" s="56" t="s">
        <v>60</v>
      </c>
      <c r="B377" s="58" t="s">
        <v>10</v>
      </c>
      <c r="C377" s="56" t="s">
        <v>60</v>
      </c>
      <c r="D377" s="56" t="s">
        <v>12</v>
      </c>
      <c r="E377" s="55">
        <v>33637</v>
      </c>
      <c r="F377" s="54">
        <f t="shared" ca="1" si="17"/>
        <v>24</v>
      </c>
      <c r="G377" s="53"/>
      <c r="H377" s="52">
        <v>81930</v>
      </c>
      <c r="I377" s="51">
        <v>5</v>
      </c>
    </row>
    <row r="378" spans="1:9" x14ac:dyDescent="0.25">
      <c r="A378" s="56" t="s">
        <v>60</v>
      </c>
      <c r="B378" s="58" t="s">
        <v>39</v>
      </c>
      <c r="C378" s="56" t="s">
        <v>60</v>
      </c>
      <c r="D378" s="56" t="s">
        <v>5</v>
      </c>
      <c r="E378" s="55">
        <v>33910</v>
      </c>
      <c r="F378" s="54">
        <f t="shared" ca="1" si="17"/>
        <v>24</v>
      </c>
      <c r="G378" s="53" t="s">
        <v>19</v>
      </c>
      <c r="H378" s="52">
        <v>70480</v>
      </c>
      <c r="I378" s="51">
        <v>4</v>
      </c>
    </row>
    <row r="379" spans="1:9" x14ac:dyDescent="0.25">
      <c r="A379" s="56" t="s">
        <v>60</v>
      </c>
      <c r="B379" s="58" t="s">
        <v>39</v>
      </c>
      <c r="C379" s="56" t="s">
        <v>60</v>
      </c>
      <c r="D379" s="56" t="s">
        <v>5</v>
      </c>
      <c r="E379" s="55">
        <v>33944</v>
      </c>
      <c r="F379" s="54">
        <f t="shared" ca="1" si="17"/>
        <v>23</v>
      </c>
      <c r="G379" s="53" t="s">
        <v>32</v>
      </c>
      <c r="H379" s="52">
        <v>48800</v>
      </c>
      <c r="I379" s="51">
        <v>4</v>
      </c>
    </row>
    <row r="380" spans="1:9" x14ac:dyDescent="0.25">
      <c r="A380" s="56" t="s">
        <v>60</v>
      </c>
      <c r="B380" s="58" t="s">
        <v>56</v>
      </c>
      <c r="C380" s="56" t="s">
        <v>60</v>
      </c>
      <c r="D380" s="56" t="s">
        <v>5</v>
      </c>
      <c r="E380" s="55">
        <v>33972</v>
      </c>
      <c r="F380" s="54">
        <f t="shared" ca="1" si="17"/>
        <v>23</v>
      </c>
      <c r="G380" s="53" t="s">
        <v>32</v>
      </c>
      <c r="H380" s="52">
        <v>57560</v>
      </c>
      <c r="I380" s="51">
        <v>4</v>
      </c>
    </row>
    <row r="381" spans="1:9" x14ac:dyDescent="0.25">
      <c r="A381" s="56" t="s">
        <v>60</v>
      </c>
      <c r="B381" s="58" t="s">
        <v>2</v>
      </c>
      <c r="C381" s="56" t="s">
        <v>60</v>
      </c>
      <c r="D381" s="56" t="s">
        <v>12</v>
      </c>
      <c r="E381" s="55">
        <v>34208</v>
      </c>
      <c r="F381" s="54">
        <f t="shared" ca="1" si="17"/>
        <v>23</v>
      </c>
      <c r="G381" s="53"/>
      <c r="H381" s="52">
        <v>53870</v>
      </c>
      <c r="I381" s="51">
        <v>2</v>
      </c>
    </row>
    <row r="382" spans="1:9" x14ac:dyDescent="0.25">
      <c r="A382" s="56" t="s">
        <v>60</v>
      </c>
      <c r="B382" s="58" t="s">
        <v>13</v>
      </c>
      <c r="C382" s="56" t="s">
        <v>60</v>
      </c>
      <c r="D382" s="56" t="s">
        <v>5</v>
      </c>
      <c r="E382" s="55">
        <v>34237</v>
      </c>
      <c r="F382" s="54">
        <f t="shared" ca="1" si="17"/>
        <v>23</v>
      </c>
      <c r="G382" s="53" t="s">
        <v>32</v>
      </c>
      <c r="H382" s="52">
        <v>81640</v>
      </c>
      <c r="I382" s="51">
        <v>4</v>
      </c>
    </row>
    <row r="383" spans="1:9" x14ac:dyDescent="0.25">
      <c r="A383" s="56" t="s">
        <v>60</v>
      </c>
      <c r="B383" s="58" t="s">
        <v>13</v>
      </c>
      <c r="C383" s="56" t="s">
        <v>60</v>
      </c>
      <c r="D383" s="56" t="s">
        <v>5</v>
      </c>
      <c r="E383" s="55">
        <v>34237</v>
      </c>
      <c r="F383" s="54">
        <f t="shared" ca="1" si="17"/>
        <v>23</v>
      </c>
      <c r="G383" s="53" t="s">
        <v>32</v>
      </c>
      <c r="H383" s="52">
        <v>81640</v>
      </c>
      <c r="I383" s="51">
        <v>4</v>
      </c>
    </row>
    <row r="384" spans="1:9" x14ac:dyDescent="0.25">
      <c r="A384" s="56" t="s">
        <v>60</v>
      </c>
      <c r="B384" s="58" t="s">
        <v>13</v>
      </c>
      <c r="C384" s="56" t="s">
        <v>60</v>
      </c>
      <c r="D384" s="56" t="s">
        <v>12</v>
      </c>
      <c r="E384" s="55">
        <v>34372</v>
      </c>
      <c r="F384" s="54">
        <f t="shared" ca="1" si="17"/>
        <v>22</v>
      </c>
      <c r="G384" s="53"/>
      <c r="H384" s="52">
        <v>63850</v>
      </c>
      <c r="I384" s="51">
        <v>2</v>
      </c>
    </row>
    <row r="385" spans="1:9" x14ac:dyDescent="0.25">
      <c r="A385" s="56" t="s">
        <v>60</v>
      </c>
      <c r="B385" s="58" t="s">
        <v>17</v>
      </c>
      <c r="C385" s="56" t="s">
        <v>60</v>
      </c>
      <c r="D385" s="56" t="s">
        <v>12</v>
      </c>
      <c r="E385" s="55">
        <v>34466</v>
      </c>
      <c r="F385" s="54">
        <f t="shared" ca="1" si="17"/>
        <v>22</v>
      </c>
      <c r="G385" s="53"/>
      <c r="H385" s="52">
        <v>77930</v>
      </c>
      <c r="I385" s="51">
        <v>5</v>
      </c>
    </row>
    <row r="386" spans="1:9" x14ac:dyDescent="0.25">
      <c r="A386" s="56" t="s">
        <v>60</v>
      </c>
      <c r="B386" s="58" t="s">
        <v>39</v>
      </c>
      <c r="C386" s="56" t="s">
        <v>60</v>
      </c>
      <c r="D386" s="56" t="s">
        <v>5</v>
      </c>
      <c r="E386" s="55">
        <v>34546</v>
      </c>
      <c r="F386" s="54">
        <f t="shared" ca="1" si="17"/>
        <v>22</v>
      </c>
      <c r="G386" s="53" t="s">
        <v>8</v>
      </c>
      <c r="H386" s="52">
        <v>86830</v>
      </c>
      <c r="I386" s="51">
        <v>3</v>
      </c>
    </row>
    <row r="387" spans="1:9" x14ac:dyDescent="0.25">
      <c r="A387" s="56" t="s">
        <v>60</v>
      </c>
      <c r="B387" s="58" t="s">
        <v>17</v>
      </c>
      <c r="C387" s="56" t="s">
        <v>60</v>
      </c>
      <c r="D387" s="56" t="s">
        <v>5</v>
      </c>
      <c r="E387" s="55">
        <v>34547</v>
      </c>
      <c r="F387" s="54">
        <f t="shared" ca="1" si="17"/>
        <v>22</v>
      </c>
      <c r="G387" s="53" t="s">
        <v>4</v>
      </c>
      <c r="H387" s="52">
        <v>82110</v>
      </c>
      <c r="I387" s="51">
        <v>3</v>
      </c>
    </row>
    <row r="388" spans="1:9" x14ac:dyDescent="0.25">
      <c r="A388" s="56" t="s">
        <v>60</v>
      </c>
      <c r="B388" s="58" t="s">
        <v>13</v>
      </c>
      <c r="C388" s="56" t="s">
        <v>60</v>
      </c>
      <c r="D388" s="56" t="s">
        <v>15</v>
      </c>
      <c r="E388" s="55">
        <v>34784</v>
      </c>
      <c r="F388" s="54">
        <f t="shared" ca="1" si="17"/>
        <v>21</v>
      </c>
      <c r="G388" s="53" t="s">
        <v>32</v>
      </c>
      <c r="H388" s="52">
        <v>47885</v>
      </c>
      <c r="I388" s="51">
        <v>1</v>
      </c>
    </row>
    <row r="389" spans="1:9" x14ac:dyDescent="0.25">
      <c r="A389" s="56" t="s">
        <v>60</v>
      </c>
      <c r="B389" s="58" t="s">
        <v>13</v>
      </c>
      <c r="C389" s="56" t="s">
        <v>60</v>
      </c>
      <c r="D389" s="56" t="s">
        <v>5</v>
      </c>
      <c r="E389" s="55">
        <v>34806</v>
      </c>
      <c r="F389" s="54">
        <f t="shared" ca="1" si="17"/>
        <v>21</v>
      </c>
      <c r="G389" s="53" t="s">
        <v>8</v>
      </c>
      <c r="H389" s="52">
        <v>49770</v>
      </c>
      <c r="I389" s="51">
        <v>1</v>
      </c>
    </row>
    <row r="390" spans="1:9" x14ac:dyDescent="0.25">
      <c r="A390" s="56" t="s">
        <v>60</v>
      </c>
      <c r="B390" s="58" t="s">
        <v>39</v>
      </c>
      <c r="C390" s="56" t="s">
        <v>60</v>
      </c>
      <c r="D390" s="56" t="s">
        <v>15</v>
      </c>
      <c r="E390" s="55">
        <v>34811</v>
      </c>
      <c r="F390" s="54">
        <f t="shared" ca="1" si="17"/>
        <v>21</v>
      </c>
      <c r="G390" s="53" t="s">
        <v>4</v>
      </c>
      <c r="H390" s="52">
        <v>28880</v>
      </c>
      <c r="I390" s="51">
        <v>3</v>
      </c>
    </row>
    <row r="391" spans="1:9" x14ac:dyDescent="0.25">
      <c r="A391" s="56" t="s">
        <v>60</v>
      </c>
      <c r="B391" s="58" t="s">
        <v>39</v>
      </c>
      <c r="C391" s="56" t="s">
        <v>60</v>
      </c>
      <c r="D391" s="56" t="s">
        <v>12</v>
      </c>
      <c r="E391" s="55">
        <v>34882</v>
      </c>
      <c r="F391" s="54">
        <f t="shared" ca="1" si="17"/>
        <v>21</v>
      </c>
      <c r="G391" s="53"/>
      <c r="H391" s="52">
        <v>47620</v>
      </c>
      <c r="I391" s="51">
        <v>5</v>
      </c>
    </row>
    <row r="392" spans="1:9" x14ac:dyDescent="0.25">
      <c r="A392" s="56" t="s">
        <v>60</v>
      </c>
      <c r="B392" s="58" t="s">
        <v>56</v>
      </c>
      <c r="C392" s="56" t="s">
        <v>60</v>
      </c>
      <c r="D392" s="56" t="s">
        <v>12</v>
      </c>
      <c r="E392" s="55">
        <v>34889</v>
      </c>
      <c r="F392" s="54">
        <f t="shared" ca="1" si="17"/>
        <v>21</v>
      </c>
      <c r="G392" s="53"/>
      <c r="H392" s="52">
        <v>31270</v>
      </c>
      <c r="I392" s="51">
        <v>5</v>
      </c>
    </row>
    <row r="393" spans="1:9" x14ac:dyDescent="0.25">
      <c r="A393" s="56" t="s">
        <v>60</v>
      </c>
      <c r="B393" s="58" t="s">
        <v>2</v>
      </c>
      <c r="C393" s="56" t="s">
        <v>60</v>
      </c>
      <c r="D393" s="56" t="s">
        <v>5</v>
      </c>
      <c r="E393" s="55">
        <v>34987</v>
      </c>
      <c r="F393" s="54">
        <f t="shared" ca="1" si="17"/>
        <v>21</v>
      </c>
      <c r="G393" s="53" t="s">
        <v>32</v>
      </c>
      <c r="H393" s="52">
        <v>46030</v>
      </c>
      <c r="I393" s="51">
        <v>2</v>
      </c>
    </row>
    <row r="394" spans="1:9" x14ac:dyDescent="0.25">
      <c r="A394" s="56" t="s">
        <v>60</v>
      </c>
      <c r="B394" s="58" t="s">
        <v>10</v>
      </c>
      <c r="C394" s="56" t="s">
        <v>60</v>
      </c>
      <c r="D394" s="56" t="s">
        <v>15</v>
      </c>
      <c r="E394" s="55">
        <v>35061</v>
      </c>
      <c r="F394" s="54">
        <f t="shared" ref="F394:F416" ca="1" si="18">DATEDIF(E394,TODAY(),"Y")</f>
        <v>20</v>
      </c>
      <c r="G394" s="53" t="s">
        <v>4</v>
      </c>
      <c r="H394" s="52">
        <v>26790</v>
      </c>
      <c r="I394" s="51">
        <v>2</v>
      </c>
    </row>
    <row r="395" spans="1:9" x14ac:dyDescent="0.25">
      <c r="A395" s="56" t="s">
        <v>60</v>
      </c>
      <c r="B395" s="58" t="s">
        <v>56</v>
      </c>
      <c r="C395" s="56" t="s">
        <v>60</v>
      </c>
      <c r="D395" s="56" t="s">
        <v>5</v>
      </c>
      <c r="E395" s="55">
        <v>35082</v>
      </c>
      <c r="F395" s="54">
        <f t="shared" ca="1" si="18"/>
        <v>20</v>
      </c>
      <c r="G395" s="53" t="s">
        <v>4</v>
      </c>
      <c r="H395" s="52">
        <v>51410</v>
      </c>
      <c r="I395" s="51">
        <v>4</v>
      </c>
    </row>
    <row r="396" spans="1:9" x14ac:dyDescent="0.25">
      <c r="A396" s="56" t="s">
        <v>60</v>
      </c>
      <c r="B396" s="58" t="s">
        <v>17</v>
      </c>
      <c r="C396" s="56" t="s">
        <v>60</v>
      </c>
      <c r="D396" s="56" t="s">
        <v>5</v>
      </c>
      <c r="E396" s="55">
        <v>35146</v>
      </c>
      <c r="F396" s="54">
        <f t="shared" ca="1" si="18"/>
        <v>20</v>
      </c>
      <c r="G396" s="53" t="s">
        <v>4</v>
      </c>
      <c r="H396" s="52">
        <v>43460</v>
      </c>
      <c r="I396" s="51">
        <v>5</v>
      </c>
    </row>
    <row r="397" spans="1:9" x14ac:dyDescent="0.25">
      <c r="A397" s="56" t="s">
        <v>60</v>
      </c>
      <c r="B397" s="58" t="s">
        <v>13</v>
      </c>
      <c r="C397" s="56" t="s">
        <v>60</v>
      </c>
      <c r="D397" s="56" t="s">
        <v>5</v>
      </c>
      <c r="E397" s="55">
        <v>35153</v>
      </c>
      <c r="F397" s="54">
        <f t="shared" ca="1" si="18"/>
        <v>20</v>
      </c>
      <c r="G397" s="53" t="s">
        <v>32</v>
      </c>
      <c r="H397" s="52">
        <v>44220</v>
      </c>
      <c r="I397" s="51">
        <v>3</v>
      </c>
    </row>
    <row r="398" spans="1:9" x14ac:dyDescent="0.25">
      <c r="A398" s="56" t="s">
        <v>60</v>
      </c>
      <c r="B398" s="58" t="s">
        <v>39</v>
      </c>
      <c r="C398" s="56" t="s">
        <v>60</v>
      </c>
      <c r="D398" s="56" t="s">
        <v>5</v>
      </c>
      <c r="E398" s="55">
        <v>35352</v>
      </c>
      <c r="F398" s="54">
        <f t="shared" ca="1" si="18"/>
        <v>20</v>
      </c>
      <c r="G398" s="53" t="s">
        <v>4</v>
      </c>
      <c r="H398" s="52">
        <v>52490</v>
      </c>
      <c r="I398" s="51">
        <v>4</v>
      </c>
    </row>
    <row r="399" spans="1:9" x14ac:dyDescent="0.25">
      <c r="A399" s="56" t="s">
        <v>60</v>
      </c>
      <c r="B399" s="58" t="s">
        <v>13</v>
      </c>
      <c r="C399" s="56" t="s">
        <v>60</v>
      </c>
      <c r="D399" s="56" t="s">
        <v>12</v>
      </c>
      <c r="E399" s="55">
        <v>35393</v>
      </c>
      <c r="F399" s="54">
        <f t="shared" ca="1" si="18"/>
        <v>19</v>
      </c>
      <c r="G399" s="53"/>
      <c r="H399" s="52">
        <v>50200</v>
      </c>
      <c r="I399" s="51">
        <v>4</v>
      </c>
    </row>
    <row r="400" spans="1:9" x14ac:dyDescent="0.25">
      <c r="A400" s="56" t="s">
        <v>60</v>
      </c>
      <c r="B400" s="58" t="s">
        <v>39</v>
      </c>
      <c r="C400" s="56" t="s">
        <v>60</v>
      </c>
      <c r="D400" s="56" t="s">
        <v>5</v>
      </c>
      <c r="E400" s="55">
        <v>35630</v>
      </c>
      <c r="F400" s="54">
        <f t="shared" ca="1" si="18"/>
        <v>19</v>
      </c>
      <c r="G400" s="53" t="s">
        <v>32</v>
      </c>
      <c r="H400" s="52">
        <v>48990</v>
      </c>
      <c r="I400" s="51">
        <v>5</v>
      </c>
    </row>
    <row r="401" spans="1:9" x14ac:dyDescent="0.25">
      <c r="A401" s="56" t="s">
        <v>60</v>
      </c>
      <c r="B401" s="58" t="s">
        <v>39</v>
      </c>
      <c r="C401" s="56" t="s">
        <v>60</v>
      </c>
      <c r="D401" s="56" t="s">
        <v>15</v>
      </c>
      <c r="E401" s="55">
        <v>35828</v>
      </c>
      <c r="F401" s="54">
        <f t="shared" ca="1" si="18"/>
        <v>18</v>
      </c>
      <c r="G401" s="53" t="s">
        <v>34</v>
      </c>
      <c r="H401" s="52">
        <v>31110</v>
      </c>
      <c r="I401" s="51">
        <v>1</v>
      </c>
    </row>
    <row r="402" spans="1:9" x14ac:dyDescent="0.25">
      <c r="A402" s="56" t="s">
        <v>60</v>
      </c>
      <c r="B402" s="58" t="s">
        <v>10</v>
      </c>
      <c r="C402" s="56" t="s">
        <v>60</v>
      </c>
      <c r="D402" s="56" t="s">
        <v>15</v>
      </c>
      <c r="E402" s="55">
        <v>35831</v>
      </c>
      <c r="F402" s="54">
        <f t="shared" ca="1" si="18"/>
        <v>18</v>
      </c>
      <c r="G402" s="53" t="s">
        <v>8</v>
      </c>
      <c r="H402" s="52">
        <v>15910</v>
      </c>
      <c r="I402" s="51">
        <v>3</v>
      </c>
    </row>
    <row r="403" spans="1:9" x14ac:dyDescent="0.25">
      <c r="A403" s="56" t="s">
        <v>60</v>
      </c>
      <c r="B403" s="58" t="s">
        <v>17</v>
      </c>
      <c r="C403" s="56" t="s">
        <v>60</v>
      </c>
      <c r="D403" s="56" t="s">
        <v>15</v>
      </c>
      <c r="E403" s="55">
        <v>35856</v>
      </c>
      <c r="F403" s="54">
        <f t="shared" ca="1" si="18"/>
        <v>18</v>
      </c>
      <c r="G403" s="53" t="s">
        <v>34</v>
      </c>
      <c r="H403" s="52">
        <v>47295</v>
      </c>
      <c r="I403" s="51">
        <v>4</v>
      </c>
    </row>
    <row r="404" spans="1:9" x14ac:dyDescent="0.25">
      <c r="A404" s="56" t="s">
        <v>60</v>
      </c>
      <c r="B404" s="58" t="s">
        <v>13</v>
      </c>
      <c r="C404" s="56" t="s">
        <v>60</v>
      </c>
      <c r="D404" s="56" t="s">
        <v>15</v>
      </c>
      <c r="E404" s="55">
        <v>37052</v>
      </c>
      <c r="F404" s="54">
        <f t="shared" ca="1" si="18"/>
        <v>15</v>
      </c>
      <c r="G404" s="53" t="s">
        <v>32</v>
      </c>
      <c r="H404" s="52">
        <v>31255</v>
      </c>
      <c r="I404" s="51">
        <v>5</v>
      </c>
    </row>
    <row r="405" spans="1:9" x14ac:dyDescent="0.25">
      <c r="A405" s="56" t="s">
        <v>60</v>
      </c>
      <c r="B405" s="58" t="s">
        <v>56</v>
      </c>
      <c r="C405" s="56" t="s">
        <v>60</v>
      </c>
      <c r="D405" s="56" t="s">
        <v>12</v>
      </c>
      <c r="E405" s="55">
        <v>37186</v>
      </c>
      <c r="F405" s="54">
        <f t="shared" ca="1" si="18"/>
        <v>15</v>
      </c>
      <c r="G405" s="53"/>
      <c r="H405" s="52">
        <v>57520</v>
      </c>
      <c r="I405" s="51">
        <v>3</v>
      </c>
    </row>
    <row r="406" spans="1:9" x14ac:dyDescent="0.25">
      <c r="A406" s="56" t="s">
        <v>60</v>
      </c>
      <c r="B406" s="58" t="s">
        <v>39</v>
      </c>
      <c r="C406" s="56" t="s">
        <v>60</v>
      </c>
      <c r="D406" s="56" t="s">
        <v>15</v>
      </c>
      <c r="E406" s="55">
        <v>37788</v>
      </c>
      <c r="F406" s="54">
        <f t="shared" ca="1" si="18"/>
        <v>13</v>
      </c>
      <c r="G406" s="53" t="s">
        <v>4</v>
      </c>
      <c r="H406" s="52">
        <v>47705</v>
      </c>
      <c r="I406" s="51">
        <v>5</v>
      </c>
    </row>
    <row r="407" spans="1:9" x14ac:dyDescent="0.25">
      <c r="A407" s="56" t="s">
        <v>60</v>
      </c>
      <c r="B407" s="58" t="s">
        <v>39</v>
      </c>
      <c r="C407" s="56" t="s">
        <v>60</v>
      </c>
      <c r="D407" s="56" t="s">
        <v>15</v>
      </c>
      <c r="E407" s="55">
        <v>37788</v>
      </c>
      <c r="F407" s="54">
        <f t="shared" ca="1" si="18"/>
        <v>13</v>
      </c>
      <c r="G407" s="53" t="s">
        <v>4</v>
      </c>
      <c r="H407" s="52">
        <v>47705</v>
      </c>
      <c r="I407" s="51">
        <v>5</v>
      </c>
    </row>
    <row r="408" spans="1:9" x14ac:dyDescent="0.25">
      <c r="A408" s="56" t="s">
        <v>60</v>
      </c>
      <c r="B408" s="58" t="s">
        <v>39</v>
      </c>
      <c r="C408" s="56" t="s">
        <v>60</v>
      </c>
      <c r="D408" s="56" t="s">
        <v>5</v>
      </c>
      <c r="E408" s="55">
        <v>37847</v>
      </c>
      <c r="F408" s="54">
        <f t="shared" ca="1" si="18"/>
        <v>13</v>
      </c>
      <c r="G408" s="53" t="s">
        <v>4</v>
      </c>
      <c r="H408" s="52">
        <v>47610</v>
      </c>
      <c r="I408" s="51">
        <v>4</v>
      </c>
    </row>
    <row r="409" spans="1:9" x14ac:dyDescent="0.25">
      <c r="A409" s="56" t="s">
        <v>60</v>
      </c>
      <c r="B409" s="58" t="s">
        <v>17</v>
      </c>
      <c r="C409" s="56" t="s">
        <v>60</v>
      </c>
      <c r="D409" s="56" t="s">
        <v>12</v>
      </c>
      <c r="E409" s="55">
        <v>37973</v>
      </c>
      <c r="F409" s="54">
        <f t="shared" ca="1" si="18"/>
        <v>12</v>
      </c>
      <c r="G409" s="53"/>
      <c r="H409" s="52">
        <v>74470</v>
      </c>
      <c r="I409" s="51">
        <v>3</v>
      </c>
    </row>
    <row r="410" spans="1:9" x14ac:dyDescent="0.25">
      <c r="A410" s="56" t="s">
        <v>60</v>
      </c>
      <c r="B410" s="58" t="s">
        <v>39</v>
      </c>
      <c r="C410" s="56" t="s">
        <v>60</v>
      </c>
      <c r="D410" s="56" t="s">
        <v>15</v>
      </c>
      <c r="E410" s="55">
        <v>38561</v>
      </c>
      <c r="F410" s="54">
        <f t="shared" ca="1" si="18"/>
        <v>11</v>
      </c>
      <c r="G410" s="53" t="s">
        <v>19</v>
      </c>
      <c r="H410" s="52">
        <v>38575</v>
      </c>
      <c r="I410" s="51">
        <v>2</v>
      </c>
    </row>
    <row r="411" spans="1:9" x14ac:dyDescent="0.25">
      <c r="A411" s="56" t="s">
        <v>60</v>
      </c>
      <c r="B411" s="58" t="s">
        <v>2</v>
      </c>
      <c r="C411" s="56" t="s">
        <v>60</v>
      </c>
      <c r="D411" s="56" t="s">
        <v>5</v>
      </c>
      <c r="E411" s="55">
        <v>38773</v>
      </c>
      <c r="F411" s="54">
        <f t="shared" ca="1" si="18"/>
        <v>10</v>
      </c>
      <c r="G411" s="53" t="s">
        <v>4</v>
      </c>
      <c r="H411" s="52">
        <v>44150</v>
      </c>
      <c r="I411" s="51">
        <v>4</v>
      </c>
    </row>
    <row r="412" spans="1:9" x14ac:dyDescent="0.25">
      <c r="A412" s="56" t="s">
        <v>60</v>
      </c>
      <c r="B412" s="58" t="s">
        <v>17</v>
      </c>
      <c r="C412" s="56" t="s">
        <v>60</v>
      </c>
      <c r="D412" s="56" t="s">
        <v>5</v>
      </c>
      <c r="E412" s="55">
        <v>38899</v>
      </c>
      <c r="F412" s="54">
        <f t="shared" ca="1" si="18"/>
        <v>10</v>
      </c>
      <c r="G412" s="53" t="s">
        <v>4</v>
      </c>
      <c r="H412" s="52">
        <v>45260</v>
      </c>
      <c r="I412" s="51">
        <v>4</v>
      </c>
    </row>
    <row r="413" spans="1:9" x14ac:dyDescent="0.25">
      <c r="A413" s="56" t="s">
        <v>60</v>
      </c>
      <c r="B413" s="58" t="s">
        <v>17</v>
      </c>
      <c r="C413" s="56" t="s">
        <v>60</v>
      </c>
      <c r="D413" s="56" t="s">
        <v>15</v>
      </c>
      <c r="E413" s="55">
        <v>39041</v>
      </c>
      <c r="F413" s="54">
        <f t="shared" ca="1" si="18"/>
        <v>9</v>
      </c>
      <c r="G413" s="53" t="s">
        <v>4</v>
      </c>
      <c r="H413" s="52">
        <v>20040</v>
      </c>
      <c r="I413" s="51">
        <v>3</v>
      </c>
    </row>
    <row r="414" spans="1:9" x14ac:dyDescent="0.25">
      <c r="A414" s="56" t="s">
        <v>60</v>
      </c>
      <c r="B414" s="58" t="s">
        <v>17</v>
      </c>
      <c r="C414" s="56" t="s">
        <v>60</v>
      </c>
      <c r="D414" s="56" t="s">
        <v>5</v>
      </c>
      <c r="E414" s="55">
        <v>39051</v>
      </c>
      <c r="F414" s="54">
        <f t="shared" ca="1" si="18"/>
        <v>9</v>
      </c>
      <c r="G414" s="53" t="s">
        <v>19</v>
      </c>
      <c r="H414" s="52">
        <v>75780</v>
      </c>
      <c r="I414" s="51">
        <v>2</v>
      </c>
    </row>
    <row r="415" spans="1:9" x14ac:dyDescent="0.25">
      <c r="A415" s="56" t="s">
        <v>60</v>
      </c>
      <c r="B415" s="58" t="s">
        <v>17</v>
      </c>
      <c r="C415" s="56" t="s">
        <v>60</v>
      </c>
      <c r="D415" s="56" t="s">
        <v>5</v>
      </c>
      <c r="E415" s="55">
        <v>39137</v>
      </c>
      <c r="F415" s="54">
        <f t="shared" ca="1" si="18"/>
        <v>9</v>
      </c>
      <c r="G415" s="53" t="s">
        <v>32</v>
      </c>
      <c r="H415" s="52">
        <v>33970</v>
      </c>
      <c r="I415" s="51">
        <v>4</v>
      </c>
    </row>
    <row r="416" spans="1:9" x14ac:dyDescent="0.25">
      <c r="A416" s="56" t="s">
        <v>60</v>
      </c>
      <c r="B416" s="58" t="s">
        <v>17</v>
      </c>
      <c r="C416" s="56" t="s">
        <v>60</v>
      </c>
      <c r="D416" s="56" t="s">
        <v>5</v>
      </c>
      <c r="E416" s="55">
        <v>39137</v>
      </c>
      <c r="F416" s="54">
        <f t="shared" ca="1" si="18"/>
        <v>9</v>
      </c>
      <c r="G416" s="53" t="s">
        <v>32</v>
      </c>
      <c r="H416" s="52">
        <v>33970</v>
      </c>
      <c r="I416" s="51">
        <v>4</v>
      </c>
    </row>
    <row r="417" spans="1:9" x14ac:dyDescent="0.25">
      <c r="A417" s="57"/>
      <c r="B417" s="58"/>
      <c r="C417" s="57"/>
      <c r="D417" s="56"/>
      <c r="E417" s="55"/>
      <c r="F417" s="54"/>
      <c r="G417" s="53"/>
      <c r="H417" s="52"/>
      <c r="I417" s="51"/>
    </row>
    <row r="418" spans="1:9" x14ac:dyDescent="0.25">
      <c r="A418" s="56" t="s">
        <v>9</v>
      </c>
      <c r="B418" s="58" t="s">
        <v>10</v>
      </c>
      <c r="C418" s="56" t="s">
        <v>9</v>
      </c>
      <c r="D418" s="56" t="s">
        <v>5</v>
      </c>
      <c r="E418" s="55">
        <v>32307</v>
      </c>
      <c r="F418" s="54">
        <f t="shared" ref="F418:F438" ca="1" si="19">DATEDIF(E418,TODAY(),"Y")</f>
        <v>28</v>
      </c>
      <c r="G418" s="53" t="s">
        <v>32</v>
      </c>
      <c r="H418" s="52">
        <v>39110</v>
      </c>
      <c r="I418" s="51">
        <v>5</v>
      </c>
    </row>
    <row r="419" spans="1:9" x14ac:dyDescent="0.25">
      <c r="A419" s="56" t="s">
        <v>9</v>
      </c>
      <c r="B419" s="58" t="s">
        <v>13</v>
      </c>
      <c r="C419" s="56" t="s">
        <v>9</v>
      </c>
      <c r="D419" s="56" t="s">
        <v>5</v>
      </c>
      <c r="E419" s="55">
        <v>32431</v>
      </c>
      <c r="F419" s="54">
        <f t="shared" ca="1" si="19"/>
        <v>28</v>
      </c>
      <c r="G419" s="53" t="s">
        <v>32</v>
      </c>
      <c r="H419" s="52">
        <v>48550</v>
      </c>
      <c r="I419" s="51">
        <v>5</v>
      </c>
    </row>
    <row r="420" spans="1:9" x14ac:dyDescent="0.25">
      <c r="A420" s="56" t="s">
        <v>9</v>
      </c>
      <c r="B420" s="58" t="s">
        <v>13</v>
      </c>
      <c r="C420" s="56" t="s">
        <v>9</v>
      </c>
      <c r="D420" s="56" t="s">
        <v>5</v>
      </c>
      <c r="E420" s="55">
        <v>32594</v>
      </c>
      <c r="F420" s="54">
        <f t="shared" ca="1" si="19"/>
        <v>27</v>
      </c>
      <c r="G420" s="53" t="s">
        <v>34</v>
      </c>
      <c r="H420" s="52">
        <v>87980</v>
      </c>
      <c r="I420" s="51">
        <v>1</v>
      </c>
    </row>
    <row r="421" spans="1:9" x14ac:dyDescent="0.25">
      <c r="A421" s="56" t="s">
        <v>9</v>
      </c>
      <c r="B421" s="58" t="s">
        <v>13</v>
      </c>
      <c r="C421" s="56" t="s">
        <v>9</v>
      </c>
      <c r="D421" s="56" t="s">
        <v>5</v>
      </c>
      <c r="E421" s="55">
        <v>33811</v>
      </c>
      <c r="F421" s="54">
        <f t="shared" ca="1" si="19"/>
        <v>24</v>
      </c>
      <c r="G421" s="53" t="s">
        <v>4</v>
      </c>
      <c r="H421" s="52">
        <v>22860</v>
      </c>
      <c r="I421" s="51">
        <v>5</v>
      </c>
    </row>
    <row r="422" spans="1:9" x14ac:dyDescent="0.25">
      <c r="A422" s="56" t="s">
        <v>9</v>
      </c>
      <c r="B422" s="58" t="s">
        <v>10</v>
      </c>
      <c r="C422" s="56" t="s">
        <v>9</v>
      </c>
      <c r="D422" s="56" t="s">
        <v>15</v>
      </c>
      <c r="E422" s="55">
        <v>33840</v>
      </c>
      <c r="F422" s="54">
        <f t="shared" ca="1" si="19"/>
        <v>24</v>
      </c>
      <c r="G422" s="53" t="s">
        <v>32</v>
      </c>
      <c r="H422" s="52">
        <v>49405</v>
      </c>
      <c r="I422" s="51">
        <v>4</v>
      </c>
    </row>
    <row r="423" spans="1:9" x14ac:dyDescent="0.25">
      <c r="A423" s="56" t="s">
        <v>9</v>
      </c>
      <c r="B423" s="58" t="s">
        <v>17</v>
      </c>
      <c r="C423" s="56" t="s">
        <v>9</v>
      </c>
      <c r="D423" s="56" t="s">
        <v>0</v>
      </c>
      <c r="E423" s="55">
        <v>34071</v>
      </c>
      <c r="F423" s="54">
        <f t="shared" ca="1" si="19"/>
        <v>23</v>
      </c>
      <c r="G423" s="53"/>
      <c r="H423" s="52">
        <v>35312</v>
      </c>
      <c r="I423" s="51">
        <v>3</v>
      </c>
    </row>
    <row r="424" spans="1:9" x14ac:dyDescent="0.25">
      <c r="A424" s="56" t="s">
        <v>9</v>
      </c>
      <c r="B424" s="58" t="s">
        <v>13</v>
      </c>
      <c r="C424" s="56" t="s">
        <v>9</v>
      </c>
      <c r="D424" s="56" t="s">
        <v>12</v>
      </c>
      <c r="E424" s="55">
        <v>34137</v>
      </c>
      <c r="F424" s="54">
        <f t="shared" ca="1" si="19"/>
        <v>23</v>
      </c>
      <c r="G424" s="53"/>
      <c r="H424" s="52">
        <v>54190</v>
      </c>
      <c r="I424" s="51">
        <v>4</v>
      </c>
    </row>
    <row r="425" spans="1:9" x14ac:dyDescent="0.25">
      <c r="A425" s="56" t="s">
        <v>9</v>
      </c>
      <c r="B425" s="58" t="s">
        <v>56</v>
      </c>
      <c r="C425" s="56" t="s">
        <v>9</v>
      </c>
      <c r="D425" s="56" t="s">
        <v>12</v>
      </c>
      <c r="E425" s="55">
        <v>34414</v>
      </c>
      <c r="F425" s="54">
        <f t="shared" ca="1" si="19"/>
        <v>22</v>
      </c>
      <c r="G425" s="53"/>
      <c r="H425" s="52">
        <v>86470</v>
      </c>
      <c r="I425" s="51">
        <v>4</v>
      </c>
    </row>
    <row r="426" spans="1:9" x14ac:dyDescent="0.25">
      <c r="A426" s="56" t="s">
        <v>9</v>
      </c>
      <c r="B426" s="58" t="s">
        <v>17</v>
      </c>
      <c r="C426" s="56" t="s">
        <v>9</v>
      </c>
      <c r="D426" s="56" t="s">
        <v>15</v>
      </c>
      <c r="E426" s="55">
        <v>34651</v>
      </c>
      <c r="F426" s="54">
        <f t="shared" ca="1" si="19"/>
        <v>21</v>
      </c>
      <c r="G426" s="53" t="s">
        <v>32</v>
      </c>
      <c r="H426" s="52">
        <v>20500</v>
      </c>
      <c r="I426" s="51">
        <v>3</v>
      </c>
    </row>
    <row r="427" spans="1:9" x14ac:dyDescent="0.25">
      <c r="A427" s="56" t="s">
        <v>9</v>
      </c>
      <c r="B427" s="58" t="s">
        <v>39</v>
      </c>
      <c r="C427" s="56" t="s">
        <v>9</v>
      </c>
      <c r="D427" s="56" t="s">
        <v>12</v>
      </c>
      <c r="E427" s="55">
        <v>34737</v>
      </c>
      <c r="F427" s="54">
        <f t="shared" ca="1" si="19"/>
        <v>21</v>
      </c>
      <c r="G427" s="53"/>
      <c r="H427" s="52">
        <v>72480</v>
      </c>
      <c r="I427" s="51">
        <v>2</v>
      </c>
    </row>
    <row r="428" spans="1:9" x14ac:dyDescent="0.25">
      <c r="A428" s="56" t="s">
        <v>9</v>
      </c>
      <c r="B428" s="58" t="s">
        <v>17</v>
      </c>
      <c r="C428" s="56" t="s">
        <v>9</v>
      </c>
      <c r="D428" s="56" t="s">
        <v>0</v>
      </c>
      <c r="E428" s="55">
        <v>34774</v>
      </c>
      <c r="F428" s="54">
        <f t="shared" ca="1" si="19"/>
        <v>21</v>
      </c>
      <c r="G428" s="53"/>
      <c r="H428" s="52">
        <v>21668</v>
      </c>
      <c r="I428" s="51">
        <v>4</v>
      </c>
    </row>
    <row r="429" spans="1:9" x14ac:dyDescent="0.25">
      <c r="A429" s="56" t="s">
        <v>9</v>
      </c>
      <c r="B429" s="58" t="s">
        <v>17</v>
      </c>
      <c r="C429" s="56" t="s">
        <v>9</v>
      </c>
      <c r="D429" s="56" t="s">
        <v>5</v>
      </c>
      <c r="E429" s="55">
        <v>34865</v>
      </c>
      <c r="F429" s="54">
        <f t="shared" ca="1" si="19"/>
        <v>21</v>
      </c>
      <c r="G429" s="53" t="s">
        <v>4</v>
      </c>
      <c r="H429" s="52">
        <v>23520</v>
      </c>
      <c r="I429" s="51">
        <v>2</v>
      </c>
    </row>
    <row r="430" spans="1:9" x14ac:dyDescent="0.25">
      <c r="A430" s="56" t="s">
        <v>9</v>
      </c>
      <c r="B430" s="58" t="s">
        <v>2</v>
      </c>
      <c r="C430" s="56" t="s">
        <v>9</v>
      </c>
      <c r="D430" s="56" t="s">
        <v>5</v>
      </c>
      <c r="E430" s="55">
        <v>35156</v>
      </c>
      <c r="F430" s="54">
        <f t="shared" ca="1" si="19"/>
        <v>20</v>
      </c>
      <c r="G430" s="53" t="s">
        <v>4</v>
      </c>
      <c r="H430" s="52">
        <v>68410</v>
      </c>
      <c r="I430" s="51">
        <v>5</v>
      </c>
    </row>
    <row r="431" spans="1:9" x14ac:dyDescent="0.25">
      <c r="A431" s="56" t="s">
        <v>9</v>
      </c>
      <c r="B431" s="58" t="s">
        <v>10</v>
      </c>
      <c r="C431" s="56" t="s">
        <v>9</v>
      </c>
      <c r="D431" s="56" t="s">
        <v>5</v>
      </c>
      <c r="E431" s="55">
        <v>35257</v>
      </c>
      <c r="F431" s="54">
        <f t="shared" ca="1" si="19"/>
        <v>20</v>
      </c>
      <c r="G431" s="53" t="s">
        <v>8</v>
      </c>
      <c r="H431" s="52">
        <v>45450</v>
      </c>
      <c r="I431" s="51">
        <v>5</v>
      </c>
    </row>
    <row r="432" spans="1:9" x14ac:dyDescent="0.25">
      <c r="A432" s="56" t="s">
        <v>9</v>
      </c>
      <c r="B432" s="58" t="s">
        <v>17</v>
      </c>
      <c r="C432" s="56" t="s">
        <v>9</v>
      </c>
      <c r="D432" s="56" t="s">
        <v>5</v>
      </c>
      <c r="E432" s="55">
        <v>35588</v>
      </c>
      <c r="F432" s="54">
        <f t="shared" ca="1" si="19"/>
        <v>19</v>
      </c>
      <c r="G432" s="53" t="s">
        <v>32</v>
      </c>
      <c r="H432" s="52">
        <v>71820</v>
      </c>
      <c r="I432" s="51">
        <v>2</v>
      </c>
    </row>
    <row r="433" spans="1:9" x14ac:dyDescent="0.25">
      <c r="A433" s="56" t="s">
        <v>9</v>
      </c>
      <c r="B433" s="58" t="s">
        <v>39</v>
      </c>
      <c r="C433" s="56" t="s">
        <v>9</v>
      </c>
      <c r="D433" s="56" t="s">
        <v>12</v>
      </c>
      <c r="E433" s="55">
        <v>35926</v>
      </c>
      <c r="F433" s="54">
        <f t="shared" ca="1" si="19"/>
        <v>18</v>
      </c>
      <c r="G433" s="53"/>
      <c r="H433" s="52">
        <v>29540</v>
      </c>
      <c r="I433" s="51">
        <v>3</v>
      </c>
    </row>
    <row r="434" spans="1:9" x14ac:dyDescent="0.25">
      <c r="A434" s="56" t="s">
        <v>9</v>
      </c>
      <c r="B434" s="58" t="s">
        <v>13</v>
      </c>
      <c r="C434" s="56" t="s">
        <v>9</v>
      </c>
      <c r="D434" s="56" t="s">
        <v>12</v>
      </c>
      <c r="E434" s="55">
        <v>36493</v>
      </c>
      <c r="F434" s="54">
        <f t="shared" ca="1" si="19"/>
        <v>16</v>
      </c>
      <c r="G434" s="53"/>
      <c r="H434" s="52">
        <v>78100</v>
      </c>
      <c r="I434" s="51">
        <v>3</v>
      </c>
    </row>
    <row r="435" spans="1:9" x14ac:dyDescent="0.25">
      <c r="A435" s="56" t="s">
        <v>9</v>
      </c>
      <c r="B435" s="58" t="s">
        <v>2</v>
      </c>
      <c r="C435" s="56" t="s">
        <v>9</v>
      </c>
      <c r="D435" s="56" t="s">
        <v>0</v>
      </c>
      <c r="E435" s="55">
        <v>36517</v>
      </c>
      <c r="F435" s="54">
        <f t="shared" ca="1" si="19"/>
        <v>16</v>
      </c>
      <c r="G435" s="53"/>
      <c r="H435" s="52">
        <v>11044</v>
      </c>
      <c r="I435" s="51">
        <v>2</v>
      </c>
    </row>
    <row r="436" spans="1:9" x14ac:dyDescent="0.25">
      <c r="A436" s="56" t="s">
        <v>9</v>
      </c>
      <c r="B436" s="58" t="s">
        <v>56</v>
      </c>
      <c r="C436" s="56" t="s">
        <v>9</v>
      </c>
      <c r="D436" s="56" t="s">
        <v>12</v>
      </c>
      <c r="E436" s="55">
        <v>39023</v>
      </c>
      <c r="F436" s="54">
        <f t="shared" ca="1" si="19"/>
        <v>10</v>
      </c>
      <c r="G436" s="53"/>
      <c r="H436" s="52">
        <v>74020</v>
      </c>
      <c r="I436" s="51">
        <v>2</v>
      </c>
    </row>
    <row r="437" spans="1:9" x14ac:dyDescent="0.25">
      <c r="A437" s="56" t="s">
        <v>9</v>
      </c>
      <c r="B437" s="58" t="s">
        <v>17</v>
      </c>
      <c r="C437" s="56" t="s">
        <v>9</v>
      </c>
      <c r="D437" s="56" t="s">
        <v>12</v>
      </c>
      <c r="E437" s="55">
        <v>39062</v>
      </c>
      <c r="F437" s="54">
        <f t="shared" ca="1" si="19"/>
        <v>9</v>
      </c>
      <c r="G437" s="53"/>
      <c r="H437" s="52">
        <v>75100</v>
      </c>
      <c r="I437" s="51">
        <v>4</v>
      </c>
    </row>
    <row r="438" spans="1:9" x14ac:dyDescent="0.25">
      <c r="A438" s="56" t="s">
        <v>9</v>
      </c>
      <c r="B438" s="58" t="s">
        <v>10</v>
      </c>
      <c r="C438" s="56" t="s">
        <v>9</v>
      </c>
      <c r="D438" s="56" t="s">
        <v>5</v>
      </c>
      <c r="E438" s="55">
        <v>39223</v>
      </c>
      <c r="F438" s="54">
        <f t="shared" ca="1" si="19"/>
        <v>9</v>
      </c>
      <c r="G438" s="53" t="s">
        <v>8</v>
      </c>
      <c r="H438" s="52">
        <v>62180</v>
      </c>
      <c r="I438" s="51">
        <v>2</v>
      </c>
    </row>
    <row r="439" spans="1:9" x14ac:dyDescent="0.25">
      <c r="A439" s="57"/>
      <c r="B439" s="58"/>
      <c r="C439" s="57"/>
      <c r="D439" s="56"/>
      <c r="E439" s="55"/>
      <c r="F439" s="54"/>
      <c r="G439" s="53"/>
      <c r="H439" s="52"/>
      <c r="I439" s="51"/>
    </row>
    <row r="440" spans="1:9" x14ac:dyDescent="0.25">
      <c r="A440" s="56" t="s">
        <v>485</v>
      </c>
      <c r="B440" s="58" t="s">
        <v>39</v>
      </c>
      <c r="C440" s="56" t="s">
        <v>485</v>
      </c>
      <c r="D440" s="56" t="s">
        <v>12</v>
      </c>
      <c r="E440" s="55">
        <v>33098</v>
      </c>
      <c r="F440" s="54">
        <f ca="1">DATEDIF(E440,TODAY(),"Y")</f>
        <v>26</v>
      </c>
      <c r="G440" s="53"/>
      <c r="H440" s="52">
        <v>71700</v>
      </c>
      <c r="I440" s="51">
        <v>2</v>
      </c>
    </row>
    <row r="441" spans="1:9" x14ac:dyDescent="0.25">
      <c r="A441" s="56" t="s">
        <v>485</v>
      </c>
      <c r="B441" s="58" t="s">
        <v>13</v>
      </c>
      <c r="C441" s="56" t="s">
        <v>485</v>
      </c>
      <c r="D441" s="56" t="s">
        <v>5</v>
      </c>
      <c r="E441" s="55">
        <v>33504</v>
      </c>
      <c r="F441" s="54">
        <f ca="1">DATEDIF(E441,TODAY(),"Y")</f>
        <v>25</v>
      </c>
      <c r="G441" s="53" t="s">
        <v>32</v>
      </c>
      <c r="H441" s="52">
        <v>63190</v>
      </c>
      <c r="I441" s="51">
        <v>1</v>
      </c>
    </row>
    <row r="442" spans="1:9" x14ac:dyDescent="0.25">
      <c r="A442" s="56" t="s">
        <v>485</v>
      </c>
      <c r="B442" s="58" t="s">
        <v>39</v>
      </c>
      <c r="C442" s="56" t="s">
        <v>485</v>
      </c>
      <c r="D442" s="56" t="s">
        <v>12</v>
      </c>
      <c r="E442" s="55">
        <v>34141</v>
      </c>
      <c r="F442" s="54">
        <f ca="1">DATEDIF(E442,TODAY(),"Y")</f>
        <v>23</v>
      </c>
      <c r="G442" s="53"/>
      <c r="H442" s="52">
        <v>25120</v>
      </c>
      <c r="I442" s="51">
        <v>2</v>
      </c>
    </row>
    <row r="443" spans="1:9" x14ac:dyDescent="0.25">
      <c r="A443" s="56" t="s">
        <v>485</v>
      </c>
      <c r="B443" s="58" t="s">
        <v>17</v>
      </c>
      <c r="C443" s="56" t="s">
        <v>485</v>
      </c>
      <c r="D443" s="56" t="s">
        <v>12</v>
      </c>
      <c r="E443" s="55">
        <v>34257</v>
      </c>
      <c r="F443" s="54">
        <f ca="1">DATEDIF(E443,TODAY(),"Y")</f>
        <v>23</v>
      </c>
      <c r="G443" s="53"/>
      <c r="H443" s="52">
        <v>44820</v>
      </c>
      <c r="I443" s="51">
        <v>4</v>
      </c>
    </row>
    <row r="444" spans="1:9" x14ac:dyDescent="0.25">
      <c r="A444" s="57"/>
      <c r="B444" s="58"/>
      <c r="C444" s="57"/>
      <c r="D444" s="56"/>
      <c r="E444" s="55"/>
      <c r="F444" s="54"/>
      <c r="G444" s="53"/>
      <c r="H444" s="52"/>
      <c r="I444" s="51"/>
    </row>
    <row r="445" spans="1:9" x14ac:dyDescent="0.25">
      <c r="A445" s="56" t="s">
        <v>28</v>
      </c>
      <c r="B445" s="58" t="s">
        <v>13</v>
      </c>
      <c r="C445" s="56" t="s">
        <v>28</v>
      </c>
      <c r="D445" s="56" t="s">
        <v>5</v>
      </c>
      <c r="E445" s="55">
        <v>32147</v>
      </c>
      <c r="F445" s="54">
        <f t="shared" ref="F445:F488" ca="1" si="20">DATEDIF(E445,TODAY(),"Y")</f>
        <v>28</v>
      </c>
      <c r="G445" s="53" t="s">
        <v>19</v>
      </c>
      <c r="H445" s="52">
        <v>61470</v>
      </c>
      <c r="I445" s="51">
        <v>5</v>
      </c>
    </row>
    <row r="446" spans="1:9" x14ac:dyDescent="0.25">
      <c r="A446" s="56" t="s">
        <v>28</v>
      </c>
      <c r="B446" s="58" t="s">
        <v>17</v>
      </c>
      <c r="C446" s="56" t="s">
        <v>28</v>
      </c>
      <c r="D446" s="56" t="s">
        <v>15</v>
      </c>
      <c r="E446" s="55">
        <v>32192</v>
      </c>
      <c r="F446" s="54">
        <f t="shared" ca="1" si="20"/>
        <v>28</v>
      </c>
      <c r="G446" s="53" t="s">
        <v>34</v>
      </c>
      <c r="H446" s="52">
        <v>35045</v>
      </c>
      <c r="I446" s="51">
        <v>4</v>
      </c>
    </row>
    <row r="447" spans="1:9" x14ac:dyDescent="0.25">
      <c r="A447" s="56" t="s">
        <v>28</v>
      </c>
      <c r="B447" s="58" t="s">
        <v>17</v>
      </c>
      <c r="C447" s="56" t="s">
        <v>28</v>
      </c>
      <c r="D447" s="56" t="s">
        <v>5</v>
      </c>
      <c r="E447" s="55">
        <v>32268</v>
      </c>
      <c r="F447" s="54">
        <f t="shared" ca="1" si="20"/>
        <v>28</v>
      </c>
      <c r="G447" s="53" t="s">
        <v>32</v>
      </c>
      <c r="H447" s="52">
        <v>43580</v>
      </c>
      <c r="I447" s="51">
        <v>5</v>
      </c>
    </row>
    <row r="448" spans="1:9" x14ac:dyDescent="0.25">
      <c r="A448" s="56" t="s">
        <v>28</v>
      </c>
      <c r="B448" s="58" t="s">
        <v>39</v>
      </c>
      <c r="C448" s="56" t="s">
        <v>28</v>
      </c>
      <c r="D448" s="56" t="s">
        <v>5</v>
      </c>
      <c r="E448" s="55">
        <v>32310</v>
      </c>
      <c r="F448" s="54">
        <f t="shared" ca="1" si="20"/>
        <v>28</v>
      </c>
      <c r="G448" s="53" t="s">
        <v>4</v>
      </c>
      <c r="H448" s="52">
        <v>43190</v>
      </c>
      <c r="I448" s="51">
        <v>2</v>
      </c>
    </row>
    <row r="449" spans="1:9" x14ac:dyDescent="0.25">
      <c r="A449" s="56" t="s">
        <v>28</v>
      </c>
      <c r="B449" s="58" t="s">
        <v>39</v>
      </c>
      <c r="C449" s="56" t="s">
        <v>28</v>
      </c>
      <c r="D449" s="56" t="s">
        <v>5</v>
      </c>
      <c r="E449" s="55">
        <v>32326</v>
      </c>
      <c r="F449" s="54">
        <f t="shared" ca="1" si="20"/>
        <v>28</v>
      </c>
      <c r="G449" s="53" t="s">
        <v>32</v>
      </c>
      <c r="H449" s="52">
        <v>26360</v>
      </c>
      <c r="I449" s="51">
        <v>1</v>
      </c>
    </row>
    <row r="450" spans="1:9" x14ac:dyDescent="0.25">
      <c r="A450" s="56" t="s">
        <v>28</v>
      </c>
      <c r="B450" s="58" t="s">
        <v>13</v>
      </c>
      <c r="C450" s="56" t="s">
        <v>28</v>
      </c>
      <c r="D450" s="56" t="s">
        <v>5</v>
      </c>
      <c r="E450" s="55">
        <v>32332</v>
      </c>
      <c r="F450" s="54">
        <f t="shared" ca="1" si="20"/>
        <v>28</v>
      </c>
      <c r="G450" s="53" t="s">
        <v>32</v>
      </c>
      <c r="H450" s="52">
        <v>79770</v>
      </c>
      <c r="I450" s="51">
        <v>4</v>
      </c>
    </row>
    <row r="451" spans="1:9" x14ac:dyDescent="0.25">
      <c r="A451" s="56" t="s">
        <v>28</v>
      </c>
      <c r="B451" s="58" t="s">
        <v>13</v>
      </c>
      <c r="C451" s="56" t="s">
        <v>28</v>
      </c>
      <c r="D451" s="56" t="s">
        <v>12</v>
      </c>
      <c r="E451" s="55">
        <v>32501</v>
      </c>
      <c r="F451" s="54">
        <f t="shared" ca="1" si="20"/>
        <v>27</v>
      </c>
      <c r="G451" s="53"/>
      <c r="H451" s="52">
        <v>32650</v>
      </c>
      <c r="I451" s="51">
        <v>1</v>
      </c>
    </row>
    <row r="452" spans="1:9" x14ac:dyDescent="0.25">
      <c r="A452" s="56" t="s">
        <v>28</v>
      </c>
      <c r="B452" s="58" t="s">
        <v>13</v>
      </c>
      <c r="C452" s="56" t="s">
        <v>28</v>
      </c>
      <c r="D452" s="56" t="s">
        <v>5</v>
      </c>
      <c r="E452" s="55">
        <v>32568</v>
      </c>
      <c r="F452" s="54">
        <f t="shared" ca="1" si="20"/>
        <v>27</v>
      </c>
      <c r="G452" s="53" t="s">
        <v>8</v>
      </c>
      <c r="H452" s="52">
        <v>75370</v>
      </c>
      <c r="I452" s="51">
        <v>2</v>
      </c>
    </row>
    <row r="453" spans="1:9" x14ac:dyDescent="0.25">
      <c r="A453" s="56" t="s">
        <v>28</v>
      </c>
      <c r="B453" s="58" t="s">
        <v>17</v>
      </c>
      <c r="C453" s="56" t="s">
        <v>28</v>
      </c>
      <c r="D453" s="56" t="s">
        <v>5</v>
      </c>
      <c r="E453" s="55">
        <v>32571</v>
      </c>
      <c r="F453" s="54">
        <f t="shared" ca="1" si="20"/>
        <v>27</v>
      </c>
      <c r="G453" s="53" t="s">
        <v>8</v>
      </c>
      <c r="H453" s="52">
        <v>46910</v>
      </c>
      <c r="I453" s="51">
        <v>3</v>
      </c>
    </row>
    <row r="454" spans="1:9" x14ac:dyDescent="0.25">
      <c r="A454" s="56" t="s">
        <v>28</v>
      </c>
      <c r="B454" s="58" t="s">
        <v>13</v>
      </c>
      <c r="C454" s="56" t="s">
        <v>28</v>
      </c>
      <c r="D454" s="56" t="s">
        <v>5</v>
      </c>
      <c r="E454" s="55">
        <v>32618</v>
      </c>
      <c r="F454" s="54">
        <f t="shared" ca="1" si="20"/>
        <v>27</v>
      </c>
      <c r="G454" s="53" t="s">
        <v>34</v>
      </c>
      <c r="H454" s="52">
        <v>68010</v>
      </c>
      <c r="I454" s="51">
        <v>1</v>
      </c>
    </row>
    <row r="455" spans="1:9" x14ac:dyDescent="0.25">
      <c r="A455" s="56" t="s">
        <v>28</v>
      </c>
      <c r="B455" s="58" t="s">
        <v>17</v>
      </c>
      <c r="C455" s="56" t="s">
        <v>28</v>
      </c>
      <c r="D455" s="56" t="s">
        <v>5</v>
      </c>
      <c r="E455" s="55">
        <v>32801</v>
      </c>
      <c r="F455" s="54">
        <f t="shared" ca="1" si="20"/>
        <v>27</v>
      </c>
      <c r="G455" s="53" t="s">
        <v>4</v>
      </c>
      <c r="H455" s="52">
        <v>73030</v>
      </c>
      <c r="I455" s="51">
        <v>5</v>
      </c>
    </row>
    <row r="456" spans="1:9" x14ac:dyDescent="0.25">
      <c r="A456" s="56" t="s">
        <v>28</v>
      </c>
      <c r="B456" s="58" t="s">
        <v>56</v>
      </c>
      <c r="C456" s="56" t="s">
        <v>28</v>
      </c>
      <c r="D456" s="56" t="s">
        <v>12</v>
      </c>
      <c r="E456" s="55">
        <v>33192</v>
      </c>
      <c r="F456" s="54">
        <f t="shared" ca="1" si="20"/>
        <v>25</v>
      </c>
      <c r="G456" s="53"/>
      <c r="H456" s="52">
        <v>66710</v>
      </c>
      <c r="I456" s="51">
        <v>2</v>
      </c>
    </row>
    <row r="457" spans="1:9" x14ac:dyDescent="0.25">
      <c r="A457" s="56" t="s">
        <v>28</v>
      </c>
      <c r="B457" s="58" t="s">
        <v>56</v>
      </c>
      <c r="C457" s="56" t="s">
        <v>28</v>
      </c>
      <c r="D457" s="56" t="s">
        <v>15</v>
      </c>
      <c r="E457" s="55">
        <v>33307</v>
      </c>
      <c r="F457" s="54">
        <f t="shared" ca="1" si="20"/>
        <v>25</v>
      </c>
      <c r="G457" s="53" t="s">
        <v>32</v>
      </c>
      <c r="H457" s="52">
        <v>13435</v>
      </c>
      <c r="I457" s="51">
        <v>1</v>
      </c>
    </row>
    <row r="458" spans="1:9" x14ac:dyDescent="0.25">
      <c r="A458" s="56" t="s">
        <v>28</v>
      </c>
      <c r="B458" s="58" t="s">
        <v>10</v>
      </c>
      <c r="C458" s="56" t="s">
        <v>28</v>
      </c>
      <c r="D458" s="56" t="s">
        <v>5</v>
      </c>
      <c r="E458" s="55">
        <v>33392</v>
      </c>
      <c r="F458" s="54">
        <f t="shared" ca="1" si="20"/>
        <v>25</v>
      </c>
      <c r="G458" s="53" t="s">
        <v>32</v>
      </c>
      <c r="H458" s="52">
        <v>87030</v>
      </c>
      <c r="I458" s="51">
        <v>3</v>
      </c>
    </row>
    <row r="459" spans="1:9" x14ac:dyDescent="0.25">
      <c r="A459" s="56" t="s">
        <v>28</v>
      </c>
      <c r="B459" s="58" t="s">
        <v>13</v>
      </c>
      <c r="C459" s="56" t="s">
        <v>28</v>
      </c>
      <c r="D459" s="56" t="s">
        <v>5</v>
      </c>
      <c r="E459" s="55">
        <v>33427</v>
      </c>
      <c r="F459" s="54">
        <f t="shared" ca="1" si="20"/>
        <v>25</v>
      </c>
      <c r="G459" s="53" t="s">
        <v>32</v>
      </c>
      <c r="H459" s="52">
        <v>88850</v>
      </c>
      <c r="I459" s="51">
        <v>3</v>
      </c>
    </row>
    <row r="460" spans="1:9" x14ac:dyDescent="0.25">
      <c r="A460" s="56" t="s">
        <v>28</v>
      </c>
      <c r="B460" s="58" t="s">
        <v>2</v>
      </c>
      <c r="C460" s="56" t="s">
        <v>28</v>
      </c>
      <c r="D460" s="56" t="s">
        <v>5</v>
      </c>
      <c r="E460" s="55">
        <v>33430</v>
      </c>
      <c r="F460" s="54">
        <f t="shared" ca="1" si="20"/>
        <v>25</v>
      </c>
      <c r="G460" s="53" t="s">
        <v>19</v>
      </c>
      <c r="H460" s="52">
        <v>77840</v>
      </c>
      <c r="I460" s="51">
        <v>2</v>
      </c>
    </row>
    <row r="461" spans="1:9" x14ac:dyDescent="0.25">
      <c r="A461" s="56" t="s">
        <v>28</v>
      </c>
      <c r="B461" s="58" t="s">
        <v>17</v>
      </c>
      <c r="C461" s="56" t="s">
        <v>28</v>
      </c>
      <c r="D461" s="56" t="s">
        <v>5</v>
      </c>
      <c r="E461" s="55">
        <v>33591</v>
      </c>
      <c r="F461" s="54">
        <f t="shared" ca="1" si="20"/>
        <v>24</v>
      </c>
      <c r="G461" s="53" t="s">
        <v>32</v>
      </c>
      <c r="H461" s="52">
        <v>25830</v>
      </c>
      <c r="I461" s="51">
        <v>5</v>
      </c>
    </row>
    <row r="462" spans="1:9" x14ac:dyDescent="0.25">
      <c r="A462" s="56" t="s">
        <v>28</v>
      </c>
      <c r="B462" s="58" t="s">
        <v>10</v>
      </c>
      <c r="C462" s="56" t="s">
        <v>28</v>
      </c>
      <c r="D462" s="56" t="s">
        <v>5</v>
      </c>
      <c r="E462" s="55">
        <v>33823</v>
      </c>
      <c r="F462" s="54">
        <f t="shared" ca="1" si="20"/>
        <v>24</v>
      </c>
      <c r="G462" s="53" t="s">
        <v>4</v>
      </c>
      <c r="H462" s="52">
        <v>63080</v>
      </c>
      <c r="I462" s="51">
        <v>5</v>
      </c>
    </row>
    <row r="463" spans="1:9" x14ac:dyDescent="0.25">
      <c r="A463" s="56" t="s">
        <v>28</v>
      </c>
      <c r="B463" s="58" t="s">
        <v>39</v>
      </c>
      <c r="C463" s="56" t="s">
        <v>28</v>
      </c>
      <c r="D463" s="56" t="s">
        <v>5</v>
      </c>
      <c r="E463" s="55">
        <v>34029</v>
      </c>
      <c r="F463" s="54">
        <f t="shared" ca="1" si="20"/>
        <v>23</v>
      </c>
      <c r="G463" s="53" t="s">
        <v>4</v>
      </c>
      <c r="H463" s="52">
        <v>43410</v>
      </c>
      <c r="I463" s="51">
        <v>1</v>
      </c>
    </row>
    <row r="464" spans="1:9" x14ac:dyDescent="0.25">
      <c r="A464" s="56" t="s">
        <v>28</v>
      </c>
      <c r="B464" s="58" t="s">
        <v>13</v>
      </c>
      <c r="C464" s="56" t="s">
        <v>28</v>
      </c>
      <c r="D464" s="56" t="s">
        <v>5</v>
      </c>
      <c r="E464" s="55">
        <v>34069</v>
      </c>
      <c r="F464" s="54">
        <f t="shared" ca="1" si="20"/>
        <v>23</v>
      </c>
      <c r="G464" s="53" t="s">
        <v>8</v>
      </c>
      <c r="H464" s="52">
        <v>67230</v>
      </c>
      <c r="I464" s="51">
        <v>4</v>
      </c>
    </row>
    <row r="465" spans="1:9" x14ac:dyDescent="0.25">
      <c r="A465" s="56" t="s">
        <v>28</v>
      </c>
      <c r="B465" s="58" t="s">
        <v>17</v>
      </c>
      <c r="C465" s="56" t="s">
        <v>28</v>
      </c>
      <c r="D465" s="56" t="s">
        <v>5</v>
      </c>
      <c r="E465" s="55">
        <v>34102</v>
      </c>
      <c r="F465" s="54">
        <f t="shared" ca="1" si="20"/>
        <v>23</v>
      </c>
      <c r="G465" s="53" t="s">
        <v>34</v>
      </c>
      <c r="H465" s="52">
        <v>77950</v>
      </c>
      <c r="I465" s="51">
        <v>4</v>
      </c>
    </row>
    <row r="466" spans="1:9" x14ac:dyDescent="0.25">
      <c r="A466" s="56" t="s">
        <v>28</v>
      </c>
      <c r="B466" s="58" t="s">
        <v>13</v>
      </c>
      <c r="C466" s="56" t="s">
        <v>28</v>
      </c>
      <c r="D466" s="56" t="s">
        <v>5</v>
      </c>
      <c r="E466" s="55">
        <v>34593</v>
      </c>
      <c r="F466" s="54">
        <f t="shared" ca="1" si="20"/>
        <v>22</v>
      </c>
      <c r="G466" s="53" t="s">
        <v>32</v>
      </c>
      <c r="H466" s="52">
        <v>68520</v>
      </c>
      <c r="I466" s="51">
        <v>5</v>
      </c>
    </row>
    <row r="467" spans="1:9" x14ac:dyDescent="0.25">
      <c r="A467" s="56" t="s">
        <v>28</v>
      </c>
      <c r="B467" s="58" t="s">
        <v>10</v>
      </c>
      <c r="C467" s="56" t="s">
        <v>28</v>
      </c>
      <c r="D467" s="56" t="s">
        <v>12</v>
      </c>
      <c r="E467" s="55">
        <v>34611</v>
      </c>
      <c r="F467" s="54">
        <f t="shared" ca="1" si="20"/>
        <v>22</v>
      </c>
      <c r="G467" s="53"/>
      <c r="H467" s="52">
        <v>63330</v>
      </c>
      <c r="I467" s="51">
        <v>4</v>
      </c>
    </row>
    <row r="468" spans="1:9" x14ac:dyDescent="0.25">
      <c r="A468" s="56" t="s">
        <v>28</v>
      </c>
      <c r="B468" s="58" t="s">
        <v>17</v>
      </c>
      <c r="C468" s="56" t="s">
        <v>28</v>
      </c>
      <c r="D468" s="56" t="s">
        <v>5</v>
      </c>
      <c r="E468" s="55">
        <v>34659</v>
      </c>
      <c r="F468" s="54">
        <f t="shared" ca="1" si="20"/>
        <v>21</v>
      </c>
      <c r="G468" s="53" t="s">
        <v>32</v>
      </c>
      <c r="H468" s="52">
        <v>74530</v>
      </c>
      <c r="I468" s="51">
        <v>5</v>
      </c>
    </row>
    <row r="469" spans="1:9" x14ac:dyDescent="0.25">
      <c r="A469" s="56" t="s">
        <v>28</v>
      </c>
      <c r="B469" s="58" t="s">
        <v>17</v>
      </c>
      <c r="C469" s="56" t="s">
        <v>28</v>
      </c>
      <c r="D469" s="56" t="s">
        <v>0</v>
      </c>
      <c r="E469" s="55">
        <v>35019</v>
      </c>
      <c r="F469" s="54">
        <f t="shared" ca="1" si="20"/>
        <v>20</v>
      </c>
      <c r="G469" s="53"/>
      <c r="H469" s="52">
        <v>39764</v>
      </c>
      <c r="I469" s="51">
        <v>1</v>
      </c>
    </row>
    <row r="470" spans="1:9" x14ac:dyDescent="0.25">
      <c r="A470" s="56" t="s">
        <v>28</v>
      </c>
      <c r="B470" s="58" t="s">
        <v>17</v>
      </c>
      <c r="C470" s="56" t="s">
        <v>28</v>
      </c>
      <c r="D470" s="56" t="s">
        <v>12</v>
      </c>
      <c r="E470" s="55">
        <v>35313</v>
      </c>
      <c r="F470" s="54">
        <f t="shared" ca="1" si="20"/>
        <v>20</v>
      </c>
      <c r="G470" s="53"/>
      <c r="H470" s="52">
        <v>30300</v>
      </c>
      <c r="I470" s="51">
        <v>1</v>
      </c>
    </row>
    <row r="471" spans="1:9" x14ac:dyDescent="0.25">
      <c r="A471" s="56" t="s">
        <v>28</v>
      </c>
      <c r="B471" s="58" t="s">
        <v>13</v>
      </c>
      <c r="C471" s="56" t="s">
        <v>28</v>
      </c>
      <c r="D471" s="56" t="s">
        <v>15</v>
      </c>
      <c r="E471" s="55">
        <v>35385</v>
      </c>
      <c r="F471" s="54">
        <f t="shared" ca="1" si="20"/>
        <v>19</v>
      </c>
      <c r="G471" s="53" t="s">
        <v>4</v>
      </c>
      <c r="H471" s="52">
        <v>29005</v>
      </c>
      <c r="I471" s="51">
        <v>1</v>
      </c>
    </row>
    <row r="472" spans="1:9" x14ac:dyDescent="0.25">
      <c r="A472" s="56" t="s">
        <v>28</v>
      </c>
      <c r="B472" s="58" t="s">
        <v>39</v>
      </c>
      <c r="C472" s="56" t="s">
        <v>28</v>
      </c>
      <c r="D472" s="56" t="s">
        <v>15</v>
      </c>
      <c r="E472" s="55">
        <v>36160</v>
      </c>
      <c r="F472" s="54">
        <f t="shared" ca="1" si="20"/>
        <v>17</v>
      </c>
      <c r="G472" s="53" t="s">
        <v>32</v>
      </c>
      <c r="H472" s="52">
        <v>33810</v>
      </c>
      <c r="I472" s="51">
        <v>5</v>
      </c>
    </row>
    <row r="473" spans="1:9" x14ac:dyDescent="0.25">
      <c r="A473" s="56" t="s">
        <v>28</v>
      </c>
      <c r="B473" s="58" t="s">
        <v>17</v>
      </c>
      <c r="C473" s="56" t="s">
        <v>28</v>
      </c>
      <c r="D473" s="56" t="s">
        <v>0</v>
      </c>
      <c r="E473" s="55">
        <v>36401</v>
      </c>
      <c r="F473" s="54">
        <f t="shared" ca="1" si="20"/>
        <v>17</v>
      </c>
      <c r="G473" s="53"/>
      <c r="H473" s="52">
        <v>21648</v>
      </c>
      <c r="I473" s="51">
        <v>2</v>
      </c>
    </row>
    <row r="474" spans="1:9" x14ac:dyDescent="0.25">
      <c r="A474" s="56" t="s">
        <v>28</v>
      </c>
      <c r="B474" s="58" t="s">
        <v>13</v>
      </c>
      <c r="C474" s="56" t="s">
        <v>28</v>
      </c>
      <c r="D474" s="56" t="s">
        <v>0</v>
      </c>
      <c r="E474" s="55">
        <v>36834</v>
      </c>
      <c r="F474" s="54">
        <f t="shared" ca="1" si="20"/>
        <v>15</v>
      </c>
      <c r="G474" s="53"/>
      <c r="H474" s="52">
        <v>33512</v>
      </c>
      <c r="I474" s="51">
        <v>4</v>
      </c>
    </row>
    <row r="475" spans="1:9" x14ac:dyDescent="0.25">
      <c r="A475" s="56" t="s">
        <v>28</v>
      </c>
      <c r="B475" s="58" t="s">
        <v>17</v>
      </c>
      <c r="C475" s="56" t="s">
        <v>28</v>
      </c>
      <c r="D475" s="56" t="s">
        <v>5</v>
      </c>
      <c r="E475" s="55">
        <v>36917</v>
      </c>
      <c r="F475" s="54">
        <f t="shared" ca="1" si="20"/>
        <v>15</v>
      </c>
      <c r="G475" s="53" t="s">
        <v>4</v>
      </c>
      <c r="H475" s="52">
        <v>86200</v>
      </c>
      <c r="I475" s="51">
        <v>3</v>
      </c>
    </row>
    <row r="476" spans="1:9" x14ac:dyDescent="0.25">
      <c r="A476" s="56" t="s">
        <v>28</v>
      </c>
      <c r="B476" s="58" t="s">
        <v>13</v>
      </c>
      <c r="C476" s="56" t="s">
        <v>28</v>
      </c>
      <c r="D476" s="56" t="s">
        <v>5</v>
      </c>
      <c r="E476" s="55">
        <v>37497</v>
      </c>
      <c r="F476" s="54">
        <f t="shared" ca="1" si="20"/>
        <v>14</v>
      </c>
      <c r="G476" s="53" t="s">
        <v>32</v>
      </c>
      <c r="H476" s="52">
        <v>47060</v>
      </c>
      <c r="I476" s="51">
        <v>4</v>
      </c>
    </row>
    <row r="477" spans="1:9" x14ac:dyDescent="0.25">
      <c r="A477" s="56" t="s">
        <v>28</v>
      </c>
      <c r="B477" s="58" t="s">
        <v>13</v>
      </c>
      <c r="C477" s="56" t="s">
        <v>28</v>
      </c>
      <c r="D477" s="56" t="s">
        <v>5</v>
      </c>
      <c r="E477" s="55">
        <v>37606</v>
      </c>
      <c r="F477" s="54">
        <f t="shared" ca="1" si="20"/>
        <v>13</v>
      </c>
      <c r="G477" s="53" t="s">
        <v>34</v>
      </c>
      <c r="H477" s="52">
        <v>27560</v>
      </c>
      <c r="I477" s="51">
        <v>2</v>
      </c>
    </row>
    <row r="478" spans="1:9" x14ac:dyDescent="0.25">
      <c r="A478" s="56" t="s">
        <v>28</v>
      </c>
      <c r="B478" s="58" t="s">
        <v>56</v>
      </c>
      <c r="C478" s="56" t="s">
        <v>28</v>
      </c>
      <c r="D478" s="56" t="s">
        <v>15</v>
      </c>
      <c r="E478" s="55">
        <v>37989</v>
      </c>
      <c r="F478" s="54">
        <f t="shared" ca="1" si="20"/>
        <v>12</v>
      </c>
      <c r="G478" s="53" t="s">
        <v>8</v>
      </c>
      <c r="H478" s="52">
        <v>47760</v>
      </c>
      <c r="I478" s="51">
        <v>3</v>
      </c>
    </row>
    <row r="479" spans="1:9" x14ac:dyDescent="0.25">
      <c r="A479" s="56" t="s">
        <v>28</v>
      </c>
      <c r="B479" s="58" t="s">
        <v>13</v>
      </c>
      <c r="C479" s="56" t="s">
        <v>28</v>
      </c>
      <c r="D479" s="56" t="s">
        <v>5</v>
      </c>
      <c r="E479" s="55">
        <v>38094</v>
      </c>
      <c r="F479" s="54">
        <f t="shared" ca="1" si="20"/>
        <v>12</v>
      </c>
      <c r="G479" s="53" t="s">
        <v>19</v>
      </c>
      <c r="H479" s="52">
        <v>50990</v>
      </c>
      <c r="I479" s="51">
        <v>4</v>
      </c>
    </row>
    <row r="480" spans="1:9" x14ac:dyDescent="0.25">
      <c r="A480" s="56" t="s">
        <v>28</v>
      </c>
      <c r="B480" s="58" t="s">
        <v>39</v>
      </c>
      <c r="C480" s="56" t="s">
        <v>28</v>
      </c>
      <c r="D480" s="56" t="s">
        <v>5</v>
      </c>
      <c r="E480" s="55">
        <v>38347</v>
      </c>
      <c r="F480" s="54">
        <f t="shared" ca="1" si="20"/>
        <v>11</v>
      </c>
      <c r="G480" s="53" t="s">
        <v>8</v>
      </c>
      <c r="H480" s="52">
        <v>80880</v>
      </c>
      <c r="I480" s="51">
        <v>1</v>
      </c>
    </row>
    <row r="481" spans="1:9" x14ac:dyDescent="0.25">
      <c r="A481" s="56" t="s">
        <v>28</v>
      </c>
      <c r="B481" s="58" t="s">
        <v>2</v>
      </c>
      <c r="C481" s="56" t="s">
        <v>28</v>
      </c>
      <c r="D481" s="56" t="s">
        <v>5</v>
      </c>
      <c r="E481" s="55">
        <v>38368</v>
      </c>
      <c r="F481" s="54">
        <f t="shared" ca="1" si="20"/>
        <v>11</v>
      </c>
      <c r="G481" s="53" t="s">
        <v>4</v>
      </c>
      <c r="H481" s="52">
        <v>80090</v>
      </c>
      <c r="I481" s="51">
        <v>2</v>
      </c>
    </row>
    <row r="482" spans="1:9" x14ac:dyDescent="0.25">
      <c r="A482" s="56" t="s">
        <v>28</v>
      </c>
      <c r="B482" s="58" t="s">
        <v>10</v>
      </c>
      <c r="C482" s="56" t="s">
        <v>28</v>
      </c>
      <c r="D482" s="56" t="s">
        <v>12</v>
      </c>
      <c r="E482" s="55">
        <v>38473</v>
      </c>
      <c r="F482" s="54">
        <f t="shared" ca="1" si="20"/>
        <v>11</v>
      </c>
      <c r="G482" s="53"/>
      <c r="H482" s="52">
        <v>54000</v>
      </c>
      <c r="I482" s="51">
        <v>3</v>
      </c>
    </row>
    <row r="483" spans="1:9" x14ac:dyDescent="0.25">
      <c r="A483" s="56" t="s">
        <v>28</v>
      </c>
      <c r="B483" s="58" t="s">
        <v>56</v>
      </c>
      <c r="C483" s="56" t="s">
        <v>28</v>
      </c>
      <c r="D483" s="56" t="s">
        <v>5</v>
      </c>
      <c r="E483" s="55">
        <v>39060</v>
      </c>
      <c r="F483" s="54">
        <f t="shared" ca="1" si="20"/>
        <v>9</v>
      </c>
      <c r="G483" s="53" t="s">
        <v>32</v>
      </c>
      <c r="H483" s="52">
        <v>66840</v>
      </c>
      <c r="I483" s="51">
        <v>4</v>
      </c>
    </row>
    <row r="484" spans="1:9" x14ac:dyDescent="0.25">
      <c r="A484" s="56" t="s">
        <v>28</v>
      </c>
      <c r="B484" s="58" t="s">
        <v>2</v>
      </c>
      <c r="C484" s="56" t="s">
        <v>28</v>
      </c>
      <c r="D484" s="56" t="s">
        <v>15</v>
      </c>
      <c r="E484" s="59">
        <v>39083</v>
      </c>
      <c r="F484" s="54">
        <f t="shared" ca="1" si="20"/>
        <v>9</v>
      </c>
      <c r="G484" s="53" t="s">
        <v>32</v>
      </c>
      <c r="H484" s="52">
        <v>16925</v>
      </c>
      <c r="I484" s="51">
        <v>1</v>
      </c>
    </row>
    <row r="485" spans="1:9" x14ac:dyDescent="0.25">
      <c r="A485" s="56" t="s">
        <v>28</v>
      </c>
      <c r="B485" s="58" t="s">
        <v>39</v>
      </c>
      <c r="C485" s="56" t="s">
        <v>28</v>
      </c>
      <c r="D485" s="56" t="s">
        <v>0</v>
      </c>
      <c r="E485" s="59">
        <v>39093</v>
      </c>
      <c r="F485" s="54">
        <f t="shared" ca="1" si="20"/>
        <v>9</v>
      </c>
      <c r="G485" s="53"/>
      <c r="H485" s="52">
        <v>15056</v>
      </c>
      <c r="I485" s="51">
        <v>5</v>
      </c>
    </row>
    <row r="486" spans="1:9" x14ac:dyDescent="0.25">
      <c r="A486" s="56" t="s">
        <v>28</v>
      </c>
      <c r="B486" s="58" t="s">
        <v>17</v>
      </c>
      <c r="C486" s="56" t="s">
        <v>28</v>
      </c>
      <c r="D486" s="56" t="s">
        <v>0</v>
      </c>
      <c r="E486" s="59">
        <v>39142</v>
      </c>
      <c r="F486" s="54">
        <f t="shared" ca="1" si="20"/>
        <v>9</v>
      </c>
      <c r="G486" s="53"/>
      <c r="H486" s="52">
        <v>9180</v>
      </c>
      <c r="I486" s="51">
        <v>3</v>
      </c>
    </row>
    <row r="487" spans="1:9" x14ac:dyDescent="0.25">
      <c r="A487" s="56" t="s">
        <v>28</v>
      </c>
      <c r="B487" s="58" t="s">
        <v>56</v>
      </c>
      <c r="C487" s="56" t="s">
        <v>28</v>
      </c>
      <c r="D487" s="56" t="s">
        <v>12</v>
      </c>
      <c r="E487" s="55">
        <v>39158</v>
      </c>
      <c r="F487" s="54">
        <f t="shared" ca="1" si="20"/>
        <v>9</v>
      </c>
      <c r="G487" s="53"/>
      <c r="H487" s="52">
        <v>39440</v>
      </c>
      <c r="I487" s="51">
        <v>4</v>
      </c>
    </row>
    <row r="488" spans="1:9" x14ac:dyDescent="0.25">
      <c r="A488" s="56" t="s">
        <v>28</v>
      </c>
      <c r="B488" s="58" t="s">
        <v>56</v>
      </c>
      <c r="C488" s="56" t="s">
        <v>28</v>
      </c>
      <c r="D488" s="56" t="s">
        <v>12</v>
      </c>
      <c r="E488" s="59">
        <v>39310</v>
      </c>
      <c r="F488" s="54">
        <f t="shared" ca="1" si="20"/>
        <v>9</v>
      </c>
      <c r="G488" s="53"/>
      <c r="H488" s="52">
        <v>84300</v>
      </c>
      <c r="I488" s="51">
        <v>1</v>
      </c>
    </row>
    <row r="489" spans="1:9" x14ac:dyDescent="0.25">
      <c r="A489" s="57"/>
      <c r="B489" s="58"/>
      <c r="C489" s="57"/>
      <c r="D489" s="56"/>
      <c r="E489" s="59"/>
      <c r="F489" s="54"/>
      <c r="G489" s="53"/>
      <c r="H489" s="52"/>
      <c r="I489" s="51"/>
    </row>
    <row r="490" spans="1:9" x14ac:dyDescent="0.25">
      <c r="A490" s="56" t="s">
        <v>74</v>
      </c>
      <c r="B490" s="58" t="s">
        <v>13</v>
      </c>
      <c r="C490" s="56" t="s">
        <v>74</v>
      </c>
      <c r="D490" s="56" t="s">
        <v>15</v>
      </c>
      <c r="E490" s="55">
        <v>31802</v>
      </c>
      <c r="F490" s="54">
        <f t="shared" ref="F490:F505" ca="1" si="21">DATEDIF(E490,TODAY(),"Y")</f>
        <v>29</v>
      </c>
      <c r="G490" s="53" t="s">
        <v>19</v>
      </c>
      <c r="H490" s="52">
        <v>24815</v>
      </c>
      <c r="I490" s="51">
        <v>1</v>
      </c>
    </row>
    <row r="491" spans="1:9" x14ac:dyDescent="0.25">
      <c r="A491" s="56" t="s">
        <v>74</v>
      </c>
      <c r="B491" s="58" t="s">
        <v>17</v>
      </c>
      <c r="C491" s="56" t="s">
        <v>74</v>
      </c>
      <c r="D491" s="56" t="s">
        <v>5</v>
      </c>
      <c r="E491" s="55">
        <v>31803</v>
      </c>
      <c r="F491" s="54">
        <f t="shared" ca="1" si="21"/>
        <v>29</v>
      </c>
      <c r="G491" s="53" t="s">
        <v>32</v>
      </c>
      <c r="H491" s="52">
        <v>32600</v>
      </c>
      <c r="I491" s="51">
        <v>5</v>
      </c>
    </row>
    <row r="492" spans="1:9" x14ac:dyDescent="0.25">
      <c r="A492" s="56" t="s">
        <v>74</v>
      </c>
      <c r="B492" s="58" t="s">
        <v>13</v>
      </c>
      <c r="C492" s="56" t="s">
        <v>74</v>
      </c>
      <c r="D492" s="56" t="s">
        <v>0</v>
      </c>
      <c r="E492" s="55">
        <v>31848</v>
      </c>
      <c r="F492" s="54">
        <f t="shared" ca="1" si="21"/>
        <v>29</v>
      </c>
      <c r="G492" s="53"/>
      <c r="H492" s="52">
        <v>33232</v>
      </c>
      <c r="I492" s="51">
        <v>4</v>
      </c>
    </row>
    <row r="493" spans="1:9" x14ac:dyDescent="0.25">
      <c r="A493" s="56" t="s">
        <v>74</v>
      </c>
      <c r="B493" s="58" t="s">
        <v>39</v>
      </c>
      <c r="C493" s="56" t="s">
        <v>74</v>
      </c>
      <c r="D493" s="56" t="s">
        <v>15</v>
      </c>
      <c r="E493" s="55">
        <v>31850</v>
      </c>
      <c r="F493" s="54">
        <f t="shared" ca="1" si="21"/>
        <v>29</v>
      </c>
      <c r="G493" s="53" t="s">
        <v>34</v>
      </c>
      <c r="H493" s="52">
        <v>39620</v>
      </c>
      <c r="I493" s="51">
        <v>5</v>
      </c>
    </row>
    <row r="494" spans="1:9" x14ac:dyDescent="0.25">
      <c r="A494" s="56" t="s">
        <v>74</v>
      </c>
      <c r="B494" s="58" t="s">
        <v>2</v>
      </c>
      <c r="C494" s="56" t="s">
        <v>74</v>
      </c>
      <c r="D494" s="56" t="s">
        <v>5</v>
      </c>
      <c r="E494" s="55">
        <v>31869</v>
      </c>
      <c r="F494" s="54">
        <f t="shared" ca="1" si="21"/>
        <v>29</v>
      </c>
      <c r="G494" s="53" t="s">
        <v>4</v>
      </c>
      <c r="H494" s="52">
        <v>43110</v>
      </c>
      <c r="I494" s="51">
        <v>2</v>
      </c>
    </row>
    <row r="495" spans="1:9" x14ac:dyDescent="0.25">
      <c r="A495" s="56" t="s">
        <v>74</v>
      </c>
      <c r="B495" s="58" t="s">
        <v>13</v>
      </c>
      <c r="C495" s="56" t="s">
        <v>74</v>
      </c>
      <c r="D495" s="56" t="s">
        <v>5</v>
      </c>
      <c r="E495" s="55">
        <v>31876</v>
      </c>
      <c r="F495" s="54">
        <f t="shared" ca="1" si="21"/>
        <v>29</v>
      </c>
      <c r="G495" s="53" t="s">
        <v>32</v>
      </c>
      <c r="H495" s="52">
        <v>40940</v>
      </c>
      <c r="I495" s="51">
        <v>3</v>
      </c>
    </row>
    <row r="496" spans="1:9" x14ac:dyDescent="0.25">
      <c r="A496" s="56" t="s">
        <v>74</v>
      </c>
      <c r="B496" s="58" t="s">
        <v>13</v>
      </c>
      <c r="C496" s="56" t="s">
        <v>74</v>
      </c>
      <c r="D496" s="56" t="s">
        <v>5</v>
      </c>
      <c r="E496" s="55">
        <v>31936</v>
      </c>
      <c r="F496" s="54">
        <f t="shared" ca="1" si="21"/>
        <v>29</v>
      </c>
      <c r="G496" s="53" t="s">
        <v>32</v>
      </c>
      <c r="H496" s="52">
        <v>71730</v>
      </c>
      <c r="I496" s="51">
        <v>1</v>
      </c>
    </row>
    <row r="497" spans="1:9" x14ac:dyDescent="0.25">
      <c r="A497" s="56" t="s">
        <v>74</v>
      </c>
      <c r="B497" s="58" t="s">
        <v>13</v>
      </c>
      <c r="C497" s="56" t="s">
        <v>74</v>
      </c>
      <c r="D497" s="56" t="s">
        <v>5</v>
      </c>
      <c r="E497" s="55">
        <v>31970</v>
      </c>
      <c r="F497" s="54">
        <f t="shared" ca="1" si="21"/>
        <v>29</v>
      </c>
      <c r="G497" s="53" t="s">
        <v>32</v>
      </c>
      <c r="H497" s="52">
        <v>87950</v>
      </c>
      <c r="I497" s="51">
        <v>4</v>
      </c>
    </row>
    <row r="498" spans="1:9" x14ac:dyDescent="0.25">
      <c r="A498" s="56" t="s">
        <v>74</v>
      </c>
      <c r="B498" s="58" t="s">
        <v>56</v>
      </c>
      <c r="C498" s="56" t="s">
        <v>74</v>
      </c>
      <c r="D498" s="56" t="s">
        <v>12</v>
      </c>
      <c r="E498" s="55">
        <v>31976</v>
      </c>
      <c r="F498" s="54">
        <f t="shared" ca="1" si="21"/>
        <v>29</v>
      </c>
      <c r="G498" s="53"/>
      <c r="H498" s="52">
        <v>49070</v>
      </c>
      <c r="I498" s="51">
        <v>3</v>
      </c>
    </row>
    <row r="499" spans="1:9" x14ac:dyDescent="0.25">
      <c r="A499" s="56" t="s">
        <v>74</v>
      </c>
      <c r="B499" s="58" t="s">
        <v>17</v>
      </c>
      <c r="C499" s="56" t="s">
        <v>74</v>
      </c>
      <c r="D499" s="56" t="s">
        <v>5</v>
      </c>
      <c r="E499" s="55">
        <v>32010</v>
      </c>
      <c r="F499" s="54">
        <f t="shared" ca="1" si="21"/>
        <v>29</v>
      </c>
      <c r="G499" s="53" t="s">
        <v>8</v>
      </c>
      <c r="H499" s="52">
        <v>35320</v>
      </c>
      <c r="I499" s="51">
        <v>3</v>
      </c>
    </row>
    <row r="500" spans="1:9" x14ac:dyDescent="0.25">
      <c r="A500" s="56" t="s">
        <v>74</v>
      </c>
      <c r="B500" s="58" t="s">
        <v>13</v>
      </c>
      <c r="C500" s="56" t="s">
        <v>74</v>
      </c>
      <c r="D500" s="56" t="s">
        <v>15</v>
      </c>
      <c r="E500" s="55">
        <v>32039</v>
      </c>
      <c r="F500" s="54">
        <f t="shared" ca="1" si="21"/>
        <v>29</v>
      </c>
      <c r="G500" s="53" t="s">
        <v>8</v>
      </c>
      <c r="H500" s="52">
        <v>16015</v>
      </c>
      <c r="I500" s="51">
        <v>3</v>
      </c>
    </row>
    <row r="501" spans="1:9" x14ac:dyDescent="0.25">
      <c r="A501" s="56" t="s">
        <v>74</v>
      </c>
      <c r="B501" s="58" t="s">
        <v>17</v>
      </c>
      <c r="C501" s="56" t="s">
        <v>74</v>
      </c>
      <c r="D501" s="56" t="s">
        <v>5</v>
      </c>
      <c r="E501" s="55">
        <v>32130</v>
      </c>
      <c r="F501" s="54">
        <f t="shared" ca="1" si="21"/>
        <v>28</v>
      </c>
      <c r="G501" s="53" t="s">
        <v>32</v>
      </c>
      <c r="H501" s="52">
        <v>69400</v>
      </c>
      <c r="I501" s="51">
        <v>5</v>
      </c>
    </row>
    <row r="502" spans="1:9" x14ac:dyDescent="0.25">
      <c r="A502" s="56" t="s">
        <v>74</v>
      </c>
      <c r="B502" s="58" t="s">
        <v>17</v>
      </c>
      <c r="C502" s="56" t="s">
        <v>74</v>
      </c>
      <c r="D502" s="56" t="s">
        <v>5</v>
      </c>
      <c r="E502" s="55">
        <v>32150</v>
      </c>
      <c r="F502" s="54">
        <f t="shared" ca="1" si="21"/>
        <v>28</v>
      </c>
      <c r="G502" s="53" t="s">
        <v>4</v>
      </c>
      <c r="H502" s="52">
        <v>77720</v>
      </c>
      <c r="I502" s="51">
        <v>3</v>
      </c>
    </row>
    <row r="503" spans="1:9" x14ac:dyDescent="0.25">
      <c r="A503" s="56" t="s">
        <v>74</v>
      </c>
      <c r="B503" s="58" t="s">
        <v>2</v>
      </c>
      <c r="C503" s="56" t="s">
        <v>74</v>
      </c>
      <c r="D503" s="56" t="s">
        <v>5</v>
      </c>
      <c r="E503" s="55">
        <v>32203</v>
      </c>
      <c r="F503" s="54">
        <f t="shared" ca="1" si="21"/>
        <v>28</v>
      </c>
      <c r="G503" s="53" t="s">
        <v>19</v>
      </c>
      <c r="H503" s="52">
        <v>44560</v>
      </c>
      <c r="I503" s="51">
        <v>2</v>
      </c>
    </row>
    <row r="504" spans="1:9" x14ac:dyDescent="0.25">
      <c r="A504" s="56" t="s">
        <v>74</v>
      </c>
      <c r="B504" s="58" t="s">
        <v>17</v>
      </c>
      <c r="C504" s="56" t="s">
        <v>74</v>
      </c>
      <c r="D504" s="56" t="s">
        <v>5</v>
      </c>
      <c r="E504" s="55">
        <v>32226</v>
      </c>
      <c r="F504" s="54">
        <f t="shared" ca="1" si="21"/>
        <v>28</v>
      </c>
      <c r="G504" s="53" t="s">
        <v>32</v>
      </c>
      <c r="H504" s="52">
        <v>81530</v>
      </c>
      <c r="I504" s="51">
        <v>5</v>
      </c>
    </row>
    <row r="505" spans="1:9" x14ac:dyDescent="0.25">
      <c r="A505" s="56" t="s">
        <v>74</v>
      </c>
      <c r="B505" s="58" t="s">
        <v>39</v>
      </c>
      <c r="C505" s="56" t="s">
        <v>74</v>
      </c>
      <c r="D505" s="56" t="s">
        <v>5</v>
      </c>
      <c r="E505" s="55">
        <v>32278</v>
      </c>
      <c r="F505" s="54">
        <f t="shared" ca="1" si="21"/>
        <v>28</v>
      </c>
      <c r="G505" s="53" t="s">
        <v>4</v>
      </c>
      <c r="H505" s="52">
        <v>44620</v>
      </c>
      <c r="I505" s="51">
        <v>5</v>
      </c>
    </row>
    <row r="506" spans="1:9" x14ac:dyDescent="0.25">
      <c r="A506" s="57"/>
      <c r="B506" s="58"/>
      <c r="C506" s="57"/>
      <c r="D506" s="56"/>
      <c r="E506" s="55"/>
      <c r="F506" s="54"/>
      <c r="G506" s="53"/>
      <c r="H506" s="52"/>
      <c r="I506" s="51"/>
    </row>
    <row r="507" spans="1:9" x14ac:dyDescent="0.25">
      <c r="A507" s="56" t="s">
        <v>22</v>
      </c>
      <c r="B507" s="58" t="s">
        <v>17</v>
      </c>
      <c r="C507" s="56" t="s">
        <v>22</v>
      </c>
      <c r="D507" s="56" t="s">
        <v>5</v>
      </c>
      <c r="E507" s="55">
        <v>31788</v>
      </c>
      <c r="F507" s="54">
        <f t="shared" ref="F507:F538" ca="1" si="22">DATEDIF(E507,TODAY(),"Y")</f>
        <v>29</v>
      </c>
      <c r="G507" s="53" t="s">
        <v>32</v>
      </c>
      <c r="H507" s="52">
        <v>48080</v>
      </c>
      <c r="I507" s="51">
        <v>2</v>
      </c>
    </row>
    <row r="508" spans="1:9" x14ac:dyDescent="0.25">
      <c r="A508" s="56" t="s">
        <v>22</v>
      </c>
      <c r="B508" s="58" t="s">
        <v>13</v>
      </c>
      <c r="C508" s="56" t="s">
        <v>22</v>
      </c>
      <c r="D508" s="56" t="s">
        <v>5</v>
      </c>
      <c r="E508" s="55">
        <v>31818</v>
      </c>
      <c r="F508" s="54">
        <f t="shared" ca="1" si="22"/>
        <v>29</v>
      </c>
      <c r="G508" s="53" t="s">
        <v>19</v>
      </c>
      <c r="H508" s="52">
        <v>46110</v>
      </c>
      <c r="I508" s="51">
        <v>4</v>
      </c>
    </row>
    <row r="509" spans="1:9" x14ac:dyDescent="0.25">
      <c r="A509" s="56" t="s">
        <v>22</v>
      </c>
      <c r="B509" s="58" t="s">
        <v>39</v>
      </c>
      <c r="C509" s="56" t="s">
        <v>22</v>
      </c>
      <c r="D509" s="56" t="s">
        <v>12</v>
      </c>
      <c r="E509" s="55">
        <v>31857</v>
      </c>
      <c r="F509" s="54">
        <f t="shared" ca="1" si="22"/>
        <v>29</v>
      </c>
      <c r="G509" s="53"/>
      <c r="H509" s="52">
        <v>23020</v>
      </c>
      <c r="I509" s="51">
        <v>4</v>
      </c>
    </row>
    <row r="510" spans="1:9" x14ac:dyDescent="0.25">
      <c r="A510" s="56" t="s">
        <v>22</v>
      </c>
      <c r="B510" s="58" t="s">
        <v>17</v>
      </c>
      <c r="C510" s="56" t="s">
        <v>22</v>
      </c>
      <c r="D510" s="56" t="s">
        <v>12</v>
      </c>
      <c r="E510" s="55">
        <v>31924</v>
      </c>
      <c r="F510" s="54">
        <f t="shared" ca="1" si="22"/>
        <v>29</v>
      </c>
      <c r="G510" s="53"/>
      <c r="H510" s="52">
        <v>58650</v>
      </c>
      <c r="I510" s="51">
        <v>4</v>
      </c>
    </row>
    <row r="511" spans="1:9" x14ac:dyDescent="0.25">
      <c r="A511" s="56" t="s">
        <v>22</v>
      </c>
      <c r="B511" s="58" t="s">
        <v>17</v>
      </c>
      <c r="C511" s="56" t="s">
        <v>22</v>
      </c>
      <c r="D511" s="56" t="s">
        <v>5</v>
      </c>
      <c r="E511" s="55">
        <v>32051</v>
      </c>
      <c r="F511" s="54">
        <f t="shared" ca="1" si="22"/>
        <v>29</v>
      </c>
      <c r="G511" s="53" t="s">
        <v>32</v>
      </c>
      <c r="H511" s="52">
        <v>24090</v>
      </c>
      <c r="I511" s="51">
        <v>4</v>
      </c>
    </row>
    <row r="512" spans="1:9" x14ac:dyDescent="0.25">
      <c r="A512" s="56" t="s">
        <v>22</v>
      </c>
      <c r="B512" s="58" t="s">
        <v>17</v>
      </c>
      <c r="C512" s="56" t="s">
        <v>22</v>
      </c>
      <c r="D512" s="56" t="s">
        <v>12</v>
      </c>
      <c r="E512" s="55">
        <v>32092</v>
      </c>
      <c r="F512" s="54">
        <f t="shared" ca="1" si="22"/>
        <v>28</v>
      </c>
      <c r="G512" s="53"/>
      <c r="H512" s="52">
        <v>79380</v>
      </c>
      <c r="I512" s="51">
        <v>1</v>
      </c>
    </row>
    <row r="513" spans="1:9" x14ac:dyDescent="0.25">
      <c r="A513" s="56" t="s">
        <v>22</v>
      </c>
      <c r="B513" s="58" t="s">
        <v>17</v>
      </c>
      <c r="C513" s="56" t="s">
        <v>22</v>
      </c>
      <c r="D513" s="56" t="s">
        <v>5</v>
      </c>
      <c r="E513" s="55">
        <v>32150</v>
      </c>
      <c r="F513" s="54">
        <f t="shared" ca="1" si="22"/>
        <v>28</v>
      </c>
      <c r="G513" s="53" t="s">
        <v>19</v>
      </c>
      <c r="H513" s="52">
        <v>77740</v>
      </c>
      <c r="I513" s="51">
        <v>1</v>
      </c>
    </row>
    <row r="514" spans="1:9" x14ac:dyDescent="0.25">
      <c r="A514" s="56" t="s">
        <v>22</v>
      </c>
      <c r="B514" s="58" t="s">
        <v>17</v>
      </c>
      <c r="C514" s="56" t="s">
        <v>22</v>
      </c>
      <c r="D514" s="56" t="s">
        <v>5</v>
      </c>
      <c r="E514" s="55">
        <v>32200</v>
      </c>
      <c r="F514" s="54">
        <f t="shared" ca="1" si="22"/>
        <v>28</v>
      </c>
      <c r="G514" s="53" t="s">
        <v>34</v>
      </c>
      <c r="H514" s="52">
        <v>54500</v>
      </c>
      <c r="I514" s="51">
        <v>5</v>
      </c>
    </row>
    <row r="515" spans="1:9" x14ac:dyDescent="0.25">
      <c r="A515" s="56" t="s">
        <v>22</v>
      </c>
      <c r="B515" s="58" t="s">
        <v>17</v>
      </c>
      <c r="C515" s="56" t="s">
        <v>22</v>
      </c>
      <c r="D515" s="56" t="s">
        <v>12</v>
      </c>
      <c r="E515" s="55">
        <v>32205</v>
      </c>
      <c r="F515" s="54">
        <f t="shared" ca="1" si="22"/>
        <v>28</v>
      </c>
      <c r="G515" s="53"/>
      <c r="H515" s="52">
        <v>52750</v>
      </c>
      <c r="I515" s="51">
        <v>1</v>
      </c>
    </row>
    <row r="516" spans="1:9" x14ac:dyDescent="0.25">
      <c r="A516" s="56" t="s">
        <v>22</v>
      </c>
      <c r="B516" s="58" t="s">
        <v>17</v>
      </c>
      <c r="C516" s="56" t="s">
        <v>22</v>
      </c>
      <c r="D516" s="56" t="s">
        <v>5</v>
      </c>
      <c r="E516" s="55">
        <v>32216</v>
      </c>
      <c r="F516" s="54">
        <f t="shared" ca="1" si="22"/>
        <v>28</v>
      </c>
      <c r="G516" s="53" t="s">
        <v>19</v>
      </c>
      <c r="H516" s="52">
        <v>79400</v>
      </c>
      <c r="I516" s="51">
        <v>4</v>
      </c>
    </row>
    <row r="517" spans="1:9" x14ac:dyDescent="0.25">
      <c r="A517" s="56" t="s">
        <v>22</v>
      </c>
      <c r="B517" s="58" t="s">
        <v>13</v>
      </c>
      <c r="C517" s="56" t="s">
        <v>22</v>
      </c>
      <c r="D517" s="56" t="s">
        <v>5</v>
      </c>
      <c r="E517" s="55">
        <v>32263</v>
      </c>
      <c r="F517" s="54">
        <f t="shared" ca="1" si="22"/>
        <v>28</v>
      </c>
      <c r="G517" s="53" t="s">
        <v>8</v>
      </c>
      <c r="H517" s="52">
        <v>71680</v>
      </c>
      <c r="I517" s="51">
        <v>4</v>
      </c>
    </row>
    <row r="518" spans="1:9" x14ac:dyDescent="0.25">
      <c r="A518" s="56" t="s">
        <v>22</v>
      </c>
      <c r="B518" s="58" t="s">
        <v>39</v>
      </c>
      <c r="C518" s="56" t="s">
        <v>22</v>
      </c>
      <c r="D518" s="56" t="s">
        <v>12</v>
      </c>
      <c r="E518" s="55">
        <v>32268</v>
      </c>
      <c r="F518" s="54">
        <f t="shared" ca="1" si="22"/>
        <v>28</v>
      </c>
      <c r="G518" s="53"/>
      <c r="H518" s="52">
        <v>50840</v>
      </c>
      <c r="I518" s="51">
        <v>4</v>
      </c>
    </row>
    <row r="519" spans="1:9" x14ac:dyDescent="0.25">
      <c r="A519" s="56" t="s">
        <v>22</v>
      </c>
      <c r="B519" s="58" t="s">
        <v>39</v>
      </c>
      <c r="C519" s="56" t="s">
        <v>22</v>
      </c>
      <c r="D519" s="56" t="s">
        <v>12</v>
      </c>
      <c r="E519" s="55">
        <v>32328</v>
      </c>
      <c r="F519" s="54">
        <f t="shared" ca="1" si="22"/>
        <v>28</v>
      </c>
      <c r="G519" s="53"/>
      <c r="H519" s="52">
        <v>47590</v>
      </c>
      <c r="I519" s="51">
        <v>3</v>
      </c>
    </row>
    <row r="520" spans="1:9" x14ac:dyDescent="0.25">
      <c r="A520" s="56" t="s">
        <v>22</v>
      </c>
      <c r="B520" s="58" t="s">
        <v>39</v>
      </c>
      <c r="C520" s="56" t="s">
        <v>22</v>
      </c>
      <c r="D520" s="56" t="s">
        <v>12</v>
      </c>
      <c r="E520" s="55">
        <v>32348</v>
      </c>
      <c r="F520" s="54">
        <f t="shared" ca="1" si="22"/>
        <v>28</v>
      </c>
      <c r="G520" s="53"/>
      <c r="H520" s="52">
        <v>60550</v>
      </c>
      <c r="I520" s="51">
        <v>2</v>
      </c>
    </row>
    <row r="521" spans="1:9" x14ac:dyDescent="0.25">
      <c r="A521" s="56" t="s">
        <v>22</v>
      </c>
      <c r="B521" s="58" t="s">
        <v>39</v>
      </c>
      <c r="C521" s="56" t="s">
        <v>22</v>
      </c>
      <c r="D521" s="56" t="s">
        <v>15</v>
      </c>
      <c r="E521" s="55">
        <v>32361</v>
      </c>
      <c r="F521" s="54">
        <f t="shared" ca="1" si="22"/>
        <v>28</v>
      </c>
      <c r="G521" s="53" t="s">
        <v>32</v>
      </c>
      <c r="H521" s="52">
        <v>46380</v>
      </c>
      <c r="I521" s="51">
        <v>3</v>
      </c>
    </row>
    <row r="522" spans="1:9" x14ac:dyDescent="0.25">
      <c r="A522" s="56" t="s">
        <v>22</v>
      </c>
      <c r="B522" s="58" t="s">
        <v>17</v>
      </c>
      <c r="C522" s="56" t="s">
        <v>22</v>
      </c>
      <c r="D522" s="56" t="s">
        <v>12</v>
      </c>
      <c r="E522" s="55">
        <v>32639</v>
      </c>
      <c r="F522" s="54">
        <f t="shared" ca="1" si="22"/>
        <v>27</v>
      </c>
      <c r="G522" s="53"/>
      <c r="H522" s="52">
        <v>44720</v>
      </c>
      <c r="I522" s="51">
        <v>2</v>
      </c>
    </row>
    <row r="523" spans="1:9" x14ac:dyDescent="0.25">
      <c r="A523" s="56" t="s">
        <v>22</v>
      </c>
      <c r="B523" s="58" t="s">
        <v>17</v>
      </c>
      <c r="C523" s="56" t="s">
        <v>22</v>
      </c>
      <c r="D523" s="56" t="s">
        <v>5</v>
      </c>
      <c r="E523" s="55">
        <v>32751</v>
      </c>
      <c r="F523" s="54">
        <f t="shared" ca="1" si="22"/>
        <v>27</v>
      </c>
      <c r="G523" s="53" t="s">
        <v>32</v>
      </c>
      <c r="H523" s="52">
        <v>23320</v>
      </c>
      <c r="I523" s="51">
        <v>4</v>
      </c>
    </row>
    <row r="524" spans="1:9" x14ac:dyDescent="0.25">
      <c r="A524" s="56" t="s">
        <v>22</v>
      </c>
      <c r="B524" s="58" t="s">
        <v>13</v>
      </c>
      <c r="C524" s="56" t="s">
        <v>22</v>
      </c>
      <c r="D524" s="56" t="s">
        <v>5</v>
      </c>
      <c r="E524" s="55">
        <v>32839</v>
      </c>
      <c r="F524" s="54">
        <f t="shared" ca="1" si="22"/>
        <v>26</v>
      </c>
      <c r="G524" s="53" t="s">
        <v>8</v>
      </c>
      <c r="H524" s="52">
        <v>63440</v>
      </c>
      <c r="I524" s="51">
        <v>3</v>
      </c>
    </row>
    <row r="525" spans="1:9" x14ac:dyDescent="0.25">
      <c r="A525" s="56" t="s">
        <v>22</v>
      </c>
      <c r="B525" s="58" t="s">
        <v>17</v>
      </c>
      <c r="C525" s="56" t="s">
        <v>22</v>
      </c>
      <c r="D525" s="56" t="s">
        <v>5</v>
      </c>
      <c r="E525" s="55">
        <v>32859</v>
      </c>
      <c r="F525" s="54">
        <f t="shared" ca="1" si="22"/>
        <v>26</v>
      </c>
      <c r="G525" s="53" t="s">
        <v>19</v>
      </c>
      <c r="H525" s="52">
        <v>69420</v>
      </c>
      <c r="I525" s="51">
        <v>2</v>
      </c>
    </row>
    <row r="526" spans="1:9" x14ac:dyDescent="0.25">
      <c r="A526" s="56" t="s">
        <v>22</v>
      </c>
      <c r="B526" s="58" t="s">
        <v>17</v>
      </c>
      <c r="C526" s="56" t="s">
        <v>22</v>
      </c>
      <c r="D526" s="56" t="s">
        <v>5</v>
      </c>
      <c r="E526" s="55">
        <v>32912</v>
      </c>
      <c r="F526" s="54">
        <f t="shared" ca="1" si="22"/>
        <v>26</v>
      </c>
      <c r="G526" s="53" t="s">
        <v>32</v>
      </c>
      <c r="H526" s="52">
        <v>62688</v>
      </c>
      <c r="I526" s="51">
        <v>2</v>
      </c>
    </row>
    <row r="527" spans="1:9" x14ac:dyDescent="0.25">
      <c r="A527" s="56" t="s">
        <v>22</v>
      </c>
      <c r="B527" s="58" t="s">
        <v>17</v>
      </c>
      <c r="C527" s="56" t="s">
        <v>22</v>
      </c>
      <c r="D527" s="56" t="s">
        <v>12</v>
      </c>
      <c r="E527" s="55">
        <v>33168</v>
      </c>
      <c r="F527" s="54">
        <f t="shared" ca="1" si="22"/>
        <v>26</v>
      </c>
      <c r="G527" s="53"/>
      <c r="H527" s="52">
        <v>56650</v>
      </c>
      <c r="I527" s="51">
        <v>1</v>
      </c>
    </row>
    <row r="528" spans="1:9" x14ac:dyDescent="0.25">
      <c r="A528" s="56" t="s">
        <v>22</v>
      </c>
      <c r="B528" s="58" t="s">
        <v>13</v>
      </c>
      <c r="C528" s="56" t="s">
        <v>22</v>
      </c>
      <c r="D528" s="56" t="s">
        <v>12</v>
      </c>
      <c r="E528" s="55">
        <v>33348</v>
      </c>
      <c r="F528" s="54">
        <f t="shared" ca="1" si="22"/>
        <v>25</v>
      </c>
      <c r="G528" s="53"/>
      <c r="H528" s="52">
        <v>85980</v>
      </c>
      <c r="I528" s="51">
        <v>2</v>
      </c>
    </row>
    <row r="529" spans="1:9" x14ac:dyDescent="0.25">
      <c r="A529" s="56" t="s">
        <v>22</v>
      </c>
      <c r="B529" s="58" t="s">
        <v>10</v>
      </c>
      <c r="C529" s="56" t="s">
        <v>22</v>
      </c>
      <c r="D529" s="56" t="s">
        <v>5</v>
      </c>
      <c r="E529" s="55">
        <v>33383</v>
      </c>
      <c r="F529" s="54">
        <f t="shared" ca="1" si="22"/>
        <v>25</v>
      </c>
      <c r="G529" s="53" t="s">
        <v>34</v>
      </c>
      <c r="H529" s="52">
        <v>88820</v>
      </c>
      <c r="I529" s="51">
        <v>2</v>
      </c>
    </row>
    <row r="530" spans="1:9" x14ac:dyDescent="0.25">
      <c r="A530" s="56" t="s">
        <v>22</v>
      </c>
      <c r="B530" s="58" t="s">
        <v>17</v>
      </c>
      <c r="C530" s="56" t="s">
        <v>22</v>
      </c>
      <c r="D530" s="56" t="s">
        <v>12</v>
      </c>
      <c r="E530" s="55">
        <v>33416</v>
      </c>
      <c r="F530" s="54">
        <f t="shared" ca="1" si="22"/>
        <v>25</v>
      </c>
      <c r="G530" s="53"/>
      <c r="H530" s="52">
        <v>33120</v>
      </c>
      <c r="I530" s="51">
        <v>2</v>
      </c>
    </row>
    <row r="531" spans="1:9" x14ac:dyDescent="0.25">
      <c r="A531" s="56" t="s">
        <v>22</v>
      </c>
      <c r="B531" s="58" t="s">
        <v>39</v>
      </c>
      <c r="C531" s="56" t="s">
        <v>22</v>
      </c>
      <c r="D531" s="56" t="s">
        <v>15</v>
      </c>
      <c r="E531" s="55">
        <v>33483</v>
      </c>
      <c r="F531" s="54">
        <f t="shared" ca="1" si="22"/>
        <v>25</v>
      </c>
      <c r="G531" s="53" t="s">
        <v>4</v>
      </c>
      <c r="H531" s="52">
        <v>10700</v>
      </c>
      <c r="I531" s="51">
        <v>4</v>
      </c>
    </row>
    <row r="532" spans="1:9" x14ac:dyDescent="0.25">
      <c r="A532" s="56" t="s">
        <v>22</v>
      </c>
      <c r="B532" s="58" t="s">
        <v>10</v>
      </c>
      <c r="C532" s="56" t="s">
        <v>22</v>
      </c>
      <c r="D532" s="56" t="s">
        <v>12</v>
      </c>
      <c r="E532" s="55">
        <v>33605</v>
      </c>
      <c r="F532" s="54">
        <f t="shared" ca="1" si="22"/>
        <v>24</v>
      </c>
      <c r="G532" s="53"/>
      <c r="H532" s="52">
        <v>76870</v>
      </c>
      <c r="I532" s="51">
        <v>5</v>
      </c>
    </row>
    <row r="533" spans="1:9" x14ac:dyDescent="0.25">
      <c r="A533" s="56" t="s">
        <v>22</v>
      </c>
      <c r="B533" s="58" t="s">
        <v>39</v>
      </c>
      <c r="C533" s="56" t="s">
        <v>22</v>
      </c>
      <c r="D533" s="56" t="s">
        <v>5</v>
      </c>
      <c r="E533" s="55">
        <v>33679</v>
      </c>
      <c r="F533" s="54">
        <f t="shared" ca="1" si="22"/>
        <v>24</v>
      </c>
      <c r="G533" s="53" t="s">
        <v>32</v>
      </c>
      <c r="H533" s="52">
        <v>50570</v>
      </c>
      <c r="I533" s="51">
        <v>4</v>
      </c>
    </row>
    <row r="534" spans="1:9" x14ac:dyDescent="0.25">
      <c r="A534" s="56" t="s">
        <v>22</v>
      </c>
      <c r="B534" s="58" t="s">
        <v>39</v>
      </c>
      <c r="C534" s="56" t="s">
        <v>22</v>
      </c>
      <c r="D534" s="56" t="s">
        <v>5</v>
      </c>
      <c r="E534" s="55">
        <v>33784</v>
      </c>
      <c r="F534" s="54">
        <f t="shared" ca="1" si="22"/>
        <v>24</v>
      </c>
      <c r="G534" s="53" t="s">
        <v>34</v>
      </c>
      <c r="H534" s="52">
        <v>61148</v>
      </c>
      <c r="I534" s="51">
        <v>2</v>
      </c>
    </row>
    <row r="535" spans="1:9" x14ac:dyDescent="0.25">
      <c r="A535" s="56" t="s">
        <v>22</v>
      </c>
      <c r="B535" s="58" t="s">
        <v>13</v>
      </c>
      <c r="C535" s="56" t="s">
        <v>22</v>
      </c>
      <c r="D535" s="56" t="s">
        <v>12</v>
      </c>
      <c r="E535" s="55">
        <v>33836</v>
      </c>
      <c r="F535" s="54">
        <f t="shared" ca="1" si="22"/>
        <v>24</v>
      </c>
      <c r="G535" s="53"/>
      <c r="H535" s="52">
        <v>73190</v>
      </c>
      <c r="I535" s="51">
        <v>1</v>
      </c>
    </row>
    <row r="536" spans="1:9" x14ac:dyDescent="0.25">
      <c r="A536" s="56" t="s">
        <v>22</v>
      </c>
      <c r="B536" s="58" t="s">
        <v>39</v>
      </c>
      <c r="C536" s="56" t="s">
        <v>22</v>
      </c>
      <c r="D536" s="56" t="s">
        <v>5</v>
      </c>
      <c r="E536" s="55">
        <v>33841</v>
      </c>
      <c r="F536" s="54">
        <f t="shared" ca="1" si="22"/>
        <v>24</v>
      </c>
      <c r="G536" s="53" t="s">
        <v>8</v>
      </c>
      <c r="H536" s="52">
        <v>29760</v>
      </c>
      <c r="I536" s="51">
        <v>2</v>
      </c>
    </row>
    <row r="537" spans="1:9" x14ac:dyDescent="0.25">
      <c r="A537" s="56" t="s">
        <v>22</v>
      </c>
      <c r="B537" s="58" t="s">
        <v>39</v>
      </c>
      <c r="C537" s="56" t="s">
        <v>22</v>
      </c>
      <c r="D537" s="56" t="s">
        <v>5</v>
      </c>
      <c r="E537" s="55">
        <v>33841</v>
      </c>
      <c r="F537" s="54">
        <f t="shared" ca="1" si="22"/>
        <v>24</v>
      </c>
      <c r="G537" s="53" t="s">
        <v>8</v>
      </c>
      <c r="H537" s="52">
        <v>29760</v>
      </c>
      <c r="I537" s="51">
        <v>2</v>
      </c>
    </row>
    <row r="538" spans="1:9" x14ac:dyDescent="0.25">
      <c r="A538" s="56" t="s">
        <v>22</v>
      </c>
      <c r="B538" s="58" t="s">
        <v>13</v>
      </c>
      <c r="C538" s="56" t="s">
        <v>22</v>
      </c>
      <c r="D538" s="56" t="s">
        <v>5</v>
      </c>
      <c r="E538" s="55">
        <v>33859</v>
      </c>
      <c r="F538" s="54">
        <f t="shared" ca="1" si="22"/>
        <v>24</v>
      </c>
      <c r="G538" s="53" t="s">
        <v>8</v>
      </c>
      <c r="H538" s="52">
        <v>72640</v>
      </c>
      <c r="I538" s="51">
        <v>3</v>
      </c>
    </row>
    <row r="539" spans="1:9" x14ac:dyDescent="0.25">
      <c r="A539" s="56" t="s">
        <v>22</v>
      </c>
      <c r="B539" s="58" t="s">
        <v>17</v>
      </c>
      <c r="C539" s="56" t="s">
        <v>22</v>
      </c>
      <c r="D539" s="56" t="s">
        <v>5</v>
      </c>
      <c r="E539" s="55">
        <v>33909</v>
      </c>
      <c r="F539" s="54">
        <f t="shared" ref="F539:F570" ca="1" si="23">DATEDIF(E539,TODAY(),"Y")</f>
        <v>24</v>
      </c>
      <c r="G539" s="53" t="s">
        <v>32</v>
      </c>
      <c r="H539" s="52">
        <v>47340</v>
      </c>
      <c r="I539" s="51">
        <v>2</v>
      </c>
    </row>
    <row r="540" spans="1:9" x14ac:dyDescent="0.25">
      <c r="A540" s="56" t="s">
        <v>22</v>
      </c>
      <c r="B540" s="58" t="s">
        <v>39</v>
      </c>
      <c r="C540" s="56" t="s">
        <v>22</v>
      </c>
      <c r="D540" s="56" t="s">
        <v>5</v>
      </c>
      <c r="E540" s="55">
        <v>33976</v>
      </c>
      <c r="F540" s="54">
        <f t="shared" ca="1" si="23"/>
        <v>23</v>
      </c>
      <c r="G540" s="53" t="s">
        <v>34</v>
      </c>
      <c r="H540" s="52">
        <v>72700</v>
      </c>
      <c r="I540" s="51">
        <v>5</v>
      </c>
    </row>
    <row r="541" spans="1:9" x14ac:dyDescent="0.25">
      <c r="A541" s="56" t="s">
        <v>22</v>
      </c>
      <c r="B541" s="58" t="s">
        <v>13</v>
      </c>
      <c r="C541" s="56" t="s">
        <v>22</v>
      </c>
      <c r="D541" s="56" t="s">
        <v>12</v>
      </c>
      <c r="E541" s="55">
        <v>33991</v>
      </c>
      <c r="F541" s="54">
        <f t="shared" ca="1" si="23"/>
        <v>23</v>
      </c>
      <c r="G541" s="53"/>
      <c r="H541" s="52">
        <v>60070</v>
      </c>
      <c r="I541" s="51">
        <v>2</v>
      </c>
    </row>
    <row r="542" spans="1:9" x14ac:dyDescent="0.25">
      <c r="A542" s="56" t="s">
        <v>22</v>
      </c>
      <c r="B542" s="58" t="s">
        <v>13</v>
      </c>
      <c r="C542" s="56" t="s">
        <v>22</v>
      </c>
      <c r="D542" s="56" t="s">
        <v>5</v>
      </c>
      <c r="E542" s="55">
        <v>34218</v>
      </c>
      <c r="F542" s="54">
        <f t="shared" ca="1" si="23"/>
        <v>23</v>
      </c>
      <c r="G542" s="53" t="s">
        <v>32</v>
      </c>
      <c r="H542" s="52">
        <v>63270</v>
      </c>
      <c r="I542" s="51">
        <v>1</v>
      </c>
    </row>
    <row r="543" spans="1:9" x14ac:dyDescent="0.25">
      <c r="A543" s="56" t="s">
        <v>22</v>
      </c>
      <c r="B543" s="58" t="s">
        <v>39</v>
      </c>
      <c r="C543" s="56" t="s">
        <v>22</v>
      </c>
      <c r="D543" s="56" t="s">
        <v>12</v>
      </c>
      <c r="E543" s="55">
        <v>34231</v>
      </c>
      <c r="F543" s="54">
        <f t="shared" ca="1" si="23"/>
        <v>23</v>
      </c>
      <c r="G543" s="53"/>
      <c r="H543" s="52">
        <v>49530</v>
      </c>
      <c r="I543" s="51">
        <v>4</v>
      </c>
    </row>
    <row r="544" spans="1:9" x14ac:dyDescent="0.25">
      <c r="A544" s="56" t="s">
        <v>22</v>
      </c>
      <c r="B544" s="58" t="s">
        <v>13</v>
      </c>
      <c r="C544" s="56" t="s">
        <v>22</v>
      </c>
      <c r="D544" s="56" t="s">
        <v>5</v>
      </c>
      <c r="E544" s="55">
        <v>34306</v>
      </c>
      <c r="F544" s="54">
        <f t="shared" ca="1" si="23"/>
        <v>22</v>
      </c>
      <c r="G544" s="53" t="s">
        <v>4</v>
      </c>
      <c r="H544" s="52">
        <v>34060</v>
      </c>
      <c r="I544" s="51">
        <v>2</v>
      </c>
    </row>
    <row r="545" spans="1:9" x14ac:dyDescent="0.25">
      <c r="A545" s="56" t="s">
        <v>22</v>
      </c>
      <c r="B545" s="58" t="s">
        <v>13</v>
      </c>
      <c r="C545" s="56" t="s">
        <v>22</v>
      </c>
      <c r="D545" s="56" t="s">
        <v>5</v>
      </c>
      <c r="E545" s="55">
        <v>34383</v>
      </c>
      <c r="F545" s="54">
        <f t="shared" ca="1" si="23"/>
        <v>22</v>
      </c>
      <c r="G545" s="53" t="s">
        <v>34</v>
      </c>
      <c r="H545" s="52">
        <v>24340</v>
      </c>
      <c r="I545" s="51">
        <v>4</v>
      </c>
    </row>
    <row r="546" spans="1:9" x14ac:dyDescent="0.25">
      <c r="A546" s="56" t="s">
        <v>22</v>
      </c>
      <c r="B546" s="58" t="s">
        <v>56</v>
      </c>
      <c r="C546" s="56" t="s">
        <v>22</v>
      </c>
      <c r="D546" s="56" t="s">
        <v>12</v>
      </c>
      <c r="E546" s="55">
        <v>34389</v>
      </c>
      <c r="F546" s="54">
        <f t="shared" ca="1" si="23"/>
        <v>22</v>
      </c>
      <c r="G546" s="53"/>
      <c r="H546" s="52">
        <v>36230</v>
      </c>
      <c r="I546" s="51">
        <v>2</v>
      </c>
    </row>
    <row r="547" spans="1:9" x14ac:dyDescent="0.25">
      <c r="A547" s="56" t="s">
        <v>22</v>
      </c>
      <c r="B547" s="58" t="s">
        <v>39</v>
      </c>
      <c r="C547" s="56" t="s">
        <v>22</v>
      </c>
      <c r="D547" s="56" t="s">
        <v>5</v>
      </c>
      <c r="E547" s="55">
        <v>34511</v>
      </c>
      <c r="F547" s="54">
        <f t="shared" ca="1" si="23"/>
        <v>22</v>
      </c>
      <c r="G547" s="53" t="s">
        <v>19</v>
      </c>
      <c r="H547" s="52">
        <v>22870</v>
      </c>
      <c r="I547" s="51">
        <v>3</v>
      </c>
    </row>
    <row r="548" spans="1:9" x14ac:dyDescent="0.25">
      <c r="A548" s="56" t="s">
        <v>22</v>
      </c>
      <c r="B548" s="58" t="s">
        <v>10</v>
      </c>
      <c r="C548" s="56" t="s">
        <v>22</v>
      </c>
      <c r="D548" s="56" t="s">
        <v>15</v>
      </c>
      <c r="E548" s="55">
        <v>34516</v>
      </c>
      <c r="F548" s="54">
        <f t="shared" ca="1" si="23"/>
        <v>22</v>
      </c>
      <c r="G548" s="53" t="s">
        <v>32</v>
      </c>
      <c r="H548" s="52">
        <v>31205</v>
      </c>
      <c r="I548" s="51">
        <v>2</v>
      </c>
    </row>
    <row r="549" spans="1:9" x14ac:dyDescent="0.25">
      <c r="A549" s="56" t="s">
        <v>22</v>
      </c>
      <c r="B549" s="58" t="s">
        <v>56</v>
      </c>
      <c r="C549" s="56" t="s">
        <v>22</v>
      </c>
      <c r="D549" s="56" t="s">
        <v>5</v>
      </c>
      <c r="E549" s="55">
        <v>34608</v>
      </c>
      <c r="F549" s="54">
        <f t="shared" ca="1" si="23"/>
        <v>22</v>
      </c>
      <c r="G549" s="53" t="s">
        <v>34</v>
      </c>
      <c r="H549" s="52">
        <v>73740</v>
      </c>
      <c r="I549" s="51">
        <v>4</v>
      </c>
    </row>
    <row r="550" spans="1:9" x14ac:dyDescent="0.25">
      <c r="A550" s="56" t="s">
        <v>22</v>
      </c>
      <c r="B550" s="58" t="s">
        <v>39</v>
      </c>
      <c r="C550" s="56" t="s">
        <v>22</v>
      </c>
      <c r="D550" s="56" t="s">
        <v>0</v>
      </c>
      <c r="E550" s="55">
        <v>34636</v>
      </c>
      <c r="F550" s="54">
        <f t="shared" ca="1" si="23"/>
        <v>22</v>
      </c>
      <c r="G550" s="53"/>
      <c r="H550" s="52">
        <v>14332</v>
      </c>
      <c r="I550" s="51">
        <v>5</v>
      </c>
    </row>
    <row r="551" spans="1:9" x14ac:dyDescent="0.25">
      <c r="A551" s="56" t="s">
        <v>22</v>
      </c>
      <c r="B551" s="58" t="s">
        <v>13</v>
      </c>
      <c r="C551" s="56" t="s">
        <v>22</v>
      </c>
      <c r="D551" s="56" t="s">
        <v>5</v>
      </c>
      <c r="E551" s="55">
        <v>34648</v>
      </c>
      <c r="F551" s="54">
        <f t="shared" ca="1" si="23"/>
        <v>21</v>
      </c>
      <c r="G551" s="53" t="s">
        <v>4</v>
      </c>
      <c r="H551" s="52">
        <v>61420</v>
      </c>
      <c r="I551" s="51">
        <v>4</v>
      </c>
    </row>
    <row r="552" spans="1:9" x14ac:dyDescent="0.25">
      <c r="A552" s="56" t="s">
        <v>22</v>
      </c>
      <c r="B552" s="58" t="s">
        <v>17</v>
      </c>
      <c r="C552" s="56" t="s">
        <v>22</v>
      </c>
      <c r="D552" s="56" t="s">
        <v>5</v>
      </c>
      <c r="E552" s="55">
        <v>34680</v>
      </c>
      <c r="F552" s="54">
        <f t="shared" ca="1" si="23"/>
        <v>21</v>
      </c>
      <c r="G552" s="53" t="s">
        <v>8</v>
      </c>
      <c r="H552" s="52">
        <v>36890</v>
      </c>
      <c r="I552" s="51">
        <v>1</v>
      </c>
    </row>
    <row r="553" spans="1:9" x14ac:dyDescent="0.25">
      <c r="A553" s="56" t="s">
        <v>22</v>
      </c>
      <c r="B553" s="58" t="s">
        <v>13</v>
      </c>
      <c r="C553" s="56" t="s">
        <v>22</v>
      </c>
      <c r="D553" s="56" t="s">
        <v>0</v>
      </c>
      <c r="E553" s="55">
        <v>34718</v>
      </c>
      <c r="F553" s="54">
        <f t="shared" ca="1" si="23"/>
        <v>21</v>
      </c>
      <c r="G553" s="53"/>
      <c r="H553" s="52">
        <v>16688</v>
      </c>
      <c r="I553" s="51">
        <v>3</v>
      </c>
    </row>
    <row r="554" spans="1:9" x14ac:dyDescent="0.25">
      <c r="A554" s="56" t="s">
        <v>22</v>
      </c>
      <c r="B554" s="58" t="s">
        <v>13</v>
      </c>
      <c r="C554" s="56" t="s">
        <v>22</v>
      </c>
      <c r="D554" s="56" t="s">
        <v>15</v>
      </c>
      <c r="E554" s="55">
        <v>34774</v>
      </c>
      <c r="F554" s="54">
        <f t="shared" ca="1" si="23"/>
        <v>21</v>
      </c>
      <c r="G554" s="53" t="s">
        <v>34</v>
      </c>
      <c r="H554" s="52">
        <v>45750</v>
      </c>
      <c r="I554" s="51">
        <v>5</v>
      </c>
    </row>
    <row r="555" spans="1:9" x14ac:dyDescent="0.25">
      <c r="A555" s="56" t="s">
        <v>22</v>
      </c>
      <c r="B555" s="58" t="s">
        <v>39</v>
      </c>
      <c r="C555" s="56" t="s">
        <v>22</v>
      </c>
      <c r="D555" s="56" t="s">
        <v>12</v>
      </c>
      <c r="E555" s="55">
        <v>34776</v>
      </c>
      <c r="F555" s="54">
        <f t="shared" ca="1" si="23"/>
        <v>21</v>
      </c>
      <c r="G555" s="53"/>
      <c r="H555" s="52">
        <v>47520</v>
      </c>
      <c r="I555" s="51">
        <v>1</v>
      </c>
    </row>
    <row r="556" spans="1:9" x14ac:dyDescent="0.25">
      <c r="A556" s="56" t="s">
        <v>22</v>
      </c>
      <c r="B556" s="58" t="s">
        <v>17</v>
      </c>
      <c r="C556" s="56" t="s">
        <v>22</v>
      </c>
      <c r="D556" s="56" t="s">
        <v>5</v>
      </c>
      <c r="E556" s="55">
        <v>34778</v>
      </c>
      <c r="F556" s="54">
        <f t="shared" ca="1" si="23"/>
        <v>21</v>
      </c>
      <c r="G556" s="53" t="s">
        <v>19</v>
      </c>
      <c r="H556" s="52">
        <v>54580</v>
      </c>
      <c r="I556" s="51">
        <v>4</v>
      </c>
    </row>
    <row r="557" spans="1:9" x14ac:dyDescent="0.25">
      <c r="A557" s="56" t="s">
        <v>22</v>
      </c>
      <c r="B557" s="58" t="s">
        <v>56</v>
      </c>
      <c r="C557" s="56" t="s">
        <v>22</v>
      </c>
      <c r="D557" s="56" t="s">
        <v>5</v>
      </c>
      <c r="E557" s="55">
        <v>34826</v>
      </c>
      <c r="F557" s="54">
        <f t="shared" ca="1" si="23"/>
        <v>21</v>
      </c>
      <c r="G557" s="53" t="s">
        <v>4</v>
      </c>
      <c r="H557" s="52">
        <v>45000</v>
      </c>
      <c r="I557" s="51">
        <v>4</v>
      </c>
    </row>
    <row r="558" spans="1:9" x14ac:dyDescent="0.25">
      <c r="A558" s="56" t="s">
        <v>22</v>
      </c>
      <c r="B558" s="58" t="s">
        <v>17</v>
      </c>
      <c r="C558" s="56" t="s">
        <v>22</v>
      </c>
      <c r="D558" s="56" t="s">
        <v>5</v>
      </c>
      <c r="E558" s="55">
        <v>34885</v>
      </c>
      <c r="F558" s="54">
        <f t="shared" ca="1" si="23"/>
        <v>21</v>
      </c>
      <c r="G558" s="53" t="s">
        <v>19</v>
      </c>
      <c r="H558" s="52">
        <v>46360</v>
      </c>
      <c r="I558" s="51">
        <v>5</v>
      </c>
    </row>
    <row r="559" spans="1:9" x14ac:dyDescent="0.25">
      <c r="A559" s="56" t="s">
        <v>22</v>
      </c>
      <c r="B559" s="58" t="s">
        <v>17</v>
      </c>
      <c r="C559" s="56" t="s">
        <v>22</v>
      </c>
      <c r="D559" s="56" t="s">
        <v>5</v>
      </c>
      <c r="E559" s="55">
        <v>34885</v>
      </c>
      <c r="F559" s="54">
        <f t="shared" ca="1" si="23"/>
        <v>21</v>
      </c>
      <c r="G559" s="53" t="s">
        <v>19</v>
      </c>
      <c r="H559" s="52">
        <v>46360</v>
      </c>
      <c r="I559" s="51">
        <v>5</v>
      </c>
    </row>
    <row r="560" spans="1:9" x14ac:dyDescent="0.25">
      <c r="A560" s="56" t="s">
        <v>22</v>
      </c>
      <c r="B560" s="58" t="s">
        <v>10</v>
      </c>
      <c r="C560" s="56" t="s">
        <v>22</v>
      </c>
      <c r="D560" s="56" t="s">
        <v>15</v>
      </c>
      <c r="E560" s="55">
        <v>34907</v>
      </c>
      <c r="F560" s="54">
        <f t="shared" ca="1" si="23"/>
        <v>21</v>
      </c>
      <c r="G560" s="53" t="s">
        <v>4</v>
      </c>
      <c r="H560" s="52">
        <v>22475</v>
      </c>
      <c r="I560" s="51">
        <v>4</v>
      </c>
    </row>
    <row r="561" spans="1:9" x14ac:dyDescent="0.25">
      <c r="A561" s="56" t="s">
        <v>22</v>
      </c>
      <c r="B561" s="58" t="s">
        <v>17</v>
      </c>
      <c r="C561" s="56" t="s">
        <v>22</v>
      </c>
      <c r="D561" s="56" t="s">
        <v>12</v>
      </c>
      <c r="E561" s="55">
        <v>34987</v>
      </c>
      <c r="F561" s="54">
        <f t="shared" ca="1" si="23"/>
        <v>21</v>
      </c>
      <c r="G561" s="53"/>
      <c r="H561" s="52">
        <v>57990</v>
      </c>
      <c r="I561" s="51">
        <v>5</v>
      </c>
    </row>
    <row r="562" spans="1:9" x14ac:dyDescent="0.25">
      <c r="A562" s="56" t="s">
        <v>22</v>
      </c>
      <c r="B562" s="58" t="s">
        <v>13</v>
      </c>
      <c r="C562" s="56" t="s">
        <v>22</v>
      </c>
      <c r="D562" s="56" t="s">
        <v>0</v>
      </c>
      <c r="E562" s="55">
        <v>35030</v>
      </c>
      <c r="F562" s="54">
        <f t="shared" ca="1" si="23"/>
        <v>20</v>
      </c>
      <c r="G562" s="53"/>
      <c r="H562" s="52">
        <v>37016</v>
      </c>
      <c r="I562" s="51">
        <v>4</v>
      </c>
    </row>
    <row r="563" spans="1:9" x14ac:dyDescent="0.25">
      <c r="A563" s="56" t="s">
        <v>22</v>
      </c>
      <c r="B563" s="58" t="s">
        <v>2</v>
      </c>
      <c r="C563" s="56" t="s">
        <v>22</v>
      </c>
      <c r="D563" s="56" t="s">
        <v>12</v>
      </c>
      <c r="E563" s="55">
        <v>35065</v>
      </c>
      <c r="F563" s="54">
        <f t="shared" ca="1" si="23"/>
        <v>20</v>
      </c>
      <c r="G563" s="53"/>
      <c r="H563" s="52">
        <v>71300</v>
      </c>
      <c r="I563" s="51">
        <v>5</v>
      </c>
    </row>
    <row r="564" spans="1:9" x14ac:dyDescent="0.25">
      <c r="A564" s="56" t="s">
        <v>22</v>
      </c>
      <c r="B564" s="58" t="s">
        <v>17</v>
      </c>
      <c r="C564" s="56" t="s">
        <v>22</v>
      </c>
      <c r="D564" s="56" t="s">
        <v>0</v>
      </c>
      <c r="E564" s="55">
        <v>35070</v>
      </c>
      <c r="F564" s="54">
        <f t="shared" ca="1" si="23"/>
        <v>20</v>
      </c>
      <c r="G564" s="53"/>
      <c r="H564" s="52">
        <v>36052</v>
      </c>
      <c r="I564" s="51">
        <v>5</v>
      </c>
    </row>
    <row r="565" spans="1:9" x14ac:dyDescent="0.25">
      <c r="A565" s="56" t="s">
        <v>22</v>
      </c>
      <c r="B565" s="58" t="s">
        <v>17</v>
      </c>
      <c r="C565" s="56" t="s">
        <v>22</v>
      </c>
      <c r="D565" s="56" t="s">
        <v>5</v>
      </c>
      <c r="E565" s="55">
        <v>35083</v>
      </c>
      <c r="F565" s="54">
        <f t="shared" ca="1" si="23"/>
        <v>20</v>
      </c>
      <c r="G565" s="53" t="s">
        <v>4</v>
      </c>
      <c r="H565" s="52">
        <v>65910</v>
      </c>
      <c r="I565" s="51">
        <v>5</v>
      </c>
    </row>
    <row r="566" spans="1:9" x14ac:dyDescent="0.25">
      <c r="A566" s="56" t="s">
        <v>22</v>
      </c>
      <c r="B566" s="58" t="s">
        <v>17</v>
      </c>
      <c r="C566" s="56" t="s">
        <v>22</v>
      </c>
      <c r="D566" s="56" t="s">
        <v>5</v>
      </c>
      <c r="E566" s="55">
        <v>35226</v>
      </c>
      <c r="F566" s="54">
        <f t="shared" ca="1" si="23"/>
        <v>20</v>
      </c>
      <c r="G566" s="53" t="s">
        <v>32</v>
      </c>
      <c r="H566" s="52">
        <v>62400</v>
      </c>
      <c r="I566" s="51">
        <v>4</v>
      </c>
    </row>
    <row r="567" spans="1:9" x14ac:dyDescent="0.25">
      <c r="A567" s="56" t="s">
        <v>22</v>
      </c>
      <c r="B567" s="58" t="s">
        <v>17</v>
      </c>
      <c r="C567" s="56" t="s">
        <v>22</v>
      </c>
      <c r="D567" s="56" t="s">
        <v>5</v>
      </c>
      <c r="E567" s="55">
        <v>35363</v>
      </c>
      <c r="F567" s="54">
        <f t="shared" ca="1" si="23"/>
        <v>20</v>
      </c>
      <c r="G567" s="53" t="s">
        <v>8</v>
      </c>
      <c r="H567" s="52">
        <v>48330</v>
      </c>
      <c r="I567" s="51">
        <v>1</v>
      </c>
    </row>
    <row r="568" spans="1:9" x14ac:dyDescent="0.25">
      <c r="A568" s="56" t="s">
        <v>22</v>
      </c>
      <c r="B568" s="58" t="s">
        <v>13</v>
      </c>
      <c r="C568" s="56" t="s">
        <v>22</v>
      </c>
      <c r="D568" s="56" t="s">
        <v>12</v>
      </c>
      <c r="E568" s="55">
        <v>35477</v>
      </c>
      <c r="F568" s="54">
        <f t="shared" ca="1" si="23"/>
        <v>19</v>
      </c>
      <c r="G568" s="53"/>
      <c r="H568" s="52">
        <v>89640</v>
      </c>
      <c r="I568" s="51">
        <v>4</v>
      </c>
    </row>
    <row r="569" spans="1:9" x14ac:dyDescent="0.25">
      <c r="A569" s="56" t="s">
        <v>22</v>
      </c>
      <c r="B569" s="58" t="s">
        <v>17</v>
      </c>
      <c r="C569" s="56" t="s">
        <v>22</v>
      </c>
      <c r="D569" s="56" t="s">
        <v>5</v>
      </c>
      <c r="E569" s="55">
        <v>35828</v>
      </c>
      <c r="F569" s="54">
        <f t="shared" ca="1" si="23"/>
        <v>18</v>
      </c>
      <c r="G569" s="53" t="s">
        <v>32</v>
      </c>
      <c r="H569" s="52">
        <v>29130</v>
      </c>
      <c r="I569" s="51">
        <v>1</v>
      </c>
    </row>
    <row r="570" spans="1:9" x14ac:dyDescent="0.25">
      <c r="A570" s="56" t="s">
        <v>22</v>
      </c>
      <c r="B570" s="58" t="s">
        <v>17</v>
      </c>
      <c r="C570" s="56" t="s">
        <v>22</v>
      </c>
      <c r="D570" s="56" t="s">
        <v>15</v>
      </c>
      <c r="E570" s="55">
        <v>35939</v>
      </c>
      <c r="F570" s="54">
        <f t="shared" ca="1" si="23"/>
        <v>18</v>
      </c>
      <c r="G570" s="53" t="s">
        <v>8</v>
      </c>
      <c r="H570" s="52">
        <v>12545</v>
      </c>
      <c r="I570" s="51">
        <v>4</v>
      </c>
    </row>
    <row r="571" spans="1:9" x14ac:dyDescent="0.25">
      <c r="A571" s="56" t="s">
        <v>22</v>
      </c>
      <c r="B571" s="58" t="s">
        <v>17</v>
      </c>
      <c r="C571" s="56" t="s">
        <v>22</v>
      </c>
      <c r="D571" s="56" t="s">
        <v>12</v>
      </c>
      <c r="E571" s="55">
        <v>36094</v>
      </c>
      <c r="F571" s="54">
        <f t="shared" ref="F571:F597" ca="1" si="24">DATEDIF(E571,TODAY(),"Y")</f>
        <v>18</v>
      </c>
      <c r="G571" s="53"/>
      <c r="H571" s="52">
        <v>60070</v>
      </c>
      <c r="I571" s="51">
        <v>3</v>
      </c>
    </row>
    <row r="572" spans="1:9" x14ac:dyDescent="0.25">
      <c r="A572" s="56" t="s">
        <v>22</v>
      </c>
      <c r="B572" s="58" t="s">
        <v>13</v>
      </c>
      <c r="C572" s="56" t="s">
        <v>22</v>
      </c>
      <c r="D572" s="56" t="s">
        <v>12</v>
      </c>
      <c r="E572" s="55">
        <v>36216</v>
      </c>
      <c r="F572" s="54">
        <f t="shared" ca="1" si="24"/>
        <v>17</v>
      </c>
      <c r="G572" s="53"/>
      <c r="H572" s="52">
        <v>61580</v>
      </c>
      <c r="I572" s="51">
        <v>3</v>
      </c>
    </row>
    <row r="573" spans="1:9" x14ac:dyDescent="0.25">
      <c r="A573" s="56" t="s">
        <v>22</v>
      </c>
      <c r="B573" s="58" t="s">
        <v>13</v>
      </c>
      <c r="C573" s="56" t="s">
        <v>22</v>
      </c>
      <c r="D573" s="56" t="s">
        <v>5</v>
      </c>
      <c r="E573" s="55">
        <v>36258</v>
      </c>
      <c r="F573" s="54">
        <f t="shared" ca="1" si="24"/>
        <v>17</v>
      </c>
      <c r="G573" s="53" t="s">
        <v>34</v>
      </c>
      <c r="H573" s="52">
        <v>45100</v>
      </c>
      <c r="I573" s="51">
        <v>2</v>
      </c>
    </row>
    <row r="574" spans="1:9" x14ac:dyDescent="0.25">
      <c r="A574" s="56" t="s">
        <v>22</v>
      </c>
      <c r="B574" s="58" t="s">
        <v>13</v>
      </c>
      <c r="C574" s="56" t="s">
        <v>22</v>
      </c>
      <c r="D574" s="56" t="s">
        <v>5</v>
      </c>
      <c r="E574" s="55">
        <v>36391</v>
      </c>
      <c r="F574" s="54">
        <f t="shared" ca="1" si="24"/>
        <v>17</v>
      </c>
      <c r="G574" s="53" t="s">
        <v>34</v>
      </c>
      <c r="H574" s="52">
        <v>23560</v>
      </c>
      <c r="I574" s="51">
        <v>3</v>
      </c>
    </row>
    <row r="575" spans="1:9" x14ac:dyDescent="0.25">
      <c r="A575" s="56" t="s">
        <v>22</v>
      </c>
      <c r="B575" s="58" t="s">
        <v>10</v>
      </c>
      <c r="C575" s="56" t="s">
        <v>22</v>
      </c>
      <c r="D575" s="56" t="s">
        <v>5</v>
      </c>
      <c r="E575" s="55">
        <v>36538</v>
      </c>
      <c r="F575" s="54">
        <f t="shared" ca="1" si="24"/>
        <v>16</v>
      </c>
      <c r="G575" s="53" t="s">
        <v>34</v>
      </c>
      <c r="H575" s="52">
        <v>76910</v>
      </c>
      <c r="I575" s="51">
        <v>2</v>
      </c>
    </row>
    <row r="576" spans="1:9" x14ac:dyDescent="0.25">
      <c r="A576" s="56" t="s">
        <v>22</v>
      </c>
      <c r="B576" s="58" t="s">
        <v>13</v>
      </c>
      <c r="C576" s="56" t="s">
        <v>22</v>
      </c>
      <c r="D576" s="56" t="s">
        <v>15</v>
      </c>
      <c r="E576" s="55">
        <v>36863</v>
      </c>
      <c r="F576" s="54">
        <f t="shared" ca="1" si="24"/>
        <v>15</v>
      </c>
      <c r="G576" s="53" t="s">
        <v>4</v>
      </c>
      <c r="H576" s="52">
        <v>32900</v>
      </c>
      <c r="I576" s="51">
        <v>2</v>
      </c>
    </row>
    <row r="577" spans="1:9" x14ac:dyDescent="0.25">
      <c r="A577" s="56" t="s">
        <v>22</v>
      </c>
      <c r="B577" s="58" t="s">
        <v>2</v>
      </c>
      <c r="C577" s="56" t="s">
        <v>22</v>
      </c>
      <c r="D577" s="56" t="s">
        <v>5</v>
      </c>
      <c r="E577" s="55">
        <v>37113</v>
      </c>
      <c r="F577" s="54">
        <f t="shared" ca="1" si="24"/>
        <v>15</v>
      </c>
      <c r="G577" s="53" t="s">
        <v>8</v>
      </c>
      <c r="H577" s="52">
        <v>61330</v>
      </c>
      <c r="I577" s="51">
        <v>2</v>
      </c>
    </row>
    <row r="578" spans="1:9" x14ac:dyDescent="0.25">
      <c r="A578" s="56" t="s">
        <v>22</v>
      </c>
      <c r="B578" s="58" t="s">
        <v>2</v>
      </c>
      <c r="C578" s="56" t="s">
        <v>22</v>
      </c>
      <c r="D578" s="56" t="s">
        <v>15</v>
      </c>
      <c r="E578" s="55">
        <v>37413</v>
      </c>
      <c r="F578" s="54">
        <f t="shared" ca="1" si="24"/>
        <v>14</v>
      </c>
      <c r="G578" s="53" t="s">
        <v>4</v>
      </c>
      <c r="H578" s="52">
        <v>10630</v>
      </c>
      <c r="I578" s="51">
        <v>3</v>
      </c>
    </row>
    <row r="579" spans="1:9" x14ac:dyDescent="0.25">
      <c r="A579" s="56" t="s">
        <v>22</v>
      </c>
      <c r="B579" s="58" t="s">
        <v>2</v>
      </c>
      <c r="C579" s="56" t="s">
        <v>22</v>
      </c>
      <c r="D579" s="56" t="s">
        <v>5</v>
      </c>
      <c r="E579" s="55">
        <v>37480</v>
      </c>
      <c r="F579" s="54">
        <f t="shared" ca="1" si="24"/>
        <v>14</v>
      </c>
      <c r="G579" s="53" t="s">
        <v>34</v>
      </c>
      <c r="H579" s="52">
        <v>62688</v>
      </c>
      <c r="I579" s="51">
        <v>3</v>
      </c>
    </row>
    <row r="580" spans="1:9" x14ac:dyDescent="0.25">
      <c r="A580" s="56" t="s">
        <v>22</v>
      </c>
      <c r="B580" s="58" t="s">
        <v>17</v>
      </c>
      <c r="C580" s="56" t="s">
        <v>22</v>
      </c>
      <c r="D580" s="56" t="s">
        <v>5</v>
      </c>
      <c r="E580" s="55">
        <v>37737</v>
      </c>
      <c r="F580" s="54">
        <f t="shared" ca="1" si="24"/>
        <v>13</v>
      </c>
      <c r="G580" s="53" t="s">
        <v>4</v>
      </c>
      <c r="H580" s="52">
        <v>65880</v>
      </c>
      <c r="I580" s="51">
        <v>5</v>
      </c>
    </row>
    <row r="581" spans="1:9" x14ac:dyDescent="0.25">
      <c r="A581" s="56" t="s">
        <v>22</v>
      </c>
      <c r="B581" s="58" t="s">
        <v>17</v>
      </c>
      <c r="C581" s="56" t="s">
        <v>22</v>
      </c>
      <c r="D581" s="56" t="s">
        <v>5</v>
      </c>
      <c r="E581" s="55">
        <v>37737</v>
      </c>
      <c r="F581" s="54">
        <f t="shared" ca="1" si="24"/>
        <v>13</v>
      </c>
      <c r="G581" s="53" t="s">
        <v>4</v>
      </c>
      <c r="H581" s="52">
        <v>65880</v>
      </c>
      <c r="I581" s="51">
        <v>5</v>
      </c>
    </row>
    <row r="582" spans="1:9" x14ac:dyDescent="0.25">
      <c r="A582" s="56" t="s">
        <v>22</v>
      </c>
      <c r="B582" s="58" t="s">
        <v>2</v>
      </c>
      <c r="C582" s="56" t="s">
        <v>22</v>
      </c>
      <c r="D582" s="56" t="s">
        <v>5</v>
      </c>
      <c r="E582" s="55">
        <v>37907</v>
      </c>
      <c r="F582" s="54">
        <f t="shared" ca="1" si="24"/>
        <v>13</v>
      </c>
      <c r="G582" s="53" t="s">
        <v>32</v>
      </c>
      <c r="H582" s="52">
        <v>73830</v>
      </c>
      <c r="I582" s="51">
        <v>2</v>
      </c>
    </row>
    <row r="583" spans="1:9" x14ac:dyDescent="0.25">
      <c r="A583" s="56" t="s">
        <v>22</v>
      </c>
      <c r="B583" s="58" t="s">
        <v>13</v>
      </c>
      <c r="C583" s="56" t="s">
        <v>22</v>
      </c>
      <c r="D583" s="56" t="s">
        <v>5</v>
      </c>
      <c r="E583" s="55">
        <v>38052</v>
      </c>
      <c r="F583" s="54">
        <f t="shared" ca="1" si="24"/>
        <v>12</v>
      </c>
      <c r="G583" s="53" t="s">
        <v>34</v>
      </c>
      <c r="H583" s="52">
        <v>42020</v>
      </c>
      <c r="I583" s="51">
        <v>5</v>
      </c>
    </row>
    <row r="584" spans="1:9" x14ac:dyDescent="0.25">
      <c r="A584" s="56" t="s">
        <v>22</v>
      </c>
      <c r="B584" s="58" t="s">
        <v>13</v>
      </c>
      <c r="C584" s="56" t="s">
        <v>22</v>
      </c>
      <c r="D584" s="56" t="s">
        <v>5</v>
      </c>
      <c r="E584" s="55">
        <v>38136</v>
      </c>
      <c r="F584" s="54">
        <f t="shared" ca="1" si="24"/>
        <v>12</v>
      </c>
      <c r="G584" s="53" t="s">
        <v>32</v>
      </c>
      <c r="H584" s="52">
        <v>44650</v>
      </c>
      <c r="I584" s="51">
        <v>1</v>
      </c>
    </row>
    <row r="585" spans="1:9" x14ac:dyDescent="0.25">
      <c r="A585" s="56" t="s">
        <v>22</v>
      </c>
      <c r="B585" s="58" t="s">
        <v>10</v>
      </c>
      <c r="C585" s="56" t="s">
        <v>22</v>
      </c>
      <c r="D585" s="56" t="s">
        <v>15</v>
      </c>
      <c r="E585" s="55">
        <v>38418</v>
      </c>
      <c r="F585" s="54">
        <f t="shared" ca="1" si="24"/>
        <v>11</v>
      </c>
      <c r="G585" s="53" t="s">
        <v>32</v>
      </c>
      <c r="H585" s="52">
        <v>45565</v>
      </c>
      <c r="I585" s="51">
        <v>1</v>
      </c>
    </row>
    <row r="586" spans="1:9" x14ac:dyDescent="0.25">
      <c r="A586" s="56" t="s">
        <v>22</v>
      </c>
      <c r="B586" s="58" t="s">
        <v>13</v>
      </c>
      <c r="C586" s="56" t="s">
        <v>22</v>
      </c>
      <c r="D586" s="56" t="s">
        <v>5</v>
      </c>
      <c r="E586" s="55">
        <v>38554</v>
      </c>
      <c r="F586" s="54">
        <f t="shared" ca="1" si="24"/>
        <v>11</v>
      </c>
      <c r="G586" s="53" t="s">
        <v>32</v>
      </c>
      <c r="H586" s="52">
        <v>64320</v>
      </c>
      <c r="I586" s="51">
        <v>5</v>
      </c>
    </row>
    <row r="587" spans="1:9" x14ac:dyDescent="0.25">
      <c r="A587" s="56" t="s">
        <v>22</v>
      </c>
      <c r="B587" s="58" t="s">
        <v>39</v>
      </c>
      <c r="C587" s="56" t="s">
        <v>22</v>
      </c>
      <c r="D587" s="56" t="s">
        <v>5</v>
      </c>
      <c r="E587" s="55">
        <v>38589</v>
      </c>
      <c r="F587" s="54">
        <f t="shared" ca="1" si="24"/>
        <v>11</v>
      </c>
      <c r="G587" s="53" t="s">
        <v>32</v>
      </c>
      <c r="H587" s="52">
        <v>24790</v>
      </c>
      <c r="I587" s="51">
        <v>3</v>
      </c>
    </row>
    <row r="588" spans="1:9" x14ac:dyDescent="0.25">
      <c r="A588" s="56" t="s">
        <v>22</v>
      </c>
      <c r="B588" s="58" t="s">
        <v>17</v>
      </c>
      <c r="C588" s="56" t="s">
        <v>22</v>
      </c>
      <c r="D588" s="56" t="s">
        <v>5</v>
      </c>
      <c r="E588" s="55">
        <v>38827</v>
      </c>
      <c r="F588" s="54">
        <f t="shared" ca="1" si="24"/>
        <v>10</v>
      </c>
      <c r="G588" s="53" t="s">
        <v>32</v>
      </c>
      <c r="H588" s="52">
        <v>54190</v>
      </c>
      <c r="I588" s="51">
        <v>4</v>
      </c>
    </row>
    <row r="589" spans="1:9" x14ac:dyDescent="0.25">
      <c r="A589" s="56" t="s">
        <v>22</v>
      </c>
      <c r="B589" s="58" t="s">
        <v>17</v>
      </c>
      <c r="C589" s="56" t="s">
        <v>22</v>
      </c>
      <c r="D589" s="56" t="s">
        <v>15</v>
      </c>
      <c r="E589" s="55">
        <v>38856</v>
      </c>
      <c r="F589" s="54">
        <f t="shared" ca="1" si="24"/>
        <v>10</v>
      </c>
      <c r="G589" s="53" t="s">
        <v>8</v>
      </c>
      <c r="H589" s="52">
        <v>25245</v>
      </c>
      <c r="I589" s="51">
        <v>5</v>
      </c>
    </row>
    <row r="590" spans="1:9" x14ac:dyDescent="0.25">
      <c r="A590" s="56" t="s">
        <v>22</v>
      </c>
      <c r="B590" s="58" t="s">
        <v>56</v>
      </c>
      <c r="C590" s="56" t="s">
        <v>22</v>
      </c>
      <c r="D590" s="56" t="s">
        <v>15</v>
      </c>
      <c r="E590" s="59">
        <v>38944</v>
      </c>
      <c r="F590" s="54">
        <f t="shared" ca="1" si="24"/>
        <v>10</v>
      </c>
      <c r="G590" s="53" t="s">
        <v>4</v>
      </c>
      <c r="H590" s="52">
        <v>48700</v>
      </c>
      <c r="I590" s="51">
        <v>3</v>
      </c>
    </row>
    <row r="591" spans="1:9" x14ac:dyDescent="0.25">
      <c r="A591" s="56" t="s">
        <v>22</v>
      </c>
      <c r="B591" s="58" t="s">
        <v>2</v>
      </c>
      <c r="C591" s="56" t="s">
        <v>22</v>
      </c>
      <c r="D591" s="56" t="s">
        <v>15</v>
      </c>
      <c r="E591" s="55">
        <v>38983</v>
      </c>
      <c r="F591" s="54">
        <f t="shared" ca="1" si="24"/>
        <v>10</v>
      </c>
      <c r="G591" s="53" t="s">
        <v>32</v>
      </c>
      <c r="H591" s="52">
        <v>11810</v>
      </c>
      <c r="I591" s="51">
        <v>1</v>
      </c>
    </row>
    <row r="592" spans="1:9" x14ac:dyDescent="0.25">
      <c r="A592" s="56" t="s">
        <v>22</v>
      </c>
      <c r="B592" s="58" t="s">
        <v>17</v>
      </c>
      <c r="C592" s="56" t="s">
        <v>22</v>
      </c>
      <c r="D592" s="56" t="s">
        <v>12</v>
      </c>
      <c r="E592" s="59">
        <v>39094</v>
      </c>
      <c r="F592" s="54">
        <f t="shared" ca="1" si="24"/>
        <v>9</v>
      </c>
      <c r="G592" s="53"/>
      <c r="H592" s="52">
        <v>39550</v>
      </c>
      <c r="I592" s="51">
        <v>5</v>
      </c>
    </row>
    <row r="593" spans="1:9" x14ac:dyDescent="0.25">
      <c r="A593" s="56" t="s">
        <v>22</v>
      </c>
      <c r="B593" s="58" t="s">
        <v>39</v>
      </c>
      <c r="C593" s="56" t="s">
        <v>22</v>
      </c>
      <c r="D593" s="56" t="s">
        <v>12</v>
      </c>
      <c r="E593" s="59">
        <v>39100</v>
      </c>
      <c r="F593" s="54">
        <f t="shared" ca="1" si="24"/>
        <v>9</v>
      </c>
      <c r="G593" s="53"/>
      <c r="H593" s="52">
        <v>57680</v>
      </c>
      <c r="I593" s="51">
        <v>4</v>
      </c>
    </row>
    <row r="594" spans="1:9" x14ac:dyDescent="0.25">
      <c r="A594" s="56" t="s">
        <v>22</v>
      </c>
      <c r="B594" s="58" t="s">
        <v>39</v>
      </c>
      <c r="C594" s="56" t="s">
        <v>22</v>
      </c>
      <c r="D594" s="56" t="s">
        <v>15</v>
      </c>
      <c r="E594" s="59">
        <v>39111</v>
      </c>
      <c r="F594" s="54">
        <f t="shared" ca="1" si="24"/>
        <v>9</v>
      </c>
      <c r="G594" s="53" t="s">
        <v>34</v>
      </c>
      <c r="H594" s="52">
        <v>49355</v>
      </c>
      <c r="I594" s="51">
        <v>5</v>
      </c>
    </row>
    <row r="595" spans="1:9" x14ac:dyDescent="0.25">
      <c r="A595" s="56" t="s">
        <v>22</v>
      </c>
      <c r="B595" s="58" t="s">
        <v>13</v>
      </c>
      <c r="C595" s="56" t="s">
        <v>22</v>
      </c>
      <c r="D595" s="56" t="s">
        <v>5</v>
      </c>
      <c r="E595" s="55">
        <v>39128</v>
      </c>
      <c r="F595" s="54">
        <f t="shared" ca="1" si="24"/>
        <v>9</v>
      </c>
      <c r="G595" s="53" t="s">
        <v>19</v>
      </c>
      <c r="H595" s="52">
        <v>59150</v>
      </c>
      <c r="I595" s="51">
        <v>4</v>
      </c>
    </row>
    <row r="596" spans="1:9" x14ac:dyDescent="0.25">
      <c r="A596" s="56" t="s">
        <v>22</v>
      </c>
      <c r="B596" s="58" t="s">
        <v>13</v>
      </c>
      <c r="C596" s="56" t="s">
        <v>22</v>
      </c>
      <c r="D596" s="56" t="s">
        <v>5</v>
      </c>
      <c r="E596" s="55">
        <v>39167</v>
      </c>
      <c r="F596" s="54">
        <f t="shared" ca="1" si="24"/>
        <v>9</v>
      </c>
      <c r="G596" s="53" t="s">
        <v>19</v>
      </c>
      <c r="H596" s="52">
        <v>63206</v>
      </c>
      <c r="I596" s="51">
        <v>1</v>
      </c>
    </row>
    <row r="597" spans="1:9" x14ac:dyDescent="0.25">
      <c r="A597" s="56" t="s">
        <v>22</v>
      </c>
      <c r="B597" s="58" t="s">
        <v>17</v>
      </c>
      <c r="C597" s="56" t="s">
        <v>22</v>
      </c>
      <c r="D597" s="56" t="s">
        <v>5</v>
      </c>
      <c r="E597" s="55">
        <v>39314</v>
      </c>
      <c r="F597" s="54">
        <f t="shared" ca="1" si="24"/>
        <v>9</v>
      </c>
      <c r="G597" s="53" t="s">
        <v>8</v>
      </c>
      <c r="H597" s="52">
        <v>86500</v>
      </c>
      <c r="I597" s="51">
        <v>1</v>
      </c>
    </row>
    <row r="598" spans="1:9" x14ac:dyDescent="0.25">
      <c r="A598" s="57"/>
      <c r="B598" s="58"/>
      <c r="C598" s="57"/>
      <c r="D598" s="56"/>
      <c r="E598" s="55"/>
      <c r="F598" s="54"/>
      <c r="G598" s="53"/>
      <c r="H598" s="52"/>
      <c r="I598" s="51"/>
    </row>
    <row r="599" spans="1:9" x14ac:dyDescent="0.25">
      <c r="A599" s="56" t="s">
        <v>52</v>
      </c>
      <c r="B599" s="58" t="s">
        <v>13</v>
      </c>
      <c r="C599" s="56" t="s">
        <v>52</v>
      </c>
      <c r="D599" s="56" t="s">
        <v>5</v>
      </c>
      <c r="E599" s="55">
        <v>31912</v>
      </c>
      <c r="F599" s="54">
        <f t="shared" ref="F599:F630" ca="1" si="25">DATEDIF(E599,TODAY(),"Y")</f>
        <v>29</v>
      </c>
      <c r="G599" s="53" t="s">
        <v>32</v>
      </c>
      <c r="H599" s="52">
        <v>53900</v>
      </c>
      <c r="I599" s="51">
        <v>5</v>
      </c>
    </row>
    <row r="600" spans="1:9" x14ac:dyDescent="0.25">
      <c r="A600" s="56" t="s">
        <v>52</v>
      </c>
      <c r="B600" s="58" t="s">
        <v>39</v>
      </c>
      <c r="C600" s="56" t="s">
        <v>52</v>
      </c>
      <c r="D600" s="56" t="s">
        <v>0</v>
      </c>
      <c r="E600" s="55">
        <v>31946</v>
      </c>
      <c r="F600" s="54">
        <f t="shared" ca="1" si="25"/>
        <v>29</v>
      </c>
      <c r="G600" s="53"/>
      <c r="H600" s="52">
        <v>30468</v>
      </c>
      <c r="I600" s="51">
        <v>2</v>
      </c>
    </row>
    <row r="601" spans="1:9" x14ac:dyDescent="0.25">
      <c r="A601" s="56" t="s">
        <v>52</v>
      </c>
      <c r="B601" s="58" t="s">
        <v>13</v>
      </c>
      <c r="C601" s="56" t="s">
        <v>52</v>
      </c>
      <c r="D601" s="56" t="s">
        <v>5</v>
      </c>
      <c r="E601" s="55">
        <v>31959</v>
      </c>
      <c r="F601" s="54">
        <f t="shared" ca="1" si="25"/>
        <v>29</v>
      </c>
      <c r="G601" s="53" t="s">
        <v>4</v>
      </c>
      <c r="H601" s="52">
        <v>24840</v>
      </c>
      <c r="I601" s="51">
        <v>1</v>
      </c>
    </row>
    <row r="602" spans="1:9" x14ac:dyDescent="0.25">
      <c r="A602" s="56" t="s">
        <v>52</v>
      </c>
      <c r="B602" s="58" t="s">
        <v>56</v>
      </c>
      <c r="C602" s="56" t="s">
        <v>52</v>
      </c>
      <c r="D602" s="56" t="s">
        <v>12</v>
      </c>
      <c r="E602" s="55">
        <v>31972</v>
      </c>
      <c r="F602" s="54">
        <f t="shared" ca="1" si="25"/>
        <v>29</v>
      </c>
      <c r="G602" s="53"/>
      <c r="H602" s="52">
        <v>89450</v>
      </c>
      <c r="I602" s="51">
        <v>2</v>
      </c>
    </row>
    <row r="603" spans="1:9" x14ac:dyDescent="0.25">
      <c r="A603" s="56" t="s">
        <v>52</v>
      </c>
      <c r="B603" s="58" t="s">
        <v>17</v>
      </c>
      <c r="C603" s="56" t="s">
        <v>52</v>
      </c>
      <c r="D603" s="56" t="s">
        <v>12</v>
      </c>
      <c r="E603" s="55">
        <v>32111</v>
      </c>
      <c r="F603" s="54">
        <f t="shared" ca="1" si="25"/>
        <v>28</v>
      </c>
      <c r="G603" s="53"/>
      <c r="H603" s="52">
        <v>46650</v>
      </c>
      <c r="I603" s="51">
        <v>2</v>
      </c>
    </row>
    <row r="604" spans="1:9" x14ac:dyDescent="0.25">
      <c r="A604" s="56" t="s">
        <v>52</v>
      </c>
      <c r="B604" s="58" t="s">
        <v>56</v>
      </c>
      <c r="C604" s="56" t="s">
        <v>52</v>
      </c>
      <c r="D604" s="56" t="s">
        <v>5</v>
      </c>
      <c r="E604" s="55">
        <v>32144</v>
      </c>
      <c r="F604" s="54">
        <f t="shared" ca="1" si="25"/>
        <v>28</v>
      </c>
      <c r="G604" s="53" t="s">
        <v>32</v>
      </c>
      <c r="H604" s="52">
        <v>67920</v>
      </c>
      <c r="I604" s="51">
        <v>4</v>
      </c>
    </row>
    <row r="605" spans="1:9" x14ac:dyDescent="0.25">
      <c r="A605" s="56" t="s">
        <v>52</v>
      </c>
      <c r="B605" s="58" t="s">
        <v>2</v>
      </c>
      <c r="C605" s="56" t="s">
        <v>52</v>
      </c>
      <c r="D605" s="56" t="s">
        <v>5</v>
      </c>
      <c r="E605" s="55">
        <v>32238</v>
      </c>
      <c r="F605" s="54">
        <f t="shared" ca="1" si="25"/>
        <v>28</v>
      </c>
      <c r="G605" s="53" t="s">
        <v>4</v>
      </c>
      <c r="H605" s="52">
        <v>63050</v>
      </c>
      <c r="I605" s="51">
        <v>3</v>
      </c>
    </row>
    <row r="606" spans="1:9" x14ac:dyDescent="0.25">
      <c r="A606" s="56" t="s">
        <v>52</v>
      </c>
      <c r="B606" s="58" t="s">
        <v>13</v>
      </c>
      <c r="C606" s="56" t="s">
        <v>52</v>
      </c>
      <c r="D606" s="56" t="s">
        <v>5</v>
      </c>
      <c r="E606" s="55">
        <v>32294</v>
      </c>
      <c r="F606" s="54">
        <f t="shared" ca="1" si="25"/>
        <v>28</v>
      </c>
      <c r="G606" s="53" t="s">
        <v>32</v>
      </c>
      <c r="H606" s="52">
        <v>54830</v>
      </c>
      <c r="I606" s="51">
        <v>1</v>
      </c>
    </row>
    <row r="607" spans="1:9" x14ac:dyDescent="0.25">
      <c r="A607" s="56" t="s">
        <v>52</v>
      </c>
      <c r="B607" s="58" t="s">
        <v>13</v>
      </c>
      <c r="C607" s="56" t="s">
        <v>52</v>
      </c>
      <c r="D607" s="56" t="s">
        <v>5</v>
      </c>
      <c r="E607" s="55">
        <v>32375</v>
      </c>
      <c r="F607" s="54">
        <f t="shared" ca="1" si="25"/>
        <v>28</v>
      </c>
      <c r="G607" s="53" t="s">
        <v>32</v>
      </c>
      <c r="H607" s="52">
        <v>65571</v>
      </c>
      <c r="I607" s="51">
        <v>3</v>
      </c>
    </row>
    <row r="608" spans="1:9" x14ac:dyDescent="0.25">
      <c r="A608" s="56" t="s">
        <v>52</v>
      </c>
      <c r="B608" s="58" t="s">
        <v>13</v>
      </c>
      <c r="C608" s="56" t="s">
        <v>52</v>
      </c>
      <c r="D608" s="56" t="s">
        <v>5</v>
      </c>
      <c r="E608" s="55">
        <v>32401</v>
      </c>
      <c r="F608" s="54">
        <f t="shared" ca="1" si="25"/>
        <v>28</v>
      </c>
      <c r="G608" s="53" t="s">
        <v>32</v>
      </c>
      <c r="H608" s="52">
        <v>68470</v>
      </c>
      <c r="I608" s="51">
        <v>4</v>
      </c>
    </row>
    <row r="609" spans="1:9" x14ac:dyDescent="0.25">
      <c r="A609" s="56" t="s">
        <v>52</v>
      </c>
      <c r="B609" s="58" t="s">
        <v>17</v>
      </c>
      <c r="C609" s="56" t="s">
        <v>52</v>
      </c>
      <c r="D609" s="56" t="s">
        <v>5</v>
      </c>
      <c r="E609" s="55">
        <v>32542</v>
      </c>
      <c r="F609" s="54">
        <f t="shared" ca="1" si="25"/>
        <v>27</v>
      </c>
      <c r="G609" s="53" t="s">
        <v>8</v>
      </c>
      <c r="H609" s="52">
        <v>86240</v>
      </c>
      <c r="I609" s="51">
        <v>1</v>
      </c>
    </row>
    <row r="610" spans="1:9" x14ac:dyDescent="0.25">
      <c r="A610" s="56" t="s">
        <v>52</v>
      </c>
      <c r="B610" s="58" t="s">
        <v>2</v>
      </c>
      <c r="C610" s="56" t="s">
        <v>52</v>
      </c>
      <c r="D610" s="56" t="s">
        <v>15</v>
      </c>
      <c r="E610" s="55">
        <v>32580</v>
      </c>
      <c r="F610" s="54">
        <f t="shared" ca="1" si="25"/>
        <v>27</v>
      </c>
      <c r="G610" s="53" t="s">
        <v>4</v>
      </c>
      <c r="H610" s="52">
        <v>25885</v>
      </c>
      <c r="I610" s="51">
        <v>5</v>
      </c>
    </row>
    <row r="611" spans="1:9" x14ac:dyDescent="0.25">
      <c r="A611" s="56" t="s">
        <v>52</v>
      </c>
      <c r="B611" s="58" t="s">
        <v>13</v>
      </c>
      <c r="C611" s="56" t="s">
        <v>52</v>
      </c>
      <c r="D611" s="56" t="s">
        <v>12</v>
      </c>
      <c r="E611" s="55">
        <v>32604</v>
      </c>
      <c r="F611" s="54">
        <f t="shared" ca="1" si="25"/>
        <v>27</v>
      </c>
      <c r="G611" s="53"/>
      <c r="H611" s="52">
        <v>55690</v>
      </c>
      <c r="I611" s="51">
        <v>2</v>
      </c>
    </row>
    <row r="612" spans="1:9" x14ac:dyDescent="0.25">
      <c r="A612" s="56" t="s">
        <v>52</v>
      </c>
      <c r="B612" s="58" t="s">
        <v>39</v>
      </c>
      <c r="C612" s="56" t="s">
        <v>52</v>
      </c>
      <c r="D612" s="56" t="s">
        <v>5</v>
      </c>
      <c r="E612" s="55">
        <v>32700</v>
      </c>
      <c r="F612" s="54">
        <f t="shared" ca="1" si="25"/>
        <v>27</v>
      </c>
      <c r="G612" s="53" t="s">
        <v>32</v>
      </c>
      <c r="H612" s="52">
        <v>54270</v>
      </c>
      <c r="I612" s="51">
        <v>3</v>
      </c>
    </row>
    <row r="613" spans="1:9" x14ac:dyDescent="0.25">
      <c r="A613" s="56" t="s">
        <v>52</v>
      </c>
      <c r="B613" s="58" t="s">
        <v>56</v>
      </c>
      <c r="C613" s="56" t="s">
        <v>52</v>
      </c>
      <c r="D613" s="56" t="s">
        <v>5</v>
      </c>
      <c r="E613" s="55">
        <v>32711</v>
      </c>
      <c r="F613" s="54">
        <f t="shared" ca="1" si="25"/>
        <v>27</v>
      </c>
      <c r="G613" s="53" t="s">
        <v>4</v>
      </c>
      <c r="H613" s="52">
        <v>45110</v>
      </c>
      <c r="I613" s="51">
        <v>2</v>
      </c>
    </row>
    <row r="614" spans="1:9" x14ac:dyDescent="0.25">
      <c r="A614" s="56" t="s">
        <v>52</v>
      </c>
      <c r="B614" s="58" t="s">
        <v>17</v>
      </c>
      <c r="C614" s="56" t="s">
        <v>52</v>
      </c>
      <c r="D614" s="56" t="s">
        <v>5</v>
      </c>
      <c r="E614" s="55">
        <v>32718</v>
      </c>
      <c r="F614" s="54">
        <f t="shared" ca="1" si="25"/>
        <v>27</v>
      </c>
      <c r="G614" s="53" t="s">
        <v>4</v>
      </c>
      <c r="H614" s="52">
        <v>66824</v>
      </c>
      <c r="I614" s="51">
        <v>2</v>
      </c>
    </row>
    <row r="615" spans="1:9" x14ac:dyDescent="0.25">
      <c r="A615" s="56" t="s">
        <v>52</v>
      </c>
      <c r="B615" s="58" t="s">
        <v>13</v>
      </c>
      <c r="C615" s="56" t="s">
        <v>52</v>
      </c>
      <c r="D615" s="56" t="s">
        <v>5</v>
      </c>
      <c r="E615" s="55">
        <v>32850</v>
      </c>
      <c r="F615" s="54">
        <f t="shared" ca="1" si="25"/>
        <v>26</v>
      </c>
      <c r="G615" s="53" t="s">
        <v>32</v>
      </c>
      <c r="H615" s="52">
        <v>54200</v>
      </c>
      <c r="I615" s="51">
        <v>4</v>
      </c>
    </row>
    <row r="616" spans="1:9" x14ac:dyDescent="0.25">
      <c r="A616" s="56" t="s">
        <v>52</v>
      </c>
      <c r="B616" s="58" t="s">
        <v>17</v>
      </c>
      <c r="C616" s="56" t="s">
        <v>52</v>
      </c>
      <c r="D616" s="56" t="s">
        <v>0</v>
      </c>
      <c r="E616" s="55">
        <v>32870</v>
      </c>
      <c r="F616" s="54">
        <f t="shared" ca="1" si="25"/>
        <v>26</v>
      </c>
      <c r="G616" s="53"/>
      <c r="H616" s="52">
        <v>26484</v>
      </c>
      <c r="I616" s="51">
        <v>5</v>
      </c>
    </row>
    <row r="617" spans="1:9" x14ac:dyDescent="0.25">
      <c r="A617" s="56" t="s">
        <v>52</v>
      </c>
      <c r="B617" s="58" t="s">
        <v>17</v>
      </c>
      <c r="C617" s="56" t="s">
        <v>52</v>
      </c>
      <c r="D617" s="56" t="s">
        <v>5</v>
      </c>
      <c r="E617" s="55">
        <v>32975</v>
      </c>
      <c r="F617" s="54">
        <f t="shared" ca="1" si="25"/>
        <v>26</v>
      </c>
      <c r="G617" s="53" t="s">
        <v>19</v>
      </c>
      <c r="H617" s="52">
        <v>48490</v>
      </c>
      <c r="I617" s="51">
        <v>2</v>
      </c>
    </row>
    <row r="618" spans="1:9" x14ac:dyDescent="0.25">
      <c r="A618" s="56" t="s">
        <v>52</v>
      </c>
      <c r="B618" s="58" t="s">
        <v>17</v>
      </c>
      <c r="C618" s="56" t="s">
        <v>52</v>
      </c>
      <c r="D618" s="56" t="s">
        <v>0</v>
      </c>
      <c r="E618" s="55">
        <v>33035</v>
      </c>
      <c r="F618" s="54">
        <f t="shared" ca="1" si="25"/>
        <v>26</v>
      </c>
      <c r="G618" s="53"/>
      <c r="H618" s="52">
        <v>36788</v>
      </c>
      <c r="I618" s="51">
        <v>4</v>
      </c>
    </row>
    <row r="619" spans="1:9" x14ac:dyDescent="0.25">
      <c r="A619" s="56" t="s">
        <v>52</v>
      </c>
      <c r="B619" s="58" t="s">
        <v>17</v>
      </c>
      <c r="C619" s="56" t="s">
        <v>52</v>
      </c>
      <c r="D619" s="56" t="s">
        <v>5</v>
      </c>
      <c r="E619" s="55">
        <v>33444</v>
      </c>
      <c r="F619" s="54">
        <f t="shared" ca="1" si="25"/>
        <v>25</v>
      </c>
      <c r="G619" s="53" t="s">
        <v>32</v>
      </c>
      <c r="H619" s="52">
        <v>39000</v>
      </c>
      <c r="I619" s="51">
        <v>5</v>
      </c>
    </row>
    <row r="620" spans="1:9" x14ac:dyDescent="0.25">
      <c r="A620" s="56" t="s">
        <v>52</v>
      </c>
      <c r="B620" s="58" t="s">
        <v>13</v>
      </c>
      <c r="C620" s="56" t="s">
        <v>52</v>
      </c>
      <c r="D620" s="56" t="s">
        <v>5</v>
      </c>
      <c r="E620" s="55">
        <v>33490</v>
      </c>
      <c r="F620" s="54">
        <f t="shared" ca="1" si="25"/>
        <v>25</v>
      </c>
      <c r="G620" s="53" t="s">
        <v>34</v>
      </c>
      <c r="H620" s="52">
        <v>82700</v>
      </c>
      <c r="I620" s="51">
        <v>3</v>
      </c>
    </row>
    <row r="621" spans="1:9" x14ac:dyDescent="0.25">
      <c r="A621" s="56" t="s">
        <v>52</v>
      </c>
      <c r="B621" s="58" t="s">
        <v>2</v>
      </c>
      <c r="C621" s="56" t="s">
        <v>52</v>
      </c>
      <c r="D621" s="56" t="s">
        <v>0</v>
      </c>
      <c r="E621" s="55">
        <v>33724</v>
      </c>
      <c r="F621" s="54">
        <f t="shared" ca="1" si="25"/>
        <v>24</v>
      </c>
      <c r="G621" s="53"/>
      <c r="H621" s="52">
        <v>23692</v>
      </c>
      <c r="I621" s="51">
        <v>4</v>
      </c>
    </row>
    <row r="622" spans="1:9" x14ac:dyDescent="0.25">
      <c r="A622" s="56" t="s">
        <v>52</v>
      </c>
      <c r="B622" s="58" t="s">
        <v>17</v>
      </c>
      <c r="C622" s="56" t="s">
        <v>52</v>
      </c>
      <c r="D622" s="56" t="s">
        <v>5</v>
      </c>
      <c r="E622" s="55">
        <v>34046</v>
      </c>
      <c r="F622" s="54">
        <f t="shared" ca="1" si="25"/>
        <v>23</v>
      </c>
      <c r="G622" s="53" t="s">
        <v>34</v>
      </c>
      <c r="H622" s="52">
        <v>63030</v>
      </c>
      <c r="I622" s="51">
        <v>1</v>
      </c>
    </row>
    <row r="623" spans="1:9" x14ac:dyDescent="0.25">
      <c r="A623" s="56" t="s">
        <v>52</v>
      </c>
      <c r="B623" s="58" t="s">
        <v>17</v>
      </c>
      <c r="C623" s="56" t="s">
        <v>52</v>
      </c>
      <c r="D623" s="56" t="s">
        <v>5</v>
      </c>
      <c r="E623" s="55">
        <v>34063</v>
      </c>
      <c r="F623" s="54">
        <f t="shared" ca="1" si="25"/>
        <v>23</v>
      </c>
      <c r="G623" s="53" t="s">
        <v>4</v>
      </c>
      <c r="H623" s="52">
        <v>66440</v>
      </c>
      <c r="I623" s="51">
        <v>3</v>
      </c>
    </row>
    <row r="624" spans="1:9" x14ac:dyDescent="0.25">
      <c r="A624" s="56" t="s">
        <v>52</v>
      </c>
      <c r="B624" s="58" t="s">
        <v>17</v>
      </c>
      <c r="C624" s="56" t="s">
        <v>52</v>
      </c>
      <c r="D624" s="56" t="s">
        <v>0</v>
      </c>
      <c r="E624" s="55">
        <v>34092</v>
      </c>
      <c r="F624" s="54">
        <f t="shared" ca="1" si="25"/>
        <v>23</v>
      </c>
      <c r="G624" s="53"/>
      <c r="H624" s="52">
        <v>33508</v>
      </c>
      <c r="I624" s="51">
        <v>4</v>
      </c>
    </row>
    <row r="625" spans="1:9" x14ac:dyDescent="0.25">
      <c r="A625" s="56" t="s">
        <v>52</v>
      </c>
      <c r="B625" s="58" t="s">
        <v>13</v>
      </c>
      <c r="C625" s="56" t="s">
        <v>52</v>
      </c>
      <c r="D625" s="56" t="s">
        <v>5</v>
      </c>
      <c r="E625" s="55">
        <v>34098</v>
      </c>
      <c r="F625" s="54">
        <f t="shared" ca="1" si="25"/>
        <v>23</v>
      </c>
      <c r="G625" s="53" t="s">
        <v>4</v>
      </c>
      <c r="H625" s="52">
        <v>34330</v>
      </c>
      <c r="I625" s="51">
        <v>3</v>
      </c>
    </row>
    <row r="626" spans="1:9" x14ac:dyDescent="0.25">
      <c r="A626" s="56" t="s">
        <v>52</v>
      </c>
      <c r="B626" s="58" t="s">
        <v>13</v>
      </c>
      <c r="C626" s="56" t="s">
        <v>52</v>
      </c>
      <c r="D626" s="56" t="s">
        <v>5</v>
      </c>
      <c r="E626" s="55">
        <v>34098</v>
      </c>
      <c r="F626" s="54">
        <f t="shared" ca="1" si="25"/>
        <v>23</v>
      </c>
      <c r="G626" s="53" t="s">
        <v>4</v>
      </c>
      <c r="H626" s="52">
        <v>34330</v>
      </c>
      <c r="I626" s="51">
        <v>3</v>
      </c>
    </row>
    <row r="627" spans="1:9" x14ac:dyDescent="0.25">
      <c r="A627" s="56" t="s">
        <v>52</v>
      </c>
      <c r="B627" s="58" t="s">
        <v>39</v>
      </c>
      <c r="C627" s="56" t="s">
        <v>52</v>
      </c>
      <c r="D627" s="56" t="s">
        <v>5</v>
      </c>
      <c r="E627" s="55">
        <v>34141</v>
      </c>
      <c r="F627" s="54">
        <f t="shared" ca="1" si="25"/>
        <v>23</v>
      </c>
      <c r="G627" s="53" t="s">
        <v>8</v>
      </c>
      <c r="H627" s="52">
        <v>62965</v>
      </c>
      <c r="I627" s="51">
        <v>1</v>
      </c>
    </row>
    <row r="628" spans="1:9" x14ac:dyDescent="0.25">
      <c r="A628" s="56" t="s">
        <v>52</v>
      </c>
      <c r="B628" s="58" t="s">
        <v>13</v>
      </c>
      <c r="C628" s="56" t="s">
        <v>52</v>
      </c>
      <c r="D628" s="56" t="s">
        <v>5</v>
      </c>
      <c r="E628" s="55">
        <v>34187</v>
      </c>
      <c r="F628" s="54">
        <f t="shared" ca="1" si="25"/>
        <v>23</v>
      </c>
      <c r="G628" s="53" t="s">
        <v>32</v>
      </c>
      <c r="H628" s="52">
        <v>78710</v>
      </c>
      <c r="I628" s="51">
        <v>4</v>
      </c>
    </row>
    <row r="629" spans="1:9" x14ac:dyDescent="0.25">
      <c r="A629" s="56" t="s">
        <v>52</v>
      </c>
      <c r="B629" s="58" t="s">
        <v>13</v>
      </c>
      <c r="C629" s="56" t="s">
        <v>52</v>
      </c>
      <c r="D629" s="56" t="s">
        <v>5</v>
      </c>
      <c r="E629" s="55">
        <v>34259</v>
      </c>
      <c r="F629" s="54">
        <f t="shared" ca="1" si="25"/>
        <v>23</v>
      </c>
      <c r="G629" s="53" t="s">
        <v>4</v>
      </c>
      <c r="H629" s="52">
        <v>37770</v>
      </c>
      <c r="I629" s="51">
        <v>5</v>
      </c>
    </row>
    <row r="630" spans="1:9" x14ac:dyDescent="0.25">
      <c r="A630" s="56" t="s">
        <v>52</v>
      </c>
      <c r="B630" s="58" t="s">
        <v>17</v>
      </c>
      <c r="C630" s="56" t="s">
        <v>52</v>
      </c>
      <c r="D630" s="56" t="s">
        <v>15</v>
      </c>
      <c r="E630" s="55">
        <v>34378</v>
      </c>
      <c r="F630" s="54">
        <f t="shared" ca="1" si="25"/>
        <v>22</v>
      </c>
      <c r="G630" s="53" t="s">
        <v>4</v>
      </c>
      <c r="H630" s="52">
        <v>42740</v>
      </c>
      <c r="I630" s="51">
        <v>2</v>
      </c>
    </row>
    <row r="631" spans="1:9" x14ac:dyDescent="0.25">
      <c r="A631" s="56" t="s">
        <v>52</v>
      </c>
      <c r="B631" s="58" t="s">
        <v>10</v>
      </c>
      <c r="C631" s="56" t="s">
        <v>52</v>
      </c>
      <c r="D631" s="56" t="s">
        <v>5</v>
      </c>
      <c r="E631" s="55">
        <v>34405</v>
      </c>
      <c r="F631" s="54">
        <f t="shared" ref="F631:F662" ca="1" si="26">DATEDIF(E631,TODAY(),"Y")</f>
        <v>22</v>
      </c>
      <c r="G631" s="53" t="s">
        <v>4</v>
      </c>
      <c r="H631" s="52">
        <v>32120</v>
      </c>
      <c r="I631" s="51">
        <v>1</v>
      </c>
    </row>
    <row r="632" spans="1:9" x14ac:dyDescent="0.25">
      <c r="A632" s="56" t="s">
        <v>52</v>
      </c>
      <c r="B632" s="58" t="s">
        <v>17</v>
      </c>
      <c r="C632" s="56" t="s">
        <v>52</v>
      </c>
      <c r="D632" s="56" t="s">
        <v>12</v>
      </c>
      <c r="E632" s="55">
        <v>34496</v>
      </c>
      <c r="F632" s="54">
        <f t="shared" ca="1" si="26"/>
        <v>22</v>
      </c>
      <c r="G632" s="53"/>
      <c r="H632" s="52">
        <v>86100</v>
      </c>
      <c r="I632" s="51">
        <v>4</v>
      </c>
    </row>
    <row r="633" spans="1:9" x14ac:dyDescent="0.25">
      <c r="A633" s="56" t="s">
        <v>52</v>
      </c>
      <c r="B633" s="58" t="s">
        <v>10</v>
      </c>
      <c r="C633" s="56" t="s">
        <v>52</v>
      </c>
      <c r="D633" s="56" t="s">
        <v>15</v>
      </c>
      <c r="E633" s="55">
        <v>34532</v>
      </c>
      <c r="F633" s="54">
        <f t="shared" ca="1" si="26"/>
        <v>22</v>
      </c>
      <c r="G633" s="53" t="s">
        <v>19</v>
      </c>
      <c r="H633" s="52">
        <v>39530</v>
      </c>
      <c r="I633" s="51">
        <v>5</v>
      </c>
    </row>
    <row r="634" spans="1:9" x14ac:dyDescent="0.25">
      <c r="A634" s="56" t="s">
        <v>52</v>
      </c>
      <c r="B634" s="58" t="s">
        <v>17</v>
      </c>
      <c r="C634" s="56" t="s">
        <v>52</v>
      </c>
      <c r="D634" s="56" t="s">
        <v>0</v>
      </c>
      <c r="E634" s="55">
        <v>34551</v>
      </c>
      <c r="F634" s="54">
        <f t="shared" ca="1" si="26"/>
        <v>22</v>
      </c>
      <c r="G634" s="53"/>
      <c r="H634" s="52">
        <v>12836</v>
      </c>
      <c r="I634" s="51">
        <v>5</v>
      </c>
    </row>
    <row r="635" spans="1:9" x14ac:dyDescent="0.25">
      <c r="A635" s="56" t="s">
        <v>52</v>
      </c>
      <c r="B635" s="58" t="s">
        <v>39</v>
      </c>
      <c r="C635" s="56" t="s">
        <v>52</v>
      </c>
      <c r="D635" s="56" t="s">
        <v>0</v>
      </c>
      <c r="E635" s="55">
        <v>34559</v>
      </c>
      <c r="F635" s="54">
        <f t="shared" ca="1" si="26"/>
        <v>22</v>
      </c>
      <c r="G635" s="53"/>
      <c r="H635" s="52">
        <v>17912</v>
      </c>
      <c r="I635" s="51">
        <v>5</v>
      </c>
    </row>
    <row r="636" spans="1:9" x14ac:dyDescent="0.25">
      <c r="A636" s="56" t="s">
        <v>52</v>
      </c>
      <c r="B636" s="58" t="s">
        <v>13</v>
      </c>
      <c r="C636" s="56" t="s">
        <v>52</v>
      </c>
      <c r="D636" s="56" t="s">
        <v>5</v>
      </c>
      <c r="E636" s="55">
        <v>34586</v>
      </c>
      <c r="F636" s="54">
        <f t="shared" ca="1" si="26"/>
        <v>22</v>
      </c>
      <c r="G636" s="53" t="s">
        <v>4</v>
      </c>
      <c r="H636" s="52">
        <v>70280</v>
      </c>
      <c r="I636" s="51">
        <v>3</v>
      </c>
    </row>
    <row r="637" spans="1:9" x14ac:dyDescent="0.25">
      <c r="A637" s="56" t="s">
        <v>52</v>
      </c>
      <c r="B637" s="58" t="s">
        <v>17</v>
      </c>
      <c r="C637" s="56" t="s">
        <v>52</v>
      </c>
      <c r="D637" s="56" t="s">
        <v>5</v>
      </c>
      <c r="E637" s="55">
        <v>34702</v>
      </c>
      <c r="F637" s="54">
        <f t="shared" ca="1" si="26"/>
        <v>21</v>
      </c>
      <c r="G637" s="53" t="s">
        <v>34</v>
      </c>
      <c r="H637" s="52">
        <v>78950</v>
      </c>
      <c r="I637" s="51">
        <v>1</v>
      </c>
    </row>
    <row r="638" spans="1:9" x14ac:dyDescent="0.25">
      <c r="A638" s="56" t="s">
        <v>52</v>
      </c>
      <c r="B638" s="58" t="s">
        <v>39</v>
      </c>
      <c r="C638" s="56" t="s">
        <v>52</v>
      </c>
      <c r="D638" s="56" t="s">
        <v>12</v>
      </c>
      <c r="E638" s="55">
        <v>34760</v>
      </c>
      <c r="F638" s="54">
        <f t="shared" ca="1" si="26"/>
        <v>21</v>
      </c>
      <c r="G638" s="53"/>
      <c r="H638" s="52">
        <v>59050</v>
      </c>
      <c r="I638" s="51">
        <v>4</v>
      </c>
    </row>
    <row r="639" spans="1:9" x14ac:dyDescent="0.25">
      <c r="A639" s="56" t="s">
        <v>52</v>
      </c>
      <c r="B639" s="58" t="s">
        <v>17</v>
      </c>
      <c r="C639" s="56" t="s">
        <v>52</v>
      </c>
      <c r="D639" s="56" t="s">
        <v>5</v>
      </c>
      <c r="E639" s="55">
        <v>34768</v>
      </c>
      <c r="F639" s="54">
        <f t="shared" ca="1" si="26"/>
        <v>21</v>
      </c>
      <c r="G639" s="53" t="s">
        <v>8</v>
      </c>
      <c r="H639" s="52">
        <v>79610</v>
      </c>
      <c r="I639" s="51">
        <v>2</v>
      </c>
    </row>
    <row r="640" spans="1:9" x14ac:dyDescent="0.25">
      <c r="A640" s="56" t="s">
        <v>52</v>
      </c>
      <c r="B640" s="58" t="s">
        <v>39</v>
      </c>
      <c r="C640" s="56" t="s">
        <v>52</v>
      </c>
      <c r="D640" s="56" t="s">
        <v>5</v>
      </c>
      <c r="E640" s="55">
        <v>34771</v>
      </c>
      <c r="F640" s="54">
        <f t="shared" ca="1" si="26"/>
        <v>21</v>
      </c>
      <c r="G640" s="53" t="s">
        <v>4</v>
      </c>
      <c r="H640" s="52">
        <v>67407</v>
      </c>
      <c r="I640" s="51">
        <v>5</v>
      </c>
    </row>
    <row r="641" spans="1:9" x14ac:dyDescent="0.25">
      <c r="A641" s="56" t="s">
        <v>52</v>
      </c>
      <c r="B641" s="58" t="s">
        <v>17</v>
      </c>
      <c r="C641" s="56" t="s">
        <v>52</v>
      </c>
      <c r="D641" s="56" t="s">
        <v>15</v>
      </c>
      <c r="E641" s="55">
        <v>34886</v>
      </c>
      <c r="F641" s="54">
        <f t="shared" ca="1" si="26"/>
        <v>21</v>
      </c>
      <c r="G641" s="53" t="s">
        <v>32</v>
      </c>
      <c r="H641" s="52">
        <v>34980</v>
      </c>
      <c r="I641" s="51">
        <v>2</v>
      </c>
    </row>
    <row r="642" spans="1:9" x14ac:dyDescent="0.25">
      <c r="A642" s="56" t="s">
        <v>52</v>
      </c>
      <c r="B642" s="58" t="s">
        <v>13</v>
      </c>
      <c r="C642" s="56" t="s">
        <v>52</v>
      </c>
      <c r="D642" s="56" t="s">
        <v>12</v>
      </c>
      <c r="E642" s="55">
        <v>34904</v>
      </c>
      <c r="F642" s="54">
        <f t="shared" ca="1" si="26"/>
        <v>21</v>
      </c>
      <c r="G642" s="53"/>
      <c r="H642" s="52">
        <v>53310</v>
      </c>
      <c r="I642" s="51">
        <v>5</v>
      </c>
    </row>
    <row r="643" spans="1:9" x14ac:dyDescent="0.25">
      <c r="A643" s="56" t="s">
        <v>52</v>
      </c>
      <c r="B643" s="58" t="s">
        <v>13</v>
      </c>
      <c r="C643" s="56" t="s">
        <v>52</v>
      </c>
      <c r="D643" s="56" t="s">
        <v>5</v>
      </c>
      <c r="E643" s="55">
        <v>34935</v>
      </c>
      <c r="F643" s="54">
        <f t="shared" ca="1" si="26"/>
        <v>21</v>
      </c>
      <c r="G643" s="53" t="s">
        <v>32</v>
      </c>
      <c r="H643" s="52">
        <v>58410</v>
      </c>
      <c r="I643" s="51">
        <v>5</v>
      </c>
    </row>
    <row r="644" spans="1:9" x14ac:dyDescent="0.25">
      <c r="A644" s="56" t="s">
        <v>52</v>
      </c>
      <c r="B644" s="58" t="s">
        <v>39</v>
      </c>
      <c r="C644" s="56" t="s">
        <v>52</v>
      </c>
      <c r="D644" s="56" t="s">
        <v>5</v>
      </c>
      <c r="E644" s="55">
        <v>34980</v>
      </c>
      <c r="F644" s="54">
        <f t="shared" ca="1" si="26"/>
        <v>21</v>
      </c>
      <c r="G644" s="53" t="s">
        <v>4</v>
      </c>
      <c r="H644" s="52">
        <v>39000</v>
      </c>
      <c r="I644" s="51">
        <v>3</v>
      </c>
    </row>
    <row r="645" spans="1:9" x14ac:dyDescent="0.25">
      <c r="A645" s="56" t="s">
        <v>52</v>
      </c>
      <c r="B645" s="58" t="s">
        <v>13</v>
      </c>
      <c r="C645" s="56" t="s">
        <v>52</v>
      </c>
      <c r="D645" s="56" t="s">
        <v>5</v>
      </c>
      <c r="E645" s="55">
        <v>35002</v>
      </c>
      <c r="F645" s="54">
        <f t="shared" ca="1" si="26"/>
        <v>21</v>
      </c>
      <c r="G645" s="53" t="s">
        <v>32</v>
      </c>
      <c r="H645" s="52">
        <v>69200</v>
      </c>
      <c r="I645" s="51">
        <v>4</v>
      </c>
    </row>
    <row r="646" spans="1:9" x14ac:dyDescent="0.25">
      <c r="A646" s="56" t="s">
        <v>52</v>
      </c>
      <c r="B646" s="58" t="s">
        <v>39</v>
      </c>
      <c r="C646" s="56" t="s">
        <v>52</v>
      </c>
      <c r="D646" s="56" t="s">
        <v>5</v>
      </c>
      <c r="E646" s="55">
        <v>35050</v>
      </c>
      <c r="F646" s="54">
        <f t="shared" ca="1" si="26"/>
        <v>20</v>
      </c>
      <c r="G646" s="53" t="s">
        <v>4</v>
      </c>
      <c r="H646" s="52">
        <v>67020</v>
      </c>
      <c r="I646" s="51">
        <v>1</v>
      </c>
    </row>
    <row r="647" spans="1:9" x14ac:dyDescent="0.25">
      <c r="A647" s="56" t="s">
        <v>52</v>
      </c>
      <c r="B647" s="58" t="s">
        <v>17</v>
      </c>
      <c r="C647" s="56" t="s">
        <v>52</v>
      </c>
      <c r="D647" s="56" t="s">
        <v>12</v>
      </c>
      <c r="E647" s="55">
        <v>35096</v>
      </c>
      <c r="F647" s="54">
        <f t="shared" ca="1" si="26"/>
        <v>20</v>
      </c>
      <c r="G647" s="53"/>
      <c r="H647" s="52">
        <v>60800</v>
      </c>
      <c r="I647" s="51">
        <v>4</v>
      </c>
    </row>
    <row r="648" spans="1:9" x14ac:dyDescent="0.25">
      <c r="A648" s="56" t="s">
        <v>52</v>
      </c>
      <c r="B648" s="58" t="s">
        <v>13</v>
      </c>
      <c r="C648" s="56" t="s">
        <v>52</v>
      </c>
      <c r="D648" s="56" t="s">
        <v>5</v>
      </c>
      <c r="E648" s="55">
        <v>35097</v>
      </c>
      <c r="F648" s="54">
        <f t="shared" ca="1" si="26"/>
        <v>20</v>
      </c>
      <c r="G648" s="53" t="s">
        <v>34</v>
      </c>
      <c r="H648" s="52">
        <v>45880</v>
      </c>
      <c r="I648" s="51">
        <v>5</v>
      </c>
    </row>
    <row r="649" spans="1:9" x14ac:dyDescent="0.25">
      <c r="A649" s="56" t="s">
        <v>52</v>
      </c>
      <c r="B649" s="58" t="s">
        <v>13</v>
      </c>
      <c r="C649" s="56" t="s">
        <v>52</v>
      </c>
      <c r="D649" s="56" t="s">
        <v>15</v>
      </c>
      <c r="E649" s="55">
        <v>35113</v>
      </c>
      <c r="F649" s="54">
        <f t="shared" ca="1" si="26"/>
        <v>20</v>
      </c>
      <c r="G649" s="53" t="s">
        <v>8</v>
      </c>
      <c r="H649" s="52">
        <v>47350</v>
      </c>
      <c r="I649" s="51">
        <v>1</v>
      </c>
    </row>
    <row r="650" spans="1:9" x14ac:dyDescent="0.25">
      <c r="A650" s="56" t="s">
        <v>52</v>
      </c>
      <c r="B650" s="58" t="s">
        <v>13</v>
      </c>
      <c r="C650" s="56" t="s">
        <v>52</v>
      </c>
      <c r="D650" s="56" t="s">
        <v>12</v>
      </c>
      <c r="E650" s="55">
        <v>35169</v>
      </c>
      <c r="F650" s="54">
        <f t="shared" ca="1" si="26"/>
        <v>20</v>
      </c>
      <c r="G650" s="53"/>
      <c r="H650" s="52">
        <v>54840</v>
      </c>
      <c r="I650" s="51">
        <v>4</v>
      </c>
    </row>
    <row r="651" spans="1:9" x14ac:dyDescent="0.25">
      <c r="A651" s="56" t="s">
        <v>52</v>
      </c>
      <c r="B651" s="58" t="s">
        <v>2</v>
      </c>
      <c r="C651" s="56" t="s">
        <v>52</v>
      </c>
      <c r="D651" s="56" t="s">
        <v>5</v>
      </c>
      <c r="E651" s="55">
        <v>35204</v>
      </c>
      <c r="F651" s="54">
        <f t="shared" ca="1" si="26"/>
        <v>20</v>
      </c>
      <c r="G651" s="53" t="s">
        <v>4</v>
      </c>
      <c r="H651" s="52">
        <v>48250</v>
      </c>
      <c r="I651" s="51">
        <v>3</v>
      </c>
    </row>
    <row r="652" spans="1:9" x14ac:dyDescent="0.25">
      <c r="A652" s="56" t="s">
        <v>52</v>
      </c>
      <c r="B652" s="58" t="s">
        <v>13</v>
      </c>
      <c r="C652" s="56" t="s">
        <v>52</v>
      </c>
      <c r="D652" s="56" t="s">
        <v>5</v>
      </c>
      <c r="E652" s="55">
        <v>35216</v>
      </c>
      <c r="F652" s="54">
        <f t="shared" ca="1" si="26"/>
        <v>20</v>
      </c>
      <c r="G652" s="53" t="s">
        <v>32</v>
      </c>
      <c r="H652" s="52">
        <v>29260</v>
      </c>
      <c r="I652" s="51">
        <v>4</v>
      </c>
    </row>
    <row r="653" spans="1:9" x14ac:dyDescent="0.25">
      <c r="A653" s="56" t="s">
        <v>52</v>
      </c>
      <c r="B653" s="58" t="s">
        <v>17</v>
      </c>
      <c r="C653" s="56" t="s">
        <v>52</v>
      </c>
      <c r="D653" s="56" t="s">
        <v>15</v>
      </c>
      <c r="E653" s="55">
        <v>35221</v>
      </c>
      <c r="F653" s="54">
        <f t="shared" ca="1" si="26"/>
        <v>20</v>
      </c>
      <c r="G653" s="53" t="s">
        <v>19</v>
      </c>
      <c r="H653" s="52">
        <v>20990</v>
      </c>
      <c r="I653" s="51">
        <v>4</v>
      </c>
    </row>
    <row r="654" spans="1:9" x14ac:dyDescent="0.25">
      <c r="A654" s="56" t="s">
        <v>52</v>
      </c>
      <c r="B654" s="58" t="s">
        <v>2</v>
      </c>
      <c r="C654" s="56" t="s">
        <v>52</v>
      </c>
      <c r="D654" s="56" t="s">
        <v>0</v>
      </c>
      <c r="E654" s="55">
        <v>35247</v>
      </c>
      <c r="F654" s="54">
        <f t="shared" ca="1" si="26"/>
        <v>20</v>
      </c>
      <c r="G654" s="53"/>
      <c r="H654" s="52">
        <v>15552</v>
      </c>
      <c r="I654" s="51">
        <v>4</v>
      </c>
    </row>
    <row r="655" spans="1:9" x14ac:dyDescent="0.25">
      <c r="A655" s="56" t="s">
        <v>52</v>
      </c>
      <c r="B655" s="58" t="s">
        <v>17</v>
      </c>
      <c r="C655" s="56" t="s">
        <v>52</v>
      </c>
      <c r="D655" s="56" t="s">
        <v>12</v>
      </c>
      <c r="E655" s="55">
        <v>35332</v>
      </c>
      <c r="F655" s="54">
        <f t="shared" ca="1" si="26"/>
        <v>20</v>
      </c>
      <c r="G655" s="53"/>
      <c r="H655" s="52">
        <v>77760</v>
      </c>
      <c r="I655" s="51">
        <v>3</v>
      </c>
    </row>
    <row r="656" spans="1:9" x14ac:dyDescent="0.25">
      <c r="A656" s="56" t="s">
        <v>52</v>
      </c>
      <c r="B656" s="58" t="s">
        <v>17</v>
      </c>
      <c r="C656" s="56" t="s">
        <v>52</v>
      </c>
      <c r="D656" s="56" t="s">
        <v>12</v>
      </c>
      <c r="E656" s="55">
        <v>35332</v>
      </c>
      <c r="F656" s="54">
        <f t="shared" ca="1" si="26"/>
        <v>20</v>
      </c>
      <c r="G656" s="53"/>
      <c r="H656" s="52">
        <v>77760</v>
      </c>
      <c r="I656" s="51">
        <v>3</v>
      </c>
    </row>
    <row r="657" spans="1:9" x14ac:dyDescent="0.25">
      <c r="A657" s="56" t="s">
        <v>52</v>
      </c>
      <c r="B657" s="58" t="s">
        <v>56</v>
      </c>
      <c r="C657" s="56" t="s">
        <v>52</v>
      </c>
      <c r="D657" s="56" t="s">
        <v>12</v>
      </c>
      <c r="E657" s="55">
        <v>35772</v>
      </c>
      <c r="F657" s="54">
        <f t="shared" ca="1" si="26"/>
        <v>18</v>
      </c>
      <c r="G657" s="53"/>
      <c r="H657" s="52">
        <v>46780</v>
      </c>
      <c r="I657" s="51">
        <v>2</v>
      </c>
    </row>
    <row r="658" spans="1:9" x14ac:dyDescent="0.25">
      <c r="A658" s="56" t="s">
        <v>52</v>
      </c>
      <c r="B658" s="58" t="s">
        <v>2</v>
      </c>
      <c r="C658" s="56" t="s">
        <v>52</v>
      </c>
      <c r="D658" s="56" t="s">
        <v>5</v>
      </c>
      <c r="E658" s="55">
        <v>36315</v>
      </c>
      <c r="F658" s="54">
        <f t="shared" ca="1" si="26"/>
        <v>17</v>
      </c>
      <c r="G658" s="53" t="s">
        <v>4</v>
      </c>
      <c r="H658" s="52">
        <v>82490</v>
      </c>
      <c r="I658" s="51">
        <v>5</v>
      </c>
    </row>
    <row r="659" spans="1:9" x14ac:dyDescent="0.25">
      <c r="A659" s="56" t="s">
        <v>52</v>
      </c>
      <c r="B659" s="58" t="s">
        <v>39</v>
      </c>
      <c r="C659" s="56" t="s">
        <v>52</v>
      </c>
      <c r="D659" s="56" t="s">
        <v>15</v>
      </c>
      <c r="E659" s="55">
        <v>36465</v>
      </c>
      <c r="F659" s="54">
        <f t="shared" ca="1" si="26"/>
        <v>17</v>
      </c>
      <c r="G659" s="53" t="s">
        <v>34</v>
      </c>
      <c r="H659" s="52">
        <v>28525</v>
      </c>
      <c r="I659" s="51">
        <v>4</v>
      </c>
    </row>
    <row r="660" spans="1:9" x14ac:dyDescent="0.25">
      <c r="A660" s="56" t="s">
        <v>52</v>
      </c>
      <c r="B660" s="58" t="s">
        <v>10</v>
      </c>
      <c r="C660" s="56" t="s">
        <v>52</v>
      </c>
      <c r="D660" s="56" t="s">
        <v>5</v>
      </c>
      <c r="E660" s="55">
        <v>36483</v>
      </c>
      <c r="F660" s="54">
        <f t="shared" ca="1" si="26"/>
        <v>16</v>
      </c>
      <c r="G660" s="53" t="s">
        <v>32</v>
      </c>
      <c r="H660" s="52">
        <v>29210</v>
      </c>
      <c r="I660" s="51">
        <v>5</v>
      </c>
    </row>
    <row r="661" spans="1:9" x14ac:dyDescent="0.25">
      <c r="A661" s="56" t="s">
        <v>52</v>
      </c>
      <c r="B661" s="58" t="s">
        <v>10</v>
      </c>
      <c r="C661" s="56" t="s">
        <v>52</v>
      </c>
      <c r="D661" s="56" t="s">
        <v>15</v>
      </c>
      <c r="E661" s="55">
        <v>36505</v>
      </c>
      <c r="F661" s="54">
        <f t="shared" ca="1" si="26"/>
        <v>16</v>
      </c>
      <c r="G661" s="53" t="s">
        <v>32</v>
      </c>
      <c r="H661" s="52">
        <v>48740</v>
      </c>
      <c r="I661" s="51">
        <v>1</v>
      </c>
    </row>
    <row r="662" spans="1:9" x14ac:dyDescent="0.25">
      <c r="A662" s="56" t="s">
        <v>52</v>
      </c>
      <c r="B662" s="58" t="s">
        <v>56</v>
      </c>
      <c r="C662" s="56" t="s">
        <v>52</v>
      </c>
      <c r="D662" s="56" t="s">
        <v>12</v>
      </c>
      <c r="E662" s="55">
        <v>36717</v>
      </c>
      <c r="F662" s="54">
        <f t="shared" ca="1" si="26"/>
        <v>16</v>
      </c>
      <c r="G662" s="53"/>
      <c r="H662" s="52">
        <v>64590</v>
      </c>
      <c r="I662" s="51">
        <v>1</v>
      </c>
    </row>
    <row r="663" spans="1:9" x14ac:dyDescent="0.25">
      <c r="A663" s="56" t="s">
        <v>52</v>
      </c>
      <c r="B663" s="58" t="s">
        <v>39</v>
      </c>
      <c r="C663" s="56" t="s">
        <v>52</v>
      </c>
      <c r="D663" s="56" t="s">
        <v>5</v>
      </c>
      <c r="E663" s="55">
        <v>36927</v>
      </c>
      <c r="F663" s="54">
        <f t="shared" ref="F663:F674" ca="1" si="27">DATEDIF(E663,TODAY(),"Y")</f>
        <v>15</v>
      </c>
      <c r="G663" s="53" t="s">
        <v>4</v>
      </c>
      <c r="H663" s="52">
        <v>31910</v>
      </c>
      <c r="I663" s="51">
        <v>5</v>
      </c>
    </row>
    <row r="664" spans="1:9" x14ac:dyDescent="0.25">
      <c r="A664" s="56" t="s">
        <v>52</v>
      </c>
      <c r="B664" s="58" t="s">
        <v>10</v>
      </c>
      <c r="C664" s="56" t="s">
        <v>52</v>
      </c>
      <c r="D664" s="56" t="s">
        <v>5</v>
      </c>
      <c r="E664" s="55">
        <v>37043</v>
      </c>
      <c r="F664" s="54">
        <f t="shared" ca="1" si="27"/>
        <v>15</v>
      </c>
      <c r="G664" s="53" t="s">
        <v>4</v>
      </c>
      <c r="H664" s="52">
        <v>83710</v>
      </c>
      <c r="I664" s="51">
        <v>3</v>
      </c>
    </row>
    <row r="665" spans="1:9" x14ac:dyDescent="0.25">
      <c r="A665" s="56" t="s">
        <v>52</v>
      </c>
      <c r="B665" s="58" t="s">
        <v>13</v>
      </c>
      <c r="C665" s="56" t="s">
        <v>52</v>
      </c>
      <c r="D665" s="56" t="s">
        <v>12</v>
      </c>
      <c r="E665" s="55">
        <v>37483</v>
      </c>
      <c r="F665" s="54">
        <f t="shared" ca="1" si="27"/>
        <v>14</v>
      </c>
      <c r="G665" s="53"/>
      <c r="H665" s="52">
        <v>85930</v>
      </c>
      <c r="I665" s="51">
        <v>2</v>
      </c>
    </row>
    <row r="666" spans="1:9" x14ac:dyDescent="0.25">
      <c r="A666" s="56" t="s">
        <v>52</v>
      </c>
      <c r="B666" s="58" t="s">
        <v>13</v>
      </c>
      <c r="C666" s="56" t="s">
        <v>52</v>
      </c>
      <c r="D666" s="56" t="s">
        <v>12</v>
      </c>
      <c r="E666" s="55">
        <v>37483</v>
      </c>
      <c r="F666" s="54">
        <f t="shared" ca="1" si="27"/>
        <v>14</v>
      </c>
      <c r="G666" s="53"/>
      <c r="H666" s="52">
        <v>85930</v>
      </c>
      <c r="I666" s="51">
        <v>2</v>
      </c>
    </row>
    <row r="667" spans="1:9" x14ac:dyDescent="0.25">
      <c r="A667" s="56" t="s">
        <v>52</v>
      </c>
      <c r="B667" s="58" t="s">
        <v>13</v>
      </c>
      <c r="C667" s="56" t="s">
        <v>52</v>
      </c>
      <c r="D667" s="56" t="s">
        <v>5</v>
      </c>
      <c r="E667" s="55">
        <v>37592</v>
      </c>
      <c r="F667" s="54">
        <f t="shared" ca="1" si="27"/>
        <v>13</v>
      </c>
      <c r="G667" s="53" t="s">
        <v>32</v>
      </c>
      <c r="H667" s="52">
        <v>73560</v>
      </c>
      <c r="I667" s="51">
        <v>3</v>
      </c>
    </row>
    <row r="668" spans="1:9" x14ac:dyDescent="0.25">
      <c r="A668" s="56" t="s">
        <v>52</v>
      </c>
      <c r="B668" s="58" t="s">
        <v>39</v>
      </c>
      <c r="C668" s="56" t="s">
        <v>52</v>
      </c>
      <c r="D668" s="56" t="s">
        <v>5</v>
      </c>
      <c r="E668" s="55">
        <v>37843</v>
      </c>
      <c r="F668" s="54">
        <f t="shared" ca="1" si="27"/>
        <v>13</v>
      </c>
      <c r="G668" s="53" t="s">
        <v>4</v>
      </c>
      <c r="H668" s="52">
        <v>43600</v>
      </c>
      <c r="I668" s="51">
        <v>5</v>
      </c>
    </row>
    <row r="669" spans="1:9" x14ac:dyDescent="0.25">
      <c r="A669" s="56" t="s">
        <v>52</v>
      </c>
      <c r="B669" s="58" t="s">
        <v>13</v>
      </c>
      <c r="C669" s="56" t="s">
        <v>52</v>
      </c>
      <c r="D669" s="56" t="s">
        <v>12</v>
      </c>
      <c r="E669" s="55">
        <v>38410</v>
      </c>
      <c r="F669" s="54">
        <f t="shared" ca="1" si="27"/>
        <v>11</v>
      </c>
      <c r="G669" s="53"/>
      <c r="H669" s="52">
        <v>43320</v>
      </c>
      <c r="I669" s="51">
        <v>5</v>
      </c>
    </row>
    <row r="670" spans="1:9" x14ac:dyDescent="0.25">
      <c r="A670" s="56" t="s">
        <v>52</v>
      </c>
      <c r="B670" s="58" t="s">
        <v>13</v>
      </c>
      <c r="C670" s="56" t="s">
        <v>52</v>
      </c>
      <c r="D670" s="56" t="s">
        <v>5</v>
      </c>
      <c r="E670" s="55">
        <v>38435</v>
      </c>
      <c r="F670" s="54">
        <f t="shared" ca="1" si="27"/>
        <v>11</v>
      </c>
      <c r="G670" s="53" t="s">
        <v>4</v>
      </c>
      <c r="H670" s="52">
        <v>29330</v>
      </c>
      <c r="I670" s="51">
        <v>5</v>
      </c>
    </row>
    <row r="671" spans="1:9" x14ac:dyDescent="0.25">
      <c r="A671" s="56" t="s">
        <v>52</v>
      </c>
      <c r="B671" s="58" t="s">
        <v>39</v>
      </c>
      <c r="C671" s="56" t="s">
        <v>52</v>
      </c>
      <c r="D671" s="56" t="s">
        <v>5</v>
      </c>
      <c r="E671" s="55">
        <v>38505</v>
      </c>
      <c r="F671" s="54">
        <f t="shared" ca="1" si="27"/>
        <v>11</v>
      </c>
      <c r="G671" s="53" t="s">
        <v>4</v>
      </c>
      <c r="H671" s="52">
        <v>72060</v>
      </c>
      <c r="I671" s="51">
        <v>2</v>
      </c>
    </row>
    <row r="672" spans="1:9" x14ac:dyDescent="0.25">
      <c r="A672" s="56" t="s">
        <v>52</v>
      </c>
      <c r="B672" s="58" t="s">
        <v>10</v>
      </c>
      <c r="C672" s="56" t="s">
        <v>52</v>
      </c>
      <c r="D672" s="56" t="s">
        <v>5</v>
      </c>
      <c r="E672" s="55">
        <v>38768</v>
      </c>
      <c r="F672" s="54">
        <f t="shared" ca="1" si="27"/>
        <v>10</v>
      </c>
      <c r="G672" s="53" t="s">
        <v>4</v>
      </c>
      <c r="H672" s="52">
        <v>23190</v>
      </c>
      <c r="I672" s="51">
        <v>5</v>
      </c>
    </row>
    <row r="673" spans="1:9" x14ac:dyDescent="0.25">
      <c r="A673" s="56" t="s">
        <v>52</v>
      </c>
      <c r="B673" s="58" t="s">
        <v>17</v>
      </c>
      <c r="C673" s="56" t="s">
        <v>52</v>
      </c>
      <c r="D673" s="56" t="s">
        <v>12</v>
      </c>
      <c r="E673" s="55">
        <v>39040</v>
      </c>
      <c r="F673" s="54">
        <f t="shared" ca="1" si="27"/>
        <v>9</v>
      </c>
      <c r="G673" s="53"/>
      <c r="H673" s="52">
        <v>21580</v>
      </c>
      <c r="I673" s="51">
        <v>3</v>
      </c>
    </row>
    <row r="674" spans="1:9" x14ac:dyDescent="0.25">
      <c r="A674" s="56" t="s">
        <v>52</v>
      </c>
      <c r="B674" s="58" t="s">
        <v>13</v>
      </c>
      <c r="C674" s="56" t="s">
        <v>52</v>
      </c>
      <c r="D674" s="56" t="s">
        <v>5</v>
      </c>
      <c r="E674" s="55">
        <v>39271</v>
      </c>
      <c r="F674" s="54">
        <f t="shared" ca="1" si="27"/>
        <v>9</v>
      </c>
      <c r="G674" s="53" t="s">
        <v>19</v>
      </c>
      <c r="H674" s="52">
        <v>80260</v>
      </c>
      <c r="I674" s="51">
        <v>3</v>
      </c>
    </row>
    <row r="675" spans="1:9" x14ac:dyDescent="0.25">
      <c r="A675" s="57"/>
      <c r="B675" s="58"/>
      <c r="C675" s="57"/>
      <c r="D675" s="56"/>
      <c r="E675" s="55"/>
      <c r="F675" s="54"/>
      <c r="G675" s="53"/>
      <c r="H675" s="52"/>
      <c r="I675" s="51"/>
    </row>
    <row r="676" spans="1:9" x14ac:dyDescent="0.25">
      <c r="A676" s="56" t="s">
        <v>6</v>
      </c>
      <c r="B676" s="58" t="s">
        <v>13</v>
      </c>
      <c r="C676" s="56" t="s">
        <v>6</v>
      </c>
      <c r="D676" s="56" t="s">
        <v>12</v>
      </c>
      <c r="E676" s="55">
        <v>31834</v>
      </c>
      <c r="F676" s="54">
        <f t="shared" ref="F676:F707" ca="1" si="28">DATEDIF(E676,TODAY(),"Y")</f>
        <v>29</v>
      </c>
      <c r="G676" s="53"/>
      <c r="H676" s="52">
        <v>23340</v>
      </c>
      <c r="I676" s="51">
        <v>4</v>
      </c>
    </row>
    <row r="677" spans="1:9" x14ac:dyDescent="0.25">
      <c r="A677" s="56" t="s">
        <v>6</v>
      </c>
      <c r="B677" s="58" t="s">
        <v>17</v>
      </c>
      <c r="C677" s="56" t="s">
        <v>6</v>
      </c>
      <c r="D677" s="56" t="s">
        <v>12</v>
      </c>
      <c r="E677" s="55">
        <v>31883</v>
      </c>
      <c r="F677" s="54">
        <f t="shared" ca="1" si="28"/>
        <v>29</v>
      </c>
      <c r="G677" s="53"/>
      <c r="H677" s="52">
        <v>63610</v>
      </c>
      <c r="I677" s="51">
        <v>5</v>
      </c>
    </row>
    <row r="678" spans="1:9" x14ac:dyDescent="0.25">
      <c r="A678" s="56" t="s">
        <v>6</v>
      </c>
      <c r="B678" s="58" t="s">
        <v>17</v>
      </c>
      <c r="C678" s="56" t="s">
        <v>6</v>
      </c>
      <c r="D678" s="56" t="s">
        <v>5</v>
      </c>
      <c r="E678" s="55">
        <v>31969</v>
      </c>
      <c r="F678" s="54">
        <f t="shared" ca="1" si="28"/>
        <v>29</v>
      </c>
      <c r="G678" s="53" t="s">
        <v>32</v>
      </c>
      <c r="H678" s="52">
        <v>24200</v>
      </c>
      <c r="I678" s="51">
        <v>5</v>
      </c>
    </row>
    <row r="679" spans="1:9" x14ac:dyDescent="0.25">
      <c r="A679" s="56" t="s">
        <v>6</v>
      </c>
      <c r="B679" s="58" t="s">
        <v>13</v>
      </c>
      <c r="C679" s="56" t="s">
        <v>6</v>
      </c>
      <c r="D679" s="56" t="s">
        <v>15</v>
      </c>
      <c r="E679" s="55">
        <v>32081</v>
      </c>
      <c r="F679" s="54">
        <f t="shared" ca="1" si="28"/>
        <v>29</v>
      </c>
      <c r="G679" s="53" t="s">
        <v>4</v>
      </c>
      <c r="H679" s="52">
        <v>13455</v>
      </c>
      <c r="I679" s="51">
        <v>2</v>
      </c>
    </row>
    <row r="680" spans="1:9" x14ac:dyDescent="0.25">
      <c r="A680" s="56" t="s">
        <v>6</v>
      </c>
      <c r="B680" s="58" t="s">
        <v>39</v>
      </c>
      <c r="C680" s="56" t="s">
        <v>6</v>
      </c>
      <c r="D680" s="56" t="s">
        <v>12</v>
      </c>
      <c r="E680" s="55">
        <v>32091</v>
      </c>
      <c r="F680" s="54">
        <f t="shared" ca="1" si="28"/>
        <v>28</v>
      </c>
      <c r="G680" s="53"/>
      <c r="H680" s="52">
        <v>34680</v>
      </c>
      <c r="I680" s="51">
        <v>5</v>
      </c>
    </row>
    <row r="681" spans="1:9" x14ac:dyDescent="0.25">
      <c r="A681" s="56" t="s">
        <v>6</v>
      </c>
      <c r="B681" s="58" t="s">
        <v>10</v>
      </c>
      <c r="C681" s="56" t="s">
        <v>6</v>
      </c>
      <c r="D681" s="56" t="s">
        <v>12</v>
      </c>
      <c r="E681" s="55">
        <v>32103</v>
      </c>
      <c r="F681" s="54">
        <f t="shared" ca="1" si="28"/>
        <v>28</v>
      </c>
      <c r="G681" s="53"/>
      <c r="H681" s="52">
        <v>26020</v>
      </c>
      <c r="I681" s="51">
        <v>5</v>
      </c>
    </row>
    <row r="682" spans="1:9" x14ac:dyDescent="0.25">
      <c r="A682" s="56" t="s">
        <v>6</v>
      </c>
      <c r="B682" s="58" t="s">
        <v>13</v>
      </c>
      <c r="C682" s="56" t="s">
        <v>6</v>
      </c>
      <c r="D682" s="56" t="s">
        <v>12</v>
      </c>
      <c r="E682" s="55">
        <v>32185</v>
      </c>
      <c r="F682" s="54">
        <f t="shared" ca="1" si="28"/>
        <v>28</v>
      </c>
      <c r="G682" s="53"/>
      <c r="H682" s="52">
        <v>62480</v>
      </c>
      <c r="I682" s="51">
        <v>5</v>
      </c>
    </row>
    <row r="683" spans="1:9" x14ac:dyDescent="0.25">
      <c r="A683" s="56" t="s">
        <v>6</v>
      </c>
      <c r="B683" s="58" t="s">
        <v>17</v>
      </c>
      <c r="C683" s="56" t="s">
        <v>6</v>
      </c>
      <c r="D683" s="56" t="s">
        <v>12</v>
      </c>
      <c r="E683" s="55">
        <v>32196</v>
      </c>
      <c r="F683" s="54">
        <f t="shared" ca="1" si="28"/>
        <v>28</v>
      </c>
      <c r="G683" s="53"/>
      <c r="H683" s="52">
        <v>61134</v>
      </c>
      <c r="I683" s="51">
        <v>4</v>
      </c>
    </row>
    <row r="684" spans="1:9" x14ac:dyDescent="0.25">
      <c r="A684" s="56" t="s">
        <v>6</v>
      </c>
      <c r="B684" s="58" t="s">
        <v>13</v>
      </c>
      <c r="C684" s="56" t="s">
        <v>6</v>
      </c>
      <c r="D684" s="56" t="s">
        <v>12</v>
      </c>
      <c r="E684" s="55">
        <v>32252</v>
      </c>
      <c r="F684" s="54">
        <f t="shared" ca="1" si="28"/>
        <v>28</v>
      </c>
      <c r="G684" s="53"/>
      <c r="H684" s="52">
        <v>57500</v>
      </c>
      <c r="I684" s="51">
        <v>1</v>
      </c>
    </row>
    <row r="685" spans="1:9" x14ac:dyDescent="0.25">
      <c r="A685" s="56" t="s">
        <v>6</v>
      </c>
      <c r="B685" s="58" t="s">
        <v>13</v>
      </c>
      <c r="C685" s="56" t="s">
        <v>6</v>
      </c>
      <c r="D685" s="56" t="s">
        <v>5</v>
      </c>
      <c r="E685" s="55">
        <v>32371</v>
      </c>
      <c r="F685" s="54">
        <f t="shared" ca="1" si="28"/>
        <v>28</v>
      </c>
      <c r="G685" s="53" t="s">
        <v>34</v>
      </c>
      <c r="H685" s="52">
        <v>46550</v>
      </c>
      <c r="I685" s="51">
        <v>4</v>
      </c>
    </row>
    <row r="686" spans="1:9" x14ac:dyDescent="0.25">
      <c r="A686" s="56" t="s">
        <v>6</v>
      </c>
      <c r="B686" s="58" t="s">
        <v>39</v>
      </c>
      <c r="C686" s="56" t="s">
        <v>6</v>
      </c>
      <c r="D686" s="56" t="s">
        <v>12</v>
      </c>
      <c r="E686" s="55">
        <v>32479</v>
      </c>
      <c r="F686" s="54">
        <f t="shared" ca="1" si="28"/>
        <v>27</v>
      </c>
      <c r="G686" s="53"/>
      <c r="H686" s="52">
        <v>59128</v>
      </c>
      <c r="I686" s="51">
        <v>4</v>
      </c>
    </row>
    <row r="687" spans="1:9" x14ac:dyDescent="0.25">
      <c r="A687" s="56" t="s">
        <v>6</v>
      </c>
      <c r="B687" s="58" t="s">
        <v>17</v>
      </c>
      <c r="C687" s="56" t="s">
        <v>6</v>
      </c>
      <c r="D687" s="56" t="s">
        <v>5</v>
      </c>
      <c r="E687" s="55">
        <v>32496</v>
      </c>
      <c r="F687" s="54">
        <f t="shared" ca="1" si="28"/>
        <v>27</v>
      </c>
      <c r="G687" s="53" t="s">
        <v>34</v>
      </c>
      <c r="H687" s="52">
        <v>62780</v>
      </c>
      <c r="I687" s="51">
        <v>3</v>
      </c>
    </row>
    <row r="688" spans="1:9" x14ac:dyDescent="0.25">
      <c r="A688" s="56" t="s">
        <v>6</v>
      </c>
      <c r="B688" s="58" t="s">
        <v>39</v>
      </c>
      <c r="C688" s="56" t="s">
        <v>6</v>
      </c>
      <c r="D688" s="56" t="s">
        <v>12</v>
      </c>
      <c r="E688" s="55">
        <v>32510</v>
      </c>
      <c r="F688" s="54">
        <f t="shared" ca="1" si="28"/>
        <v>27</v>
      </c>
      <c r="G688" s="53"/>
      <c r="H688" s="52">
        <v>70300</v>
      </c>
      <c r="I688" s="51">
        <v>3</v>
      </c>
    </row>
    <row r="689" spans="1:9" x14ac:dyDescent="0.25">
      <c r="A689" s="56" t="s">
        <v>6</v>
      </c>
      <c r="B689" s="58" t="s">
        <v>2</v>
      </c>
      <c r="C689" s="56" t="s">
        <v>6</v>
      </c>
      <c r="D689" s="56" t="s">
        <v>5</v>
      </c>
      <c r="E689" s="55">
        <v>32611</v>
      </c>
      <c r="F689" s="54">
        <f t="shared" ca="1" si="28"/>
        <v>27</v>
      </c>
      <c r="G689" s="53" t="s">
        <v>19</v>
      </c>
      <c r="H689" s="52">
        <v>32160</v>
      </c>
      <c r="I689" s="51">
        <v>3</v>
      </c>
    </row>
    <row r="690" spans="1:9" x14ac:dyDescent="0.25">
      <c r="A690" s="56" t="s">
        <v>6</v>
      </c>
      <c r="B690" s="58" t="s">
        <v>17</v>
      </c>
      <c r="C690" s="56" t="s">
        <v>6</v>
      </c>
      <c r="D690" s="56" t="s">
        <v>5</v>
      </c>
      <c r="E690" s="55">
        <v>32647</v>
      </c>
      <c r="F690" s="54">
        <f t="shared" ca="1" si="28"/>
        <v>27</v>
      </c>
      <c r="G690" s="53" t="s">
        <v>34</v>
      </c>
      <c r="H690" s="52">
        <v>59490</v>
      </c>
      <c r="I690" s="51">
        <v>3</v>
      </c>
    </row>
    <row r="691" spans="1:9" x14ac:dyDescent="0.25">
      <c r="A691" s="56" t="s">
        <v>6</v>
      </c>
      <c r="B691" s="58" t="s">
        <v>13</v>
      </c>
      <c r="C691" s="56" t="s">
        <v>6</v>
      </c>
      <c r="D691" s="56" t="s">
        <v>12</v>
      </c>
      <c r="E691" s="55">
        <v>32664</v>
      </c>
      <c r="F691" s="54">
        <f t="shared" ca="1" si="28"/>
        <v>27</v>
      </c>
      <c r="G691" s="53"/>
      <c r="H691" s="52">
        <v>70150</v>
      </c>
      <c r="I691" s="51">
        <v>2</v>
      </c>
    </row>
    <row r="692" spans="1:9" x14ac:dyDescent="0.25">
      <c r="A692" s="56" t="s">
        <v>6</v>
      </c>
      <c r="B692" s="58" t="s">
        <v>17</v>
      </c>
      <c r="C692" s="56" t="s">
        <v>6</v>
      </c>
      <c r="D692" s="56" t="s">
        <v>12</v>
      </c>
      <c r="E692" s="55">
        <v>32667</v>
      </c>
      <c r="F692" s="54">
        <f t="shared" ca="1" si="28"/>
        <v>27</v>
      </c>
      <c r="G692" s="53"/>
      <c r="H692" s="52">
        <v>63290</v>
      </c>
      <c r="I692" s="51">
        <v>5</v>
      </c>
    </row>
    <row r="693" spans="1:9" x14ac:dyDescent="0.25">
      <c r="A693" s="56" t="s">
        <v>6</v>
      </c>
      <c r="B693" s="58" t="s">
        <v>10</v>
      </c>
      <c r="C693" s="56" t="s">
        <v>6</v>
      </c>
      <c r="D693" s="56" t="s">
        <v>5</v>
      </c>
      <c r="E693" s="55">
        <v>32668</v>
      </c>
      <c r="F693" s="54">
        <f t="shared" ca="1" si="28"/>
        <v>27</v>
      </c>
      <c r="G693" s="53" t="s">
        <v>4</v>
      </c>
      <c r="H693" s="52">
        <v>46410</v>
      </c>
      <c r="I693" s="51">
        <v>2</v>
      </c>
    </row>
    <row r="694" spans="1:9" x14ac:dyDescent="0.25">
      <c r="A694" s="56" t="s">
        <v>6</v>
      </c>
      <c r="B694" s="58" t="s">
        <v>13</v>
      </c>
      <c r="C694" s="56" t="s">
        <v>6</v>
      </c>
      <c r="D694" s="56" t="s">
        <v>15</v>
      </c>
      <c r="E694" s="55">
        <v>32695</v>
      </c>
      <c r="F694" s="54">
        <f t="shared" ca="1" si="28"/>
        <v>27</v>
      </c>
      <c r="G694" s="53" t="s">
        <v>32</v>
      </c>
      <c r="H694" s="52">
        <v>19935</v>
      </c>
      <c r="I694" s="51">
        <v>1</v>
      </c>
    </row>
    <row r="695" spans="1:9" x14ac:dyDescent="0.25">
      <c r="A695" s="56" t="s">
        <v>6</v>
      </c>
      <c r="B695" s="58" t="s">
        <v>17</v>
      </c>
      <c r="C695" s="56" t="s">
        <v>6</v>
      </c>
      <c r="D695" s="56" t="s">
        <v>15</v>
      </c>
      <c r="E695" s="55">
        <v>32732</v>
      </c>
      <c r="F695" s="54">
        <f t="shared" ca="1" si="28"/>
        <v>27</v>
      </c>
      <c r="G695" s="53" t="s">
        <v>19</v>
      </c>
      <c r="H695" s="52">
        <v>27710</v>
      </c>
      <c r="I695" s="51">
        <v>3</v>
      </c>
    </row>
    <row r="696" spans="1:9" x14ac:dyDescent="0.25">
      <c r="A696" s="56" t="s">
        <v>6</v>
      </c>
      <c r="B696" s="58" t="s">
        <v>13</v>
      </c>
      <c r="C696" s="56" t="s">
        <v>6</v>
      </c>
      <c r="D696" s="56" t="s">
        <v>12</v>
      </c>
      <c r="E696" s="55">
        <v>32816</v>
      </c>
      <c r="F696" s="54">
        <f t="shared" ca="1" si="28"/>
        <v>26</v>
      </c>
      <c r="G696" s="53"/>
      <c r="H696" s="52">
        <v>75550</v>
      </c>
      <c r="I696" s="51">
        <v>3</v>
      </c>
    </row>
    <row r="697" spans="1:9" x14ac:dyDescent="0.25">
      <c r="A697" s="56" t="s">
        <v>6</v>
      </c>
      <c r="B697" s="58" t="s">
        <v>10</v>
      </c>
      <c r="C697" s="56" t="s">
        <v>6</v>
      </c>
      <c r="D697" s="56" t="s">
        <v>12</v>
      </c>
      <c r="E697" s="55">
        <v>32825</v>
      </c>
      <c r="F697" s="54">
        <f t="shared" ca="1" si="28"/>
        <v>26</v>
      </c>
      <c r="G697" s="53"/>
      <c r="H697" s="52">
        <v>78590</v>
      </c>
      <c r="I697" s="51">
        <v>1</v>
      </c>
    </row>
    <row r="698" spans="1:9" x14ac:dyDescent="0.25">
      <c r="A698" s="56" t="s">
        <v>6</v>
      </c>
      <c r="B698" s="58" t="s">
        <v>13</v>
      </c>
      <c r="C698" s="56" t="s">
        <v>6</v>
      </c>
      <c r="D698" s="56" t="s">
        <v>15</v>
      </c>
      <c r="E698" s="55">
        <v>32830</v>
      </c>
      <c r="F698" s="54">
        <f t="shared" ca="1" si="28"/>
        <v>26</v>
      </c>
      <c r="G698" s="53" t="s">
        <v>8</v>
      </c>
      <c r="H698" s="52">
        <v>11230</v>
      </c>
      <c r="I698" s="51">
        <v>4</v>
      </c>
    </row>
    <row r="699" spans="1:9" x14ac:dyDescent="0.25">
      <c r="A699" s="56" t="s">
        <v>6</v>
      </c>
      <c r="B699" s="58" t="s">
        <v>17</v>
      </c>
      <c r="C699" s="56" t="s">
        <v>6</v>
      </c>
      <c r="D699" s="56" t="s">
        <v>15</v>
      </c>
      <c r="E699" s="55">
        <v>32844</v>
      </c>
      <c r="F699" s="54">
        <f t="shared" ca="1" si="28"/>
        <v>26</v>
      </c>
      <c r="G699" s="53" t="s">
        <v>32</v>
      </c>
      <c r="H699" s="52">
        <v>49545</v>
      </c>
      <c r="I699" s="51">
        <v>2</v>
      </c>
    </row>
    <row r="700" spans="1:9" x14ac:dyDescent="0.25">
      <c r="A700" s="56" t="s">
        <v>6</v>
      </c>
      <c r="B700" s="58" t="s">
        <v>10</v>
      </c>
      <c r="C700" s="56" t="s">
        <v>6</v>
      </c>
      <c r="D700" s="56" t="s">
        <v>12</v>
      </c>
      <c r="E700" s="55">
        <v>32849</v>
      </c>
      <c r="F700" s="54">
        <f t="shared" ca="1" si="28"/>
        <v>26</v>
      </c>
      <c r="G700" s="53"/>
      <c r="H700" s="52">
        <v>35240</v>
      </c>
      <c r="I700" s="51">
        <v>3</v>
      </c>
    </row>
    <row r="701" spans="1:9" x14ac:dyDescent="0.25">
      <c r="A701" s="56" t="s">
        <v>6</v>
      </c>
      <c r="B701" s="58" t="s">
        <v>13</v>
      </c>
      <c r="C701" s="56" t="s">
        <v>6</v>
      </c>
      <c r="D701" s="56" t="s">
        <v>5</v>
      </c>
      <c r="E701" s="55">
        <v>32976</v>
      </c>
      <c r="F701" s="54">
        <f t="shared" ca="1" si="28"/>
        <v>26</v>
      </c>
      <c r="G701" s="53" t="s">
        <v>4</v>
      </c>
      <c r="H701" s="52">
        <v>87220</v>
      </c>
      <c r="I701" s="51">
        <v>1</v>
      </c>
    </row>
    <row r="702" spans="1:9" x14ac:dyDescent="0.25">
      <c r="A702" s="56" t="s">
        <v>6</v>
      </c>
      <c r="B702" s="58" t="s">
        <v>17</v>
      </c>
      <c r="C702" s="56" t="s">
        <v>6</v>
      </c>
      <c r="D702" s="56" t="s">
        <v>5</v>
      </c>
      <c r="E702" s="55">
        <v>33115</v>
      </c>
      <c r="F702" s="54">
        <f t="shared" ca="1" si="28"/>
        <v>26</v>
      </c>
      <c r="G702" s="53" t="s">
        <v>4</v>
      </c>
      <c r="H702" s="52">
        <v>73850</v>
      </c>
      <c r="I702" s="51">
        <v>2</v>
      </c>
    </row>
    <row r="703" spans="1:9" x14ac:dyDescent="0.25">
      <c r="A703" s="56" t="s">
        <v>6</v>
      </c>
      <c r="B703" s="58" t="s">
        <v>13</v>
      </c>
      <c r="C703" s="56" t="s">
        <v>6</v>
      </c>
      <c r="D703" s="56" t="s">
        <v>12</v>
      </c>
      <c r="E703" s="55">
        <v>33224</v>
      </c>
      <c r="F703" s="54">
        <f t="shared" ca="1" si="28"/>
        <v>25</v>
      </c>
      <c r="G703" s="53"/>
      <c r="H703" s="52">
        <v>45105</v>
      </c>
      <c r="I703" s="51">
        <v>1</v>
      </c>
    </row>
    <row r="704" spans="1:9" x14ac:dyDescent="0.25">
      <c r="A704" s="56" t="s">
        <v>6</v>
      </c>
      <c r="B704" s="58" t="s">
        <v>17</v>
      </c>
      <c r="C704" s="56" t="s">
        <v>6</v>
      </c>
      <c r="D704" s="56" t="s">
        <v>5</v>
      </c>
      <c r="E704" s="55">
        <v>33360</v>
      </c>
      <c r="F704" s="54">
        <f t="shared" ca="1" si="28"/>
        <v>25</v>
      </c>
      <c r="G704" s="53" t="s">
        <v>32</v>
      </c>
      <c r="H704" s="52">
        <v>69510</v>
      </c>
      <c r="I704" s="51">
        <v>5</v>
      </c>
    </row>
    <row r="705" spans="1:9" x14ac:dyDescent="0.25">
      <c r="A705" s="56" t="s">
        <v>6</v>
      </c>
      <c r="B705" s="58" t="s">
        <v>17</v>
      </c>
      <c r="C705" s="56" t="s">
        <v>6</v>
      </c>
      <c r="D705" s="56" t="s">
        <v>12</v>
      </c>
      <c r="E705" s="55">
        <v>33413</v>
      </c>
      <c r="F705" s="54">
        <f t="shared" ca="1" si="28"/>
        <v>25</v>
      </c>
      <c r="G705" s="53"/>
      <c r="H705" s="52">
        <v>64263</v>
      </c>
      <c r="I705" s="51">
        <v>3</v>
      </c>
    </row>
    <row r="706" spans="1:9" x14ac:dyDescent="0.25">
      <c r="A706" s="56" t="s">
        <v>6</v>
      </c>
      <c r="B706" s="58" t="s">
        <v>13</v>
      </c>
      <c r="C706" s="56" t="s">
        <v>6</v>
      </c>
      <c r="D706" s="56" t="s">
        <v>0</v>
      </c>
      <c r="E706" s="55">
        <v>33515</v>
      </c>
      <c r="F706" s="54">
        <f t="shared" ca="1" si="28"/>
        <v>25</v>
      </c>
      <c r="G706" s="53"/>
      <c r="H706" s="52">
        <v>26944</v>
      </c>
      <c r="I706" s="51">
        <v>4</v>
      </c>
    </row>
    <row r="707" spans="1:9" x14ac:dyDescent="0.25">
      <c r="A707" s="56" t="s">
        <v>6</v>
      </c>
      <c r="B707" s="58" t="s">
        <v>39</v>
      </c>
      <c r="C707" s="56" t="s">
        <v>6</v>
      </c>
      <c r="D707" s="56" t="s">
        <v>15</v>
      </c>
      <c r="E707" s="55">
        <v>33650</v>
      </c>
      <c r="F707" s="54">
        <f t="shared" ca="1" si="28"/>
        <v>24</v>
      </c>
      <c r="G707" s="53" t="s">
        <v>8</v>
      </c>
      <c r="H707" s="52">
        <v>23000</v>
      </c>
      <c r="I707" s="51">
        <v>4</v>
      </c>
    </row>
    <row r="708" spans="1:9" x14ac:dyDescent="0.25">
      <c r="A708" s="56" t="s">
        <v>6</v>
      </c>
      <c r="B708" s="58" t="s">
        <v>13</v>
      </c>
      <c r="C708" s="56" t="s">
        <v>6</v>
      </c>
      <c r="D708" s="56" t="s">
        <v>5</v>
      </c>
      <c r="E708" s="55">
        <v>33742</v>
      </c>
      <c r="F708" s="54">
        <f t="shared" ref="F708:F739" ca="1" si="29">DATEDIF(E708,TODAY(),"Y")</f>
        <v>24</v>
      </c>
      <c r="G708" s="53" t="s">
        <v>19</v>
      </c>
      <c r="H708" s="52">
        <v>64780</v>
      </c>
      <c r="I708" s="51">
        <v>5</v>
      </c>
    </row>
    <row r="709" spans="1:9" x14ac:dyDescent="0.25">
      <c r="A709" s="56" t="s">
        <v>6</v>
      </c>
      <c r="B709" s="58" t="s">
        <v>13</v>
      </c>
      <c r="C709" s="56" t="s">
        <v>6</v>
      </c>
      <c r="D709" s="56" t="s">
        <v>5</v>
      </c>
      <c r="E709" s="55">
        <v>33742</v>
      </c>
      <c r="F709" s="54">
        <f t="shared" ca="1" si="29"/>
        <v>24</v>
      </c>
      <c r="G709" s="53" t="s">
        <v>19</v>
      </c>
      <c r="H709" s="52">
        <v>64780</v>
      </c>
      <c r="I709" s="51">
        <v>5</v>
      </c>
    </row>
    <row r="710" spans="1:9" x14ac:dyDescent="0.25">
      <c r="A710" s="56" t="s">
        <v>6</v>
      </c>
      <c r="B710" s="58" t="s">
        <v>13</v>
      </c>
      <c r="C710" s="56" t="s">
        <v>6</v>
      </c>
      <c r="D710" s="56" t="s">
        <v>5</v>
      </c>
      <c r="E710" s="55">
        <v>33827</v>
      </c>
      <c r="F710" s="54">
        <f t="shared" ca="1" si="29"/>
        <v>24</v>
      </c>
      <c r="G710" s="53" t="s">
        <v>4</v>
      </c>
      <c r="H710" s="52">
        <v>33590</v>
      </c>
      <c r="I710" s="51">
        <v>5</v>
      </c>
    </row>
    <row r="711" spans="1:9" x14ac:dyDescent="0.25">
      <c r="A711" s="56" t="s">
        <v>6</v>
      </c>
      <c r="B711" s="58" t="s">
        <v>13</v>
      </c>
      <c r="C711" s="56" t="s">
        <v>6</v>
      </c>
      <c r="D711" s="56" t="s">
        <v>0</v>
      </c>
      <c r="E711" s="55">
        <v>33937</v>
      </c>
      <c r="F711" s="54">
        <f t="shared" ca="1" si="29"/>
        <v>23</v>
      </c>
      <c r="G711" s="53"/>
      <c r="H711" s="52">
        <v>33752</v>
      </c>
      <c r="I711" s="51">
        <v>3</v>
      </c>
    </row>
    <row r="712" spans="1:9" x14ac:dyDescent="0.25">
      <c r="A712" s="56" t="s">
        <v>6</v>
      </c>
      <c r="B712" s="58" t="s">
        <v>13</v>
      </c>
      <c r="C712" s="56" t="s">
        <v>6</v>
      </c>
      <c r="D712" s="56" t="s">
        <v>5</v>
      </c>
      <c r="E712" s="55">
        <v>33966</v>
      </c>
      <c r="F712" s="54">
        <f t="shared" ca="1" si="29"/>
        <v>23</v>
      </c>
      <c r="G712" s="53" t="s">
        <v>32</v>
      </c>
      <c r="H712" s="52">
        <v>58370</v>
      </c>
      <c r="I712" s="51">
        <v>5</v>
      </c>
    </row>
    <row r="713" spans="1:9" x14ac:dyDescent="0.25">
      <c r="A713" s="56" t="s">
        <v>6</v>
      </c>
      <c r="B713" s="58" t="s">
        <v>10</v>
      </c>
      <c r="C713" s="56" t="s">
        <v>6</v>
      </c>
      <c r="D713" s="56" t="s">
        <v>12</v>
      </c>
      <c r="E713" s="55">
        <v>33970</v>
      </c>
      <c r="F713" s="54">
        <f t="shared" ca="1" si="29"/>
        <v>23</v>
      </c>
      <c r="G713" s="53"/>
      <c r="H713" s="52">
        <v>41770</v>
      </c>
      <c r="I713" s="51">
        <v>5</v>
      </c>
    </row>
    <row r="714" spans="1:9" x14ac:dyDescent="0.25">
      <c r="A714" s="56" t="s">
        <v>6</v>
      </c>
      <c r="B714" s="58" t="s">
        <v>2</v>
      </c>
      <c r="C714" s="56" t="s">
        <v>6</v>
      </c>
      <c r="D714" s="56" t="s">
        <v>15</v>
      </c>
      <c r="E714" s="55">
        <v>33987</v>
      </c>
      <c r="F714" s="54">
        <f t="shared" ca="1" si="29"/>
        <v>23</v>
      </c>
      <c r="G714" s="53" t="s">
        <v>4</v>
      </c>
      <c r="H714" s="52">
        <v>38105</v>
      </c>
      <c r="I714" s="51">
        <v>2</v>
      </c>
    </row>
    <row r="715" spans="1:9" x14ac:dyDescent="0.25">
      <c r="A715" s="56" t="s">
        <v>6</v>
      </c>
      <c r="B715" s="58" t="s">
        <v>56</v>
      </c>
      <c r="C715" s="56" t="s">
        <v>6</v>
      </c>
      <c r="D715" s="56" t="s">
        <v>5</v>
      </c>
      <c r="E715" s="55">
        <v>33997</v>
      </c>
      <c r="F715" s="54">
        <f t="shared" ca="1" si="29"/>
        <v>23</v>
      </c>
      <c r="G715" s="53" t="s">
        <v>32</v>
      </c>
      <c r="H715" s="52">
        <v>31690</v>
      </c>
      <c r="I715" s="51">
        <v>4</v>
      </c>
    </row>
    <row r="716" spans="1:9" x14ac:dyDescent="0.25">
      <c r="A716" s="56" t="s">
        <v>6</v>
      </c>
      <c r="B716" s="58" t="s">
        <v>10</v>
      </c>
      <c r="C716" s="56" t="s">
        <v>6</v>
      </c>
      <c r="D716" s="56" t="s">
        <v>12</v>
      </c>
      <c r="E716" s="55">
        <v>34028</v>
      </c>
      <c r="F716" s="54">
        <f t="shared" ca="1" si="29"/>
        <v>23</v>
      </c>
      <c r="G716" s="53"/>
      <c r="H716" s="52">
        <v>87830</v>
      </c>
      <c r="I716" s="51">
        <v>2</v>
      </c>
    </row>
    <row r="717" spans="1:9" x14ac:dyDescent="0.25">
      <c r="A717" s="56" t="s">
        <v>6</v>
      </c>
      <c r="B717" s="58" t="s">
        <v>17</v>
      </c>
      <c r="C717" s="56" t="s">
        <v>6</v>
      </c>
      <c r="D717" s="56" t="s">
        <v>5</v>
      </c>
      <c r="E717" s="55">
        <v>34054</v>
      </c>
      <c r="F717" s="54">
        <f t="shared" ca="1" si="29"/>
        <v>23</v>
      </c>
      <c r="G717" s="53" t="s">
        <v>32</v>
      </c>
      <c r="H717" s="52">
        <v>27130</v>
      </c>
      <c r="I717" s="51">
        <v>5</v>
      </c>
    </row>
    <row r="718" spans="1:9" x14ac:dyDescent="0.25">
      <c r="A718" s="56" t="s">
        <v>6</v>
      </c>
      <c r="B718" s="58" t="s">
        <v>13</v>
      </c>
      <c r="C718" s="56" t="s">
        <v>6</v>
      </c>
      <c r="D718" s="56" t="s">
        <v>15</v>
      </c>
      <c r="E718" s="55">
        <v>34156</v>
      </c>
      <c r="F718" s="54">
        <f t="shared" ca="1" si="29"/>
        <v>23</v>
      </c>
      <c r="G718" s="53" t="s">
        <v>34</v>
      </c>
      <c r="H718" s="52">
        <v>37660</v>
      </c>
      <c r="I718" s="51">
        <v>4</v>
      </c>
    </row>
    <row r="719" spans="1:9" x14ac:dyDescent="0.25">
      <c r="A719" s="56" t="s">
        <v>6</v>
      </c>
      <c r="B719" s="58" t="s">
        <v>39</v>
      </c>
      <c r="C719" s="56" t="s">
        <v>6</v>
      </c>
      <c r="D719" s="56" t="s">
        <v>15</v>
      </c>
      <c r="E719" s="55">
        <v>34208</v>
      </c>
      <c r="F719" s="54">
        <f t="shared" ca="1" si="29"/>
        <v>23</v>
      </c>
      <c r="G719" s="53" t="s">
        <v>34</v>
      </c>
      <c r="H719" s="52">
        <v>13690</v>
      </c>
      <c r="I719" s="51">
        <v>5</v>
      </c>
    </row>
    <row r="720" spans="1:9" x14ac:dyDescent="0.25">
      <c r="A720" s="56" t="s">
        <v>6</v>
      </c>
      <c r="B720" s="58" t="s">
        <v>13</v>
      </c>
      <c r="C720" s="56" t="s">
        <v>6</v>
      </c>
      <c r="D720" s="56" t="s">
        <v>0</v>
      </c>
      <c r="E720" s="55">
        <v>34266</v>
      </c>
      <c r="F720" s="54">
        <f t="shared" ca="1" si="29"/>
        <v>23</v>
      </c>
      <c r="G720" s="53"/>
      <c r="H720" s="52">
        <v>28768</v>
      </c>
      <c r="I720" s="51">
        <v>3</v>
      </c>
    </row>
    <row r="721" spans="1:9" x14ac:dyDescent="0.25">
      <c r="A721" s="56" t="s">
        <v>6</v>
      </c>
      <c r="B721" s="58" t="s">
        <v>13</v>
      </c>
      <c r="C721" s="56" t="s">
        <v>6</v>
      </c>
      <c r="D721" s="56" t="s">
        <v>5</v>
      </c>
      <c r="E721" s="55">
        <v>34317</v>
      </c>
      <c r="F721" s="54">
        <f t="shared" ca="1" si="29"/>
        <v>22</v>
      </c>
      <c r="G721" s="53" t="s">
        <v>4</v>
      </c>
      <c r="H721" s="52">
        <v>41380</v>
      </c>
      <c r="I721" s="51">
        <v>2</v>
      </c>
    </row>
    <row r="722" spans="1:9" x14ac:dyDescent="0.25">
      <c r="A722" s="56" t="s">
        <v>6</v>
      </c>
      <c r="B722" s="58" t="s">
        <v>2</v>
      </c>
      <c r="C722" s="56" t="s">
        <v>6</v>
      </c>
      <c r="D722" s="56" t="s">
        <v>5</v>
      </c>
      <c r="E722" s="55">
        <v>34466</v>
      </c>
      <c r="F722" s="54">
        <f t="shared" ca="1" si="29"/>
        <v>22</v>
      </c>
      <c r="G722" s="53" t="s">
        <v>32</v>
      </c>
      <c r="H722" s="52">
        <v>86320</v>
      </c>
      <c r="I722" s="51">
        <v>4</v>
      </c>
    </row>
    <row r="723" spans="1:9" x14ac:dyDescent="0.25">
      <c r="A723" s="56" t="s">
        <v>6</v>
      </c>
      <c r="B723" s="58" t="s">
        <v>13</v>
      </c>
      <c r="C723" s="56" t="s">
        <v>6</v>
      </c>
      <c r="D723" s="56" t="s">
        <v>12</v>
      </c>
      <c r="E723" s="55">
        <v>34516</v>
      </c>
      <c r="F723" s="54">
        <f t="shared" ca="1" si="29"/>
        <v>22</v>
      </c>
      <c r="G723" s="53"/>
      <c r="H723" s="52">
        <v>45030</v>
      </c>
      <c r="I723" s="51">
        <v>3</v>
      </c>
    </row>
    <row r="724" spans="1:9" x14ac:dyDescent="0.25">
      <c r="A724" s="56" t="s">
        <v>6</v>
      </c>
      <c r="B724" s="58" t="s">
        <v>13</v>
      </c>
      <c r="C724" s="56" t="s">
        <v>6</v>
      </c>
      <c r="D724" s="56" t="s">
        <v>5</v>
      </c>
      <c r="E724" s="55">
        <v>34715</v>
      </c>
      <c r="F724" s="54">
        <f t="shared" ca="1" si="29"/>
        <v>21</v>
      </c>
      <c r="G724" s="53" t="s">
        <v>34</v>
      </c>
      <c r="H724" s="52">
        <v>64470</v>
      </c>
      <c r="I724" s="51">
        <v>5</v>
      </c>
    </row>
    <row r="725" spans="1:9" x14ac:dyDescent="0.25">
      <c r="A725" s="56" t="s">
        <v>6</v>
      </c>
      <c r="B725" s="58" t="s">
        <v>10</v>
      </c>
      <c r="C725" s="56" t="s">
        <v>6</v>
      </c>
      <c r="D725" s="56" t="s">
        <v>15</v>
      </c>
      <c r="E725" s="55">
        <v>34743</v>
      </c>
      <c r="F725" s="54">
        <f t="shared" ca="1" si="29"/>
        <v>21</v>
      </c>
      <c r="G725" s="53" t="s">
        <v>8</v>
      </c>
      <c r="H725" s="52">
        <v>46105</v>
      </c>
      <c r="I725" s="51">
        <v>5</v>
      </c>
    </row>
    <row r="726" spans="1:9" x14ac:dyDescent="0.25">
      <c r="A726" s="56" t="s">
        <v>6</v>
      </c>
      <c r="B726" s="58" t="s">
        <v>56</v>
      </c>
      <c r="C726" s="56" t="s">
        <v>6</v>
      </c>
      <c r="D726" s="56" t="s">
        <v>5</v>
      </c>
      <c r="E726" s="55">
        <v>34770</v>
      </c>
      <c r="F726" s="54">
        <f t="shared" ca="1" si="29"/>
        <v>21</v>
      </c>
      <c r="G726" s="53" t="s">
        <v>4</v>
      </c>
      <c r="H726" s="52">
        <v>48410</v>
      </c>
      <c r="I726" s="51">
        <v>5</v>
      </c>
    </row>
    <row r="727" spans="1:9" x14ac:dyDescent="0.25">
      <c r="A727" s="56" t="s">
        <v>6</v>
      </c>
      <c r="B727" s="58" t="s">
        <v>39</v>
      </c>
      <c r="C727" s="56" t="s">
        <v>6</v>
      </c>
      <c r="D727" s="56" t="s">
        <v>12</v>
      </c>
      <c r="E727" s="55">
        <v>34883</v>
      </c>
      <c r="F727" s="54">
        <f t="shared" ca="1" si="29"/>
        <v>21</v>
      </c>
      <c r="G727" s="53"/>
      <c r="H727" s="52">
        <v>58250</v>
      </c>
      <c r="I727" s="51">
        <v>2</v>
      </c>
    </row>
    <row r="728" spans="1:9" x14ac:dyDescent="0.25">
      <c r="A728" s="56" t="s">
        <v>6</v>
      </c>
      <c r="B728" s="58" t="s">
        <v>10</v>
      </c>
      <c r="C728" s="56" t="s">
        <v>6</v>
      </c>
      <c r="D728" s="56" t="s">
        <v>5</v>
      </c>
      <c r="E728" s="55">
        <v>34933</v>
      </c>
      <c r="F728" s="54">
        <f t="shared" ca="1" si="29"/>
        <v>21</v>
      </c>
      <c r="G728" s="53" t="s">
        <v>8</v>
      </c>
      <c r="H728" s="52">
        <v>77680</v>
      </c>
      <c r="I728" s="51">
        <v>3</v>
      </c>
    </row>
    <row r="729" spans="1:9" x14ac:dyDescent="0.25">
      <c r="A729" s="56" t="s">
        <v>6</v>
      </c>
      <c r="B729" s="58" t="s">
        <v>17</v>
      </c>
      <c r="C729" s="56" t="s">
        <v>6</v>
      </c>
      <c r="D729" s="56" t="s">
        <v>5</v>
      </c>
      <c r="E729" s="55">
        <v>35020</v>
      </c>
      <c r="F729" s="54">
        <f t="shared" ca="1" si="29"/>
        <v>20</v>
      </c>
      <c r="G729" s="53" t="s">
        <v>8</v>
      </c>
      <c r="H729" s="52">
        <v>61850</v>
      </c>
      <c r="I729" s="51">
        <v>2</v>
      </c>
    </row>
    <row r="730" spans="1:9" x14ac:dyDescent="0.25">
      <c r="A730" s="56" t="s">
        <v>6</v>
      </c>
      <c r="B730" s="58" t="s">
        <v>56</v>
      </c>
      <c r="C730" s="56" t="s">
        <v>6</v>
      </c>
      <c r="D730" s="56" t="s">
        <v>15</v>
      </c>
      <c r="E730" s="55">
        <v>35055</v>
      </c>
      <c r="F730" s="54">
        <f t="shared" ca="1" si="29"/>
        <v>20</v>
      </c>
      <c r="G730" s="53" t="s">
        <v>19</v>
      </c>
      <c r="H730" s="52">
        <v>19825</v>
      </c>
      <c r="I730" s="51">
        <v>2</v>
      </c>
    </row>
    <row r="731" spans="1:9" x14ac:dyDescent="0.25">
      <c r="A731" s="56" t="s">
        <v>6</v>
      </c>
      <c r="B731" s="58" t="s">
        <v>2</v>
      </c>
      <c r="C731" s="56" t="s">
        <v>6</v>
      </c>
      <c r="D731" s="56" t="s">
        <v>0</v>
      </c>
      <c r="E731" s="55">
        <v>35148</v>
      </c>
      <c r="F731" s="54">
        <f t="shared" ca="1" si="29"/>
        <v>20</v>
      </c>
      <c r="G731" s="53"/>
      <c r="H731" s="52">
        <v>32536</v>
      </c>
      <c r="I731" s="51">
        <v>2</v>
      </c>
    </row>
    <row r="732" spans="1:9" x14ac:dyDescent="0.25">
      <c r="A732" s="56" t="s">
        <v>6</v>
      </c>
      <c r="B732" s="58" t="s">
        <v>13</v>
      </c>
      <c r="C732" s="56" t="s">
        <v>6</v>
      </c>
      <c r="D732" s="56" t="s">
        <v>15</v>
      </c>
      <c r="E732" s="55">
        <v>35152</v>
      </c>
      <c r="F732" s="54">
        <f t="shared" ca="1" si="29"/>
        <v>20</v>
      </c>
      <c r="G732" s="53" t="s">
        <v>4</v>
      </c>
      <c r="H732" s="52">
        <v>26185</v>
      </c>
      <c r="I732" s="51">
        <v>5</v>
      </c>
    </row>
    <row r="733" spans="1:9" x14ac:dyDescent="0.25">
      <c r="A733" s="56" t="s">
        <v>6</v>
      </c>
      <c r="B733" s="58" t="s">
        <v>13</v>
      </c>
      <c r="C733" s="56" t="s">
        <v>6</v>
      </c>
      <c r="D733" s="56" t="s">
        <v>5</v>
      </c>
      <c r="E733" s="55">
        <v>35239</v>
      </c>
      <c r="F733" s="54">
        <f t="shared" ca="1" si="29"/>
        <v>20</v>
      </c>
      <c r="G733" s="53" t="s">
        <v>4</v>
      </c>
      <c r="H733" s="52">
        <v>35460</v>
      </c>
      <c r="I733" s="51">
        <v>1</v>
      </c>
    </row>
    <row r="734" spans="1:9" x14ac:dyDescent="0.25">
      <c r="A734" s="56" t="s">
        <v>6</v>
      </c>
      <c r="B734" s="58" t="s">
        <v>13</v>
      </c>
      <c r="C734" s="56" t="s">
        <v>6</v>
      </c>
      <c r="D734" s="56" t="s">
        <v>5</v>
      </c>
      <c r="E734" s="55">
        <v>35309</v>
      </c>
      <c r="F734" s="54">
        <f t="shared" ca="1" si="29"/>
        <v>20</v>
      </c>
      <c r="G734" s="53" t="s">
        <v>34</v>
      </c>
      <c r="H734" s="52">
        <v>71970</v>
      </c>
      <c r="I734" s="51">
        <v>4</v>
      </c>
    </row>
    <row r="735" spans="1:9" x14ac:dyDescent="0.25">
      <c r="A735" s="56" t="s">
        <v>6</v>
      </c>
      <c r="B735" s="58" t="s">
        <v>13</v>
      </c>
      <c r="C735" s="56" t="s">
        <v>6</v>
      </c>
      <c r="D735" s="56" t="s">
        <v>5</v>
      </c>
      <c r="E735" s="55">
        <v>35362</v>
      </c>
      <c r="F735" s="54">
        <f t="shared" ca="1" si="29"/>
        <v>20</v>
      </c>
      <c r="G735" s="53" t="s">
        <v>34</v>
      </c>
      <c r="H735" s="52">
        <v>65320</v>
      </c>
      <c r="I735" s="51">
        <v>5</v>
      </c>
    </row>
    <row r="736" spans="1:9" x14ac:dyDescent="0.25">
      <c r="A736" s="56" t="s">
        <v>6</v>
      </c>
      <c r="B736" s="58" t="s">
        <v>56</v>
      </c>
      <c r="C736" s="56" t="s">
        <v>6</v>
      </c>
      <c r="D736" s="56" t="s">
        <v>5</v>
      </c>
      <c r="E736" s="55">
        <v>35533</v>
      </c>
      <c r="F736" s="54">
        <f t="shared" ca="1" si="29"/>
        <v>19</v>
      </c>
      <c r="G736" s="53" t="s">
        <v>4</v>
      </c>
      <c r="H736" s="52">
        <v>47630</v>
      </c>
      <c r="I736" s="51">
        <v>3</v>
      </c>
    </row>
    <row r="737" spans="1:9" x14ac:dyDescent="0.25">
      <c r="A737" s="56" t="s">
        <v>6</v>
      </c>
      <c r="B737" s="58" t="s">
        <v>13</v>
      </c>
      <c r="C737" s="56" t="s">
        <v>6</v>
      </c>
      <c r="D737" s="56" t="s">
        <v>15</v>
      </c>
      <c r="E737" s="55">
        <v>35608</v>
      </c>
      <c r="F737" s="54">
        <f t="shared" ca="1" si="29"/>
        <v>19</v>
      </c>
      <c r="G737" s="53" t="s">
        <v>32</v>
      </c>
      <c r="H737" s="52">
        <v>17205</v>
      </c>
      <c r="I737" s="51">
        <v>5</v>
      </c>
    </row>
    <row r="738" spans="1:9" x14ac:dyDescent="0.25">
      <c r="A738" s="56" t="s">
        <v>6</v>
      </c>
      <c r="B738" s="58" t="s">
        <v>13</v>
      </c>
      <c r="C738" s="56" t="s">
        <v>6</v>
      </c>
      <c r="D738" s="56" t="s">
        <v>5</v>
      </c>
      <c r="E738" s="55">
        <v>35646</v>
      </c>
      <c r="F738" s="54">
        <f t="shared" ca="1" si="29"/>
        <v>19</v>
      </c>
      <c r="G738" s="53" t="s">
        <v>8</v>
      </c>
      <c r="H738" s="52">
        <v>49930</v>
      </c>
      <c r="I738" s="51">
        <v>1</v>
      </c>
    </row>
    <row r="739" spans="1:9" x14ac:dyDescent="0.25">
      <c r="A739" s="56" t="s">
        <v>6</v>
      </c>
      <c r="B739" s="58" t="s">
        <v>13</v>
      </c>
      <c r="C739" s="56" t="s">
        <v>6</v>
      </c>
      <c r="D739" s="56" t="s">
        <v>5</v>
      </c>
      <c r="E739" s="55">
        <v>35657</v>
      </c>
      <c r="F739" s="54">
        <f t="shared" ca="1" si="29"/>
        <v>19</v>
      </c>
      <c r="G739" s="53" t="s">
        <v>32</v>
      </c>
      <c r="H739" s="52">
        <v>63060</v>
      </c>
      <c r="I739" s="51">
        <v>4</v>
      </c>
    </row>
    <row r="740" spans="1:9" x14ac:dyDescent="0.25">
      <c r="A740" s="56" t="s">
        <v>6</v>
      </c>
      <c r="B740" s="58" t="s">
        <v>56</v>
      </c>
      <c r="C740" s="56" t="s">
        <v>6</v>
      </c>
      <c r="D740" s="56" t="s">
        <v>5</v>
      </c>
      <c r="E740" s="55">
        <v>35699</v>
      </c>
      <c r="F740" s="54">
        <f t="shared" ref="F740:F771" ca="1" si="30">DATEDIF(E740,TODAY(),"Y")</f>
        <v>19</v>
      </c>
      <c r="G740" s="53" t="s">
        <v>4</v>
      </c>
      <c r="H740" s="52">
        <v>78710</v>
      </c>
      <c r="I740" s="51">
        <v>2</v>
      </c>
    </row>
    <row r="741" spans="1:9" x14ac:dyDescent="0.25">
      <c r="A741" s="56" t="s">
        <v>6</v>
      </c>
      <c r="B741" s="58" t="s">
        <v>2</v>
      </c>
      <c r="C741" s="56" t="s">
        <v>6</v>
      </c>
      <c r="D741" s="56" t="s">
        <v>12</v>
      </c>
      <c r="E741" s="55">
        <v>35755</v>
      </c>
      <c r="F741" s="54">
        <f t="shared" ca="1" si="30"/>
        <v>18</v>
      </c>
      <c r="G741" s="53"/>
      <c r="H741" s="52">
        <v>77136</v>
      </c>
      <c r="I741" s="51">
        <v>5</v>
      </c>
    </row>
    <row r="742" spans="1:9" x14ac:dyDescent="0.25">
      <c r="A742" s="56" t="s">
        <v>6</v>
      </c>
      <c r="B742" s="58" t="s">
        <v>17</v>
      </c>
      <c r="C742" s="56" t="s">
        <v>6</v>
      </c>
      <c r="D742" s="56" t="s">
        <v>12</v>
      </c>
      <c r="E742" s="55">
        <v>35789</v>
      </c>
      <c r="F742" s="54">
        <f t="shared" ca="1" si="30"/>
        <v>18</v>
      </c>
      <c r="G742" s="53"/>
      <c r="H742" s="52">
        <v>28270</v>
      </c>
      <c r="I742" s="51">
        <v>5</v>
      </c>
    </row>
    <row r="743" spans="1:9" x14ac:dyDescent="0.25">
      <c r="A743" s="56" t="s">
        <v>6</v>
      </c>
      <c r="B743" s="58" t="s">
        <v>2</v>
      </c>
      <c r="C743" s="56" t="s">
        <v>6</v>
      </c>
      <c r="D743" s="56" t="s">
        <v>12</v>
      </c>
      <c r="E743" s="55">
        <v>35831</v>
      </c>
      <c r="F743" s="54">
        <f t="shared" ca="1" si="30"/>
        <v>18</v>
      </c>
      <c r="G743" s="53"/>
      <c r="H743" s="52">
        <v>25530</v>
      </c>
      <c r="I743" s="51">
        <v>3</v>
      </c>
    </row>
    <row r="744" spans="1:9" x14ac:dyDescent="0.25">
      <c r="A744" s="56" t="s">
        <v>6</v>
      </c>
      <c r="B744" s="58" t="s">
        <v>2</v>
      </c>
      <c r="C744" s="56" t="s">
        <v>6</v>
      </c>
      <c r="D744" s="56" t="s">
        <v>12</v>
      </c>
      <c r="E744" s="55">
        <v>36143</v>
      </c>
      <c r="F744" s="54">
        <f t="shared" ca="1" si="30"/>
        <v>17</v>
      </c>
      <c r="G744" s="53"/>
      <c r="H744" s="52">
        <v>49090</v>
      </c>
      <c r="I744" s="51">
        <v>4</v>
      </c>
    </row>
    <row r="745" spans="1:9" x14ac:dyDescent="0.25">
      <c r="A745" s="56" t="s">
        <v>6</v>
      </c>
      <c r="B745" s="58" t="s">
        <v>56</v>
      </c>
      <c r="C745" s="56" t="s">
        <v>6</v>
      </c>
      <c r="D745" s="56" t="s">
        <v>5</v>
      </c>
      <c r="E745" s="55">
        <v>36185</v>
      </c>
      <c r="F745" s="54">
        <f t="shared" ca="1" si="30"/>
        <v>17</v>
      </c>
      <c r="G745" s="53" t="s">
        <v>8</v>
      </c>
      <c r="H745" s="52">
        <v>60300</v>
      </c>
      <c r="I745" s="51">
        <v>2</v>
      </c>
    </row>
    <row r="746" spans="1:9" x14ac:dyDescent="0.25">
      <c r="A746" s="56" t="s">
        <v>6</v>
      </c>
      <c r="B746" s="58" t="s">
        <v>13</v>
      </c>
      <c r="C746" s="56" t="s">
        <v>6</v>
      </c>
      <c r="D746" s="56" t="s">
        <v>5</v>
      </c>
      <c r="E746" s="55">
        <v>36500</v>
      </c>
      <c r="F746" s="54">
        <f t="shared" ca="1" si="30"/>
        <v>16</v>
      </c>
      <c r="G746" s="53" t="s">
        <v>4</v>
      </c>
      <c r="H746" s="52">
        <v>48010</v>
      </c>
      <c r="I746" s="51">
        <v>3</v>
      </c>
    </row>
    <row r="747" spans="1:9" x14ac:dyDescent="0.25">
      <c r="A747" s="56" t="s">
        <v>6</v>
      </c>
      <c r="B747" s="58" t="s">
        <v>13</v>
      </c>
      <c r="C747" s="56" t="s">
        <v>6</v>
      </c>
      <c r="D747" s="56" t="s">
        <v>5</v>
      </c>
      <c r="E747" s="55">
        <v>37018</v>
      </c>
      <c r="F747" s="54">
        <f t="shared" ca="1" si="30"/>
        <v>15</v>
      </c>
      <c r="G747" s="53" t="s">
        <v>34</v>
      </c>
      <c r="H747" s="52">
        <v>48280</v>
      </c>
      <c r="I747" s="51">
        <v>4</v>
      </c>
    </row>
    <row r="748" spans="1:9" x14ac:dyDescent="0.25">
      <c r="A748" s="56" t="s">
        <v>6</v>
      </c>
      <c r="B748" s="58" t="s">
        <v>39</v>
      </c>
      <c r="C748" s="56" t="s">
        <v>6</v>
      </c>
      <c r="D748" s="56" t="s">
        <v>5</v>
      </c>
      <c r="E748" s="55">
        <v>37037</v>
      </c>
      <c r="F748" s="54">
        <f t="shared" ca="1" si="30"/>
        <v>15</v>
      </c>
      <c r="G748" s="53" t="s">
        <v>4</v>
      </c>
      <c r="H748" s="52">
        <v>81340</v>
      </c>
      <c r="I748" s="51">
        <v>2</v>
      </c>
    </row>
    <row r="749" spans="1:9" x14ac:dyDescent="0.25">
      <c r="A749" s="56" t="s">
        <v>6</v>
      </c>
      <c r="B749" s="58" t="s">
        <v>10</v>
      </c>
      <c r="C749" s="56" t="s">
        <v>6</v>
      </c>
      <c r="D749" s="56" t="s">
        <v>12</v>
      </c>
      <c r="E749" s="55">
        <v>37128</v>
      </c>
      <c r="F749" s="54">
        <f t="shared" ca="1" si="30"/>
        <v>15</v>
      </c>
      <c r="G749" s="53"/>
      <c r="H749" s="52">
        <v>32880</v>
      </c>
      <c r="I749" s="51">
        <v>3</v>
      </c>
    </row>
    <row r="750" spans="1:9" x14ac:dyDescent="0.25">
      <c r="A750" s="56" t="s">
        <v>6</v>
      </c>
      <c r="B750" s="58" t="s">
        <v>56</v>
      </c>
      <c r="C750" s="56" t="s">
        <v>6</v>
      </c>
      <c r="D750" s="56" t="s">
        <v>5</v>
      </c>
      <c r="E750" s="55">
        <v>37316</v>
      </c>
      <c r="F750" s="54">
        <f t="shared" ca="1" si="30"/>
        <v>14</v>
      </c>
      <c r="G750" s="53" t="s">
        <v>32</v>
      </c>
      <c r="H750" s="52">
        <v>44530</v>
      </c>
      <c r="I750" s="51">
        <v>2</v>
      </c>
    </row>
    <row r="751" spans="1:9" x14ac:dyDescent="0.25">
      <c r="A751" s="56" t="s">
        <v>6</v>
      </c>
      <c r="B751" s="58" t="s">
        <v>39</v>
      </c>
      <c r="C751" s="56" t="s">
        <v>6</v>
      </c>
      <c r="D751" s="56" t="s">
        <v>0</v>
      </c>
      <c r="E751" s="55">
        <v>37336</v>
      </c>
      <c r="F751" s="54">
        <f t="shared" ca="1" si="30"/>
        <v>14</v>
      </c>
      <c r="G751" s="53"/>
      <c r="H751" s="52">
        <v>37344</v>
      </c>
      <c r="I751" s="51">
        <v>2</v>
      </c>
    </row>
    <row r="752" spans="1:9" x14ac:dyDescent="0.25">
      <c r="A752" s="56" t="s">
        <v>6</v>
      </c>
      <c r="B752" s="58" t="s">
        <v>10</v>
      </c>
      <c r="C752" s="56" t="s">
        <v>6</v>
      </c>
      <c r="D752" s="56" t="s">
        <v>5</v>
      </c>
      <c r="E752" s="55">
        <v>37861</v>
      </c>
      <c r="F752" s="54">
        <f t="shared" ca="1" si="30"/>
        <v>13</v>
      </c>
      <c r="G752" s="53" t="s">
        <v>19</v>
      </c>
      <c r="H752" s="52">
        <v>25690</v>
      </c>
      <c r="I752" s="51">
        <v>2</v>
      </c>
    </row>
    <row r="753" spans="1:9" x14ac:dyDescent="0.25">
      <c r="A753" s="56" t="s">
        <v>6</v>
      </c>
      <c r="B753" s="58" t="s">
        <v>13</v>
      </c>
      <c r="C753" s="56" t="s">
        <v>6</v>
      </c>
      <c r="D753" s="56" t="s">
        <v>5</v>
      </c>
      <c r="E753" s="55">
        <v>37973</v>
      </c>
      <c r="F753" s="54">
        <f t="shared" ca="1" si="30"/>
        <v>12</v>
      </c>
      <c r="G753" s="53" t="s">
        <v>32</v>
      </c>
      <c r="H753" s="52">
        <v>24980</v>
      </c>
      <c r="I753" s="51">
        <v>3</v>
      </c>
    </row>
    <row r="754" spans="1:9" x14ac:dyDescent="0.25">
      <c r="A754" s="56" t="s">
        <v>6</v>
      </c>
      <c r="B754" s="58" t="s">
        <v>10</v>
      </c>
      <c r="C754" s="56" t="s">
        <v>6</v>
      </c>
      <c r="D754" s="56" t="s">
        <v>5</v>
      </c>
      <c r="E754" s="55">
        <v>38131</v>
      </c>
      <c r="F754" s="54">
        <f t="shared" ca="1" si="30"/>
        <v>12</v>
      </c>
      <c r="G754" s="53" t="s">
        <v>34</v>
      </c>
      <c r="H754" s="52">
        <v>68860</v>
      </c>
      <c r="I754" s="51">
        <v>2</v>
      </c>
    </row>
    <row r="755" spans="1:9" x14ac:dyDescent="0.25">
      <c r="A755" s="56" t="s">
        <v>6</v>
      </c>
      <c r="B755" s="58" t="s">
        <v>10</v>
      </c>
      <c r="C755" s="56" t="s">
        <v>6</v>
      </c>
      <c r="D755" s="56" t="s">
        <v>15</v>
      </c>
      <c r="E755" s="55">
        <v>38225</v>
      </c>
      <c r="F755" s="54">
        <f t="shared" ca="1" si="30"/>
        <v>12</v>
      </c>
      <c r="G755" s="53" t="s">
        <v>8</v>
      </c>
      <c r="H755" s="52">
        <v>49080</v>
      </c>
      <c r="I755" s="51">
        <v>5</v>
      </c>
    </row>
    <row r="756" spans="1:9" x14ac:dyDescent="0.25">
      <c r="A756" s="56" t="s">
        <v>6</v>
      </c>
      <c r="B756" s="58" t="s">
        <v>39</v>
      </c>
      <c r="C756" s="56" t="s">
        <v>6</v>
      </c>
      <c r="D756" s="56" t="s">
        <v>5</v>
      </c>
      <c r="E756" s="55">
        <v>38292</v>
      </c>
      <c r="F756" s="54">
        <f t="shared" ca="1" si="30"/>
        <v>12</v>
      </c>
      <c r="G756" s="53" t="s">
        <v>32</v>
      </c>
      <c r="H756" s="52">
        <v>79380</v>
      </c>
      <c r="I756" s="51">
        <v>5</v>
      </c>
    </row>
    <row r="757" spans="1:9" x14ac:dyDescent="0.25">
      <c r="A757" s="56" t="s">
        <v>6</v>
      </c>
      <c r="B757" s="58" t="s">
        <v>10</v>
      </c>
      <c r="C757" s="56" t="s">
        <v>6</v>
      </c>
      <c r="D757" s="56" t="s">
        <v>5</v>
      </c>
      <c r="E757" s="55">
        <v>38369</v>
      </c>
      <c r="F757" s="54">
        <f t="shared" ca="1" si="30"/>
        <v>11</v>
      </c>
      <c r="G757" s="53" t="s">
        <v>32</v>
      </c>
      <c r="H757" s="52">
        <v>22820</v>
      </c>
      <c r="I757" s="51">
        <v>5</v>
      </c>
    </row>
    <row r="758" spans="1:9" x14ac:dyDescent="0.25">
      <c r="A758" s="56" t="s">
        <v>6</v>
      </c>
      <c r="B758" s="58" t="s">
        <v>39</v>
      </c>
      <c r="C758" s="56" t="s">
        <v>6</v>
      </c>
      <c r="D758" s="56" t="s">
        <v>12</v>
      </c>
      <c r="E758" s="55">
        <v>38418</v>
      </c>
      <c r="F758" s="54">
        <f t="shared" ca="1" si="30"/>
        <v>11</v>
      </c>
      <c r="G758" s="53"/>
      <c r="H758" s="52">
        <v>86040</v>
      </c>
      <c r="I758" s="51">
        <v>5</v>
      </c>
    </row>
    <row r="759" spans="1:9" x14ac:dyDescent="0.25">
      <c r="A759" s="56" t="s">
        <v>6</v>
      </c>
      <c r="B759" s="58" t="s">
        <v>13</v>
      </c>
      <c r="C759" s="56" t="s">
        <v>6</v>
      </c>
      <c r="D759" s="56" t="s">
        <v>5</v>
      </c>
      <c r="E759" s="55">
        <v>38418</v>
      </c>
      <c r="F759" s="54">
        <f t="shared" ca="1" si="30"/>
        <v>11</v>
      </c>
      <c r="G759" s="53" t="s">
        <v>32</v>
      </c>
      <c r="H759" s="52">
        <v>82370</v>
      </c>
      <c r="I759" s="51">
        <v>5</v>
      </c>
    </row>
    <row r="760" spans="1:9" x14ac:dyDescent="0.25">
      <c r="A760" s="56" t="s">
        <v>6</v>
      </c>
      <c r="B760" s="58" t="s">
        <v>17</v>
      </c>
      <c r="C760" s="56" t="s">
        <v>6</v>
      </c>
      <c r="D760" s="56" t="s">
        <v>5</v>
      </c>
      <c r="E760" s="55">
        <v>38708</v>
      </c>
      <c r="F760" s="54">
        <f t="shared" ca="1" si="30"/>
        <v>10</v>
      </c>
      <c r="G760" s="53" t="s">
        <v>4</v>
      </c>
      <c r="H760" s="52">
        <v>34990</v>
      </c>
      <c r="I760" s="51">
        <v>3</v>
      </c>
    </row>
    <row r="761" spans="1:9" x14ac:dyDescent="0.25">
      <c r="A761" s="56" t="s">
        <v>6</v>
      </c>
      <c r="B761" s="58" t="s">
        <v>13</v>
      </c>
      <c r="C761" s="56" t="s">
        <v>6</v>
      </c>
      <c r="D761" s="56" t="s">
        <v>12</v>
      </c>
      <c r="E761" s="55">
        <v>38925</v>
      </c>
      <c r="F761" s="54">
        <f t="shared" ca="1" si="30"/>
        <v>10</v>
      </c>
      <c r="G761" s="53"/>
      <c r="H761" s="52">
        <v>80729</v>
      </c>
      <c r="I761" s="51">
        <v>3</v>
      </c>
    </row>
    <row r="762" spans="1:9" x14ac:dyDescent="0.25">
      <c r="A762" s="56" t="s">
        <v>6</v>
      </c>
      <c r="B762" s="58" t="s">
        <v>2</v>
      </c>
      <c r="C762" s="56" t="s">
        <v>6</v>
      </c>
      <c r="D762" s="56" t="s">
        <v>12</v>
      </c>
      <c r="E762" s="59">
        <v>39024</v>
      </c>
      <c r="F762" s="54">
        <f t="shared" ca="1" si="30"/>
        <v>9</v>
      </c>
      <c r="G762" s="53"/>
      <c r="H762" s="52">
        <v>47280</v>
      </c>
      <c r="I762" s="51">
        <v>1</v>
      </c>
    </row>
    <row r="763" spans="1:9" x14ac:dyDescent="0.25">
      <c r="A763" s="56" t="s">
        <v>6</v>
      </c>
      <c r="B763" s="58" t="s">
        <v>13</v>
      </c>
      <c r="C763" s="56" t="s">
        <v>6</v>
      </c>
      <c r="D763" s="56" t="s">
        <v>12</v>
      </c>
      <c r="E763" s="55">
        <v>39213</v>
      </c>
      <c r="F763" s="54">
        <f t="shared" ca="1" si="30"/>
        <v>9</v>
      </c>
      <c r="G763" s="53"/>
      <c r="H763" s="52">
        <v>46570</v>
      </c>
      <c r="I763" s="51">
        <v>4</v>
      </c>
    </row>
    <row r="764" spans="1:9" x14ac:dyDescent="0.25">
      <c r="A764" s="56" t="s">
        <v>6</v>
      </c>
      <c r="B764" s="58" t="s">
        <v>2</v>
      </c>
      <c r="C764" s="56" t="s">
        <v>6</v>
      </c>
      <c r="D764" s="56" t="s">
        <v>5</v>
      </c>
      <c r="E764" s="59">
        <v>39226</v>
      </c>
      <c r="F764" s="54">
        <f t="shared" ca="1" si="30"/>
        <v>9</v>
      </c>
      <c r="G764" s="53" t="s">
        <v>4</v>
      </c>
      <c r="H764" s="52">
        <v>70730</v>
      </c>
      <c r="I764" s="51">
        <v>1</v>
      </c>
    </row>
    <row r="765" spans="1:9" x14ac:dyDescent="0.25">
      <c r="A765" s="56" t="s">
        <v>6</v>
      </c>
      <c r="B765" s="58" t="s">
        <v>13</v>
      </c>
      <c r="C765" s="56" t="s">
        <v>6</v>
      </c>
      <c r="D765" s="56" t="s">
        <v>12</v>
      </c>
      <c r="E765" s="59">
        <v>39253</v>
      </c>
      <c r="F765" s="54">
        <f t="shared" ca="1" si="30"/>
        <v>9</v>
      </c>
      <c r="G765" s="53"/>
      <c r="H765" s="52">
        <v>55510</v>
      </c>
      <c r="I765" s="51">
        <v>3</v>
      </c>
    </row>
    <row r="766" spans="1:9" x14ac:dyDescent="0.25">
      <c r="A766" s="56" t="s">
        <v>6</v>
      </c>
      <c r="B766" s="58" t="s">
        <v>13</v>
      </c>
      <c r="C766" s="56" t="s">
        <v>6</v>
      </c>
      <c r="D766" s="56" t="s">
        <v>5</v>
      </c>
      <c r="E766" s="55">
        <v>39258</v>
      </c>
      <c r="F766" s="54">
        <f t="shared" ca="1" si="30"/>
        <v>9</v>
      </c>
      <c r="G766" s="53" t="s">
        <v>32</v>
      </c>
      <c r="H766" s="52">
        <v>46390</v>
      </c>
      <c r="I766" s="51">
        <v>5</v>
      </c>
    </row>
    <row r="767" spans="1:9" x14ac:dyDescent="0.25">
      <c r="A767" s="56" t="s">
        <v>6</v>
      </c>
      <c r="B767" s="58" t="s">
        <v>17</v>
      </c>
      <c r="C767" s="56" t="s">
        <v>6</v>
      </c>
      <c r="D767" s="56" t="s">
        <v>5</v>
      </c>
      <c r="E767" s="55">
        <v>39327</v>
      </c>
      <c r="F767" s="54">
        <f t="shared" ca="1" si="30"/>
        <v>9</v>
      </c>
      <c r="G767" s="53" t="s">
        <v>32</v>
      </c>
      <c r="H767" s="52">
        <v>86640</v>
      </c>
      <c r="I767" s="51">
        <v>3</v>
      </c>
    </row>
    <row r="768" spans="1:9" x14ac:dyDescent="0.25">
      <c r="A768" s="56" t="s">
        <v>6</v>
      </c>
      <c r="B768" s="58" t="s">
        <v>56</v>
      </c>
      <c r="C768" s="56" t="s">
        <v>6</v>
      </c>
      <c r="D768" s="56" t="s">
        <v>12</v>
      </c>
      <c r="E768" s="59">
        <v>39328</v>
      </c>
      <c r="F768" s="54">
        <f t="shared" ca="1" si="30"/>
        <v>9</v>
      </c>
      <c r="G768" s="53"/>
      <c r="H768" s="52">
        <v>42990</v>
      </c>
      <c r="I768" s="51">
        <v>4</v>
      </c>
    </row>
    <row r="769" spans="1:9" x14ac:dyDescent="0.25">
      <c r="A769" s="56" t="s">
        <v>6</v>
      </c>
      <c r="B769" s="58" t="s">
        <v>56</v>
      </c>
      <c r="C769" s="56" t="s">
        <v>6</v>
      </c>
      <c r="D769" s="56" t="s">
        <v>12</v>
      </c>
      <c r="E769" s="59">
        <v>39328</v>
      </c>
      <c r="F769" s="54">
        <f t="shared" ca="1" si="30"/>
        <v>9</v>
      </c>
      <c r="G769" s="53"/>
      <c r="H769" s="52">
        <v>42990</v>
      </c>
      <c r="I769" s="51">
        <v>4</v>
      </c>
    </row>
    <row r="770" spans="1:9" x14ac:dyDescent="0.25">
      <c r="A770" s="56" t="s">
        <v>6</v>
      </c>
      <c r="B770" s="58" t="s">
        <v>17</v>
      </c>
      <c r="C770" s="56" t="s">
        <v>6</v>
      </c>
      <c r="D770" s="56" t="s">
        <v>5</v>
      </c>
      <c r="E770" s="59">
        <v>39370</v>
      </c>
      <c r="F770" s="54">
        <f t="shared" ca="1" si="30"/>
        <v>9</v>
      </c>
      <c r="G770" s="53" t="s">
        <v>32</v>
      </c>
      <c r="H770" s="52">
        <v>23030</v>
      </c>
      <c r="I770" s="51">
        <v>4</v>
      </c>
    </row>
    <row r="771" spans="1:9" x14ac:dyDescent="0.25">
      <c r="A771" s="56" t="s">
        <v>6</v>
      </c>
      <c r="B771" s="58" t="s">
        <v>17</v>
      </c>
      <c r="C771" s="56" t="s">
        <v>6</v>
      </c>
      <c r="D771" s="56" t="s">
        <v>5</v>
      </c>
      <c r="E771" s="59">
        <v>39370</v>
      </c>
      <c r="F771" s="54">
        <f t="shared" ca="1" si="30"/>
        <v>9</v>
      </c>
      <c r="G771" s="53" t="s">
        <v>8</v>
      </c>
      <c r="H771" s="52">
        <v>40260</v>
      </c>
      <c r="I771" s="51">
        <v>5</v>
      </c>
    </row>
    <row r="772" spans="1:9" x14ac:dyDescent="0.25">
      <c r="A772" s="57"/>
      <c r="B772" s="58"/>
      <c r="C772" s="57"/>
      <c r="D772" s="56"/>
      <c r="E772" s="59"/>
      <c r="F772" s="54"/>
      <c r="G772" s="53"/>
      <c r="H772" s="52"/>
      <c r="I772" s="51"/>
    </row>
    <row r="773" spans="1:9" x14ac:dyDescent="0.25">
      <c r="A773" s="56" t="s">
        <v>343</v>
      </c>
      <c r="B773" s="58" t="s">
        <v>39</v>
      </c>
      <c r="C773" s="56" t="s">
        <v>343</v>
      </c>
      <c r="D773" s="56" t="s">
        <v>12</v>
      </c>
      <c r="E773" s="55">
        <v>32077</v>
      </c>
      <c r="F773" s="54">
        <f ca="1">DATEDIF(E773,TODAY(),"Y")</f>
        <v>29</v>
      </c>
      <c r="G773" s="53"/>
      <c r="H773" s="52">
        <v>85510</v>
      </c>
      <c r="I773" s="51">
        <v>4</v>
      </c>
    </row>
    <row r="774" spans="1:9" x14ac:dyDescent="0.25">
      <c r="A774" s="56" t="s">
        <v>343</v>
      </c>
      <c r="B774" s="58" t="s">
        <v>17</v>
      </c>
      <c r="C774" s="56" t="s">
        <v>343</v>
      </c>
      <c r="D774" s="56" t="s">
        <v>5</v>
      </c>
      <c r="E774" s="55">
        <v>35681</v>
      </c>
      <c r="F774" s="54">
        <f ca="1">DATEDIF(E774,TODAY(),"Y")</f>
        <v>19</v>
      </c>
      <c r="G774" s="53" t="s">
        <v>32</v>
      </c>
      <c r="H774" s="52">
        <v>63670</v>
      </c>
      <c r="I774" s="51">
        <v>5</v>
      </c>
    </row>
    <row r="775" spans="1:9" x14ac:dyDescent="0.25">
      <c r="A775" s="56" t="s">
        <v>343</v>
      </c>
      <c r="B775" s="58" t="s">
        <v>39</v>
      </c>
      <c r="C775" s="56" t="s">
        <v>343</v>
      </c>
      <c r="D775" s="56" t="s">
        <v>5</v>
      </c>
      <c r="E775" s="55">
        <v>35763</v>
      </c>
      <c r="F775" s="54">
        <f ca="1">DATEDIF(E775,TODAY(),"Y")</f>
        <v>18</v>
      </c>
      <c r="G775" s="53" t="s">
        <v>8</v>
      </c>
      <c r="H775" s="52">
        <v>40680</v>
      </c>
      <c r="I775" s="51">
        <v>5</v>
      </c>
    </row>
    <row r="776" spans="1:9" x14ac:dyDescent="0.25">
      <c r="A776" s="56" t="s">
        <v>343</v>
      </c>
      <c r="B776" s="58" t="s">
        <v>2</v>
      </c>
      <c r="C776" s="56" t="s">
        <v>343</v>
      </c>
      <c r="D776" s="56" t="s">
        <v>5</v>
      </c>
      <c r="E776" s="55">
        <v>36374</v>
      </c>
      <c r="F776" s="54">
        <f ca="1">DATEDIF(E776,TODAY(),"Y")</f>
        <v>17</v>
      </c>
      <c r="G776" s="53" t="s">
        <v>4</v>
      </c>
      <c r="H776" s="52">
        <v>42800</v>
      </c>
      <c r="I776" s="51">
        <v>5</v>
      </c>
    </row>
    <row r="777" spans="1:9" x14ac:dyDescent="0.25">
      <c r="A777" s="56" t="s">
        <v>343</v>
      </c>
      <c r="B777" s="58" t="s">
        <v>17</v>
      </c>
      <c r="C777" s="56" t="s">
        <v>343</v>
      </c>
      <c r="D777" s="56" t="s">
        <v>12</v>
      </c>
      <c r="E777" s="55">
        <v>39409</v>
      </c>
      <c r="F777" s="54">
        <f ca="1">DATEDIF(E777,TODAY(),"Y")</f>
        <v>8</v>
      </c>
      <c r="G777" s="53"/>
      <c r="H777" s="52">
        <v>66132</v>
      </c>
      <c r="I777" s="51">
        <v>4</v>
      </c>
    </row>
    <row r="778" spans="1:9" x14ac:dyDescent="0.25">
      <c r="A778" s="57"/>
      <c r="B778" s="58"/>
      <c r="C778" s="57"/>
      <c r="D778" s="56"/>
      <c r="E778" s="55"/>
      <c r="F778" s="54"/>
      <c r="G778" s="53"/>
      <c r="H778" s="52"/>
      <c r="I778" s="51"/>
    </row>
    <row r="779" spans="1:9" x14ac:dyDescent="0.25">
      <c r="A779" s="56" t="s">
        <v>1</v>
      </c>
      <c r="B779" s="58" t="s">
        <v>13</v>
      </c>
      <c r="C779" s="56" t="s">
        <v>1</v>
      </c>
      <c r="D779" s="56" t="s">
        <v>12</v>
      </c>
      <c r="E779" s="55">
        <v>32693</v>
      </c>
      <c r="F779" s="54">
        <f t="shared" ref="F779:F784" ca="1" si="31">DATEDIF(E779,TODAY(),"Y")</f>
        <v>27</v>
      </c>
      <c r="G779" s="53"/>
      <c r="H779" s="52">
        <v>60760</v>
      </c>
      <c r="I779" s="51">
        <v>2</v>
      </c>
    </row>
    <row r="780" spans="1:9" x14ac:dyDescent="0.25">
      <c r="A780" s="56" t="s">
        <v>1</v>
      </c>
      <c r="B780" s="58" t="s">
        <v>13</v>
      </c>
      <c r="C780" s="56" t="s">
        <v>1</v>
      </c>
      <c r="D780" s="56" t="s">
        <v>12</v>
      </c>
      <c r="E780" s="55">
        <v>33215</v>
      </c>
      <c r="F780" s="54">
        <f t="shared" ca="1" si="31"/>
        <v>25</v>
      </c>
      <c r="G780" s="53"/>
      <c r="H780" s="52">
        <v>64720</v>
      </c>
      <c r="I780" s="51">
        <v>5</v>
      </c>
    </row>
    <row r="781" spans="1:9" x14ac:dyDescent="0.25">
      <c r="A781" s="56" t="s">
        <v>1</v>
      </c>
      <c r="B781" s="58" t="s">
        <v>13</v>
      </c>
      <c r="C781" s="56" t="s">
        <v>1</v>
      </c>
      <c r="D781" s="56" t="s">
        <v>12</v>
      </c>
      <c r="E781" s="55">
        <v>33215</v>
      </c>
      <c r="F781" s="54">
        <f t="shared" ca="1" si="31"/>
        <v>25</v>
      </c>
      <c r="G781" s="53"/>
      <c r="H781" s="52">
        <v>64720</v>
      </c>
      <c r="I781" s="51">
        <v>5</v>
      </c>
    </row>
    <row r="782" spans="1:9" x14ac:dyDescent="0.25">
      <c r="A782" s="56" t="s">
        <v>1</v>
      </c>
      <c r="B782" s="58" t="s">
        <v>2</v>
      </c>
      <c r="C782" s="56" t="s">
        <v>1</v>
      </c>
      <c r="D782" s="56" t="s">
        <v>15</v>
      </c>
      <c r="E782" s="55">
        <v>35247</v>
      </c>
      <c r="F782" s="54">
        <f t="shared" ca="1" si="31"/>
        <v>20</v>
      </c>
      <c r="G782" s="53" t="s">
        <v>32</v>
      </c>
      <c r="H782" s="52">
        <v>31250</v>
      </c>
      <c r="I782" s="51">
        <v>2</v>
      </c>
    </row>
    <row r="783" spans="1:9" x14ac:dyDescent="0.25">
      <c r="A783" s="56" t="s">
        <v>1</v>
      </c>
      <c r="B783" s="58" t="s">
        <v>56</v>
      </c>
      <c r="C783" s="56" t="s">
        <v>1</v>
      </c>
      <c r="D783" s="56" t="s">
        <v>5</v>
      </c>
      <c r="E783" s="55">
        <v>39074</v>
      </c>
      <c r="F783" s="54">
        <f t="shared" ca="1" si="31"/>
        <v>9</v>
      </c>
      <c r="G783" s="53" t="s">
        <v>32</v>
      </c>
      <c r="H783" s="52">
        <v>46680</v>
      </c>
      <c r="I783" s="51">
        <v>1</v>
      </c>
    </row>
    <row r="784" spans="1:9" x14ac:dyDescent="0.25">
      <c r="A784" s="56" t="s">
        <v>1</v>
      </c>
      <c r="B784" s="58" t="s">
        <v>2</v>
      </c>
      <c r="C784" s="56" t="s">
        <v>1</v>
      </c>
      <c r="D784" s="56" t="s">
        <v>0</v>
      </c>
      <c r="E784" s="55">
        <v>39233</v>
      </c>
      <c r="F784" s="54">
        <f t="shared" ca="1" si="31"/>
        <v>9</v>
      </c>
      <c r="G784" s="53"/>
      <c r="H784" s="52">
        <v>19044</v>
      </c>
      <c r="I784" s="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pageSetUpPr autoPageBreaks="0"/>
  </sheetPr>
  <dimension ref="A1:AG743"/>
  <sheetViews>
    <sheetView zoomScale="115" zoomScaleNormal="115" zoomScaleSheetLayoutView="100" workbookViewId="0">
      <selection activeCell="E17" sqref="E17"/>
    </sheetView>
  </sheetViews>
  <sheetFormatPr defaultColWidth="19.85546875" defaultRowHeight="15" customHeight="1" x14ac:dyDescent="0.25"/>
  <cols>
    <col min="1" max="1" width="19.5703125" bestFit="1" customWidth="1"/>
    <col min="2" max="2" width="8.28515625" bestFit="1" customWidth="1"/>
    <col min="3" max="3" width="26.85546875" bestFit="1" customWidth="1"/>
    <col min="4" max="4" width="11.140625" bestFit="1" customWidth="1"/>
    <col min="5" max="6" width="12.28515625" bestFit="1" customWidth="1"/>
    <col min="7" max="7" width="10.7109375" bestFit="1" customWidth="1"/>
    <col min="8" max="8" width="10.7109375" customWidth="1"/>
    <col min="9" max="9" width="9" customWidth="1"/>
    <col min="10" max="10" width="8.42578125" bestFit="1" customWidth="1"/>
    <col min="11" max="11" width="9.42578125" customWidth="1"/>
    <col min="12" max="12" width="10" bestFit="1" customWidth="1"/>
    <col min="13" max="13" width="12.28515625" bestFit="1" customWidth="1"/>
    <col min="14" max="14" width="8.42578125" bestFit="1" customWidth="1"/>
    <col min="15" max="15" width="7.5703125" customWidth="1"/>
    <col min="16" max="16" width="7.28515625" customWidth="1"/>
    <col min="17" max="17" width="9.85546875" customWidth="1"/>
    <col min="18" max="18" width="8.85546875" bestFit="1" customWidth="1"/>
    <col min="19" max="19" width="4.5703125" bestFit="1" customWidth="1"/>
    <col min="20" max="20" width="9.28515625" customWidth="1"/>
    <col min="21" max="21" width="5.5703125" bestFit="1" customWidth="1"/>
    <col min="22" max="26" width="4.42578125" bestFit="1" customWidth="1"/>
    <col min="27" max="27" width="5.42578125" customWidth="1"/>
    <col min="28" max="28" width="6" bestFit="1" customWidth="1"/>
    <col min="29" max="33" width="4.42578125" bestFit="1" customWidth="1"/>
    <col min="34" max="34" width="19.85546875" customWidth="1"/>
  </cols>
  <sheetData>
    <row r="1" spans="1:33" x14ac:dyDescent="0.25">
      <c r="A1" s="77" t="s">
        <v>850</v>
      </c>
      <c r="B1" s="77"/>
      <c r="C1" s="77"/>
      <c r="D1" s="76" t="s">
        <v>849</v>
      </c>
      <c r="E1" s="76" t="s">
        <v>807</v>
      </c>
      <c r="F1" s="77" t="s">
        <v>848</v>
      </c>
      <c r="G1" s="75" t="s">
        <v>847</v>
      </c>
      <c r="H1" s="76" t="s">
        <v>846</v>
      </c>
      <c r="I1" s="75" t="s">
        <v>845</v>
      </c>
      <c r="J1" s="77"/>
      <c r="K1" s="75" t="s">
        <v>844</v>
      </c>
      <c r="L1" s="76" t="s">
        <v>843</v>
      </c>
      <c r="M1" s="75" t="s">
        <v>842</v>
      </c>
      <c r="N1" s="75" t="s">
        <v>841</v>
      </c>
      <c r="O1" s="79"/>
      <c r="P1" s="78">
        <v>2.9100000000000001E-2</v>
      </c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33" ht="30" x14ac:dyDescent="0.25">
      <c r="A2" s="105" t="s">
        <v>1198</v>
      </c>
      <c r="B2" s="77" t="s">
        <v>810</v>
      </c>
      <c r="C2" s="77" t="s">
        <v>809</v>
      </c>
      <c r="D2" s="76" t="s">
        <v>840</v>
      </c>
      <c r="E2" s="76" t="s">
        <v>840</v>
      </c>
      <c r="F2" s="77" t="s">
        <v>806</v>
      </c>
      <c r="G2" s="75" t="s">
        <v>839</v>
      </c>
      <c r="H2" s="76" t="s">
        <v>804</v>
      </c>
      <c r="I2" s="75" t="s">
        <v>838</v>
      </c>
      <c r="J2" s="77" t="s">
        <v>802</v>
      </c>
      <c r="K2" s="75" t="s">
        <v>801</v>
      </c>
      <c r="L2" s="76" t="s">
        <v>837</v>
      </c>
      <c r="M2" s="75" t="s">
        <v>801</v>
      </c>
      <c r="N2" s="75" t="s">
        <v>836</v>
      </c>
      <c r="O2" s="74"/>
      <c r="P2" s="42"/>
      <c r="Q2" s="42"/>
      <c r="R2" s="41" t="s">
        <v>797</v>
      </c>
      <c r="S2" s="41"/>
      <c r="T2" s="70"/>
      <c r="U2" s="33"/>
      <c r="V2" s="40" t="s">
        <v>796</v>
      </c>
      <c r="W2" s="40" t="s">
        <v>795</v>
      </c>
      <c r="X2" s="40" t="s">
        <v>794</v>
      </c>
      <c r="Y2" s="40" t="s">
        <v>793</v>
      </c>
      <c r="Z2" s="40" t="s">
        <v>792</v>
      </c>
      <c r="AA2" s="73"/>
      <c r="AB2" s="72"/>
      <c r="AC2" s="71" t="s">
        <v>796</v>
      </c>
      <c r="AD2" s="71" t="s">
        <v>795</v>
      </c>
      <c r="AE2" s="71" t="s">
        <v>794</v>
      </c>
      <c r="AF2" s="71" t="s">
        <v>793</v>
      </c>
      <c r="AG2" s="71" t="s">
        <v>792</v>
      </c>
    </row>
    <row r="3" spans="1:33" x14ac:dyDescent="0.25">
      <c r="A3" s="1" t="s">
        <v>791</v>
      </c>
      <c r="B3" s="12" t="s">
        <v>56</v>
      </c>
      <c r="C3" s="1" t="s">
        <v>44</v>
      </c>
      <c r="D3" s="11">
        <v>938508346</v>
      </c>
      <c r="E3" s="34">
        <v>2526738901</v>
      </c>
      <c r="F3" s="1" t="s">
        <v>12</v>
      </c>
      <c r="G3" s="4">
        <f>32699+(364+182)</f>
        <v>33245</v>
      </c>
      <c r="H3" s="67" t="str">
        <f t="shared" ref="H3:H66" si="0">CHOOSE(MONTH(G3),"Jan","Feb","Mar","Apr","May","Jun","Jul","Aug","Sep","Oct","Nov","Dec")</f>
        <v>Jan</v>
      </c>
      <c r="I3" s="9">
        <f t="shared" ref="I3:I66" ca="1" si="1">DATEDIF(G3,TODAY(),"Y")</f>
        <v>25</v>
      </c>
      <c r="J3" s="8"/>
      <c r="K3" s="7">
        <v>80050</v>
      </c>
      <c r="L3" s="6">
        <v>2</v>
      </c>
      <c r="M3" s="31">
        <f t="shared" ref="M3:M66" si="2">ROUND(K3*P1+K3,0)</f>
        <v>82379</v>
      </c>
      <c r="N3" s="65"/>
      <c r="O3" s="14"/>
      <c r="P3" s="1"/>
      <c r="Q3" s="1"/>
      <c r="R3" s="36">
        <v>0</v>
      </c>
      <c r="S3" s="35">
        <v>0</v>
      </c>
      <c r="T3" s="1"/>
      <c r="U3" s="33" t="s">
        <v>790</v>
      </c>
      <c r="V3" s="31">
        <v>33</v>
      </c>
      <c r="W3" s="31">
        <v>40</v>
      </c>
      <c r="X3" s="31">
        <v>37</v>
      </c>
      <c r="Y3" s="31">
        <v>48</v>
      </c>
      <c r="Z3" s="31">
        <v>48</v>
      </c>
      <c r="AA3" s="31"/>
      <c r="AB3" s="32" t="s">
        <v>789</v>
      </c>
      <c r="AC3" s="31">
        <v>45</v>
      </c>
      <c r="AD3" s="31">
        <v>47</v>
      </c>
      <c r="AE3" s="31">
        <v>35</v>
      </c>
      <c r="AF3" s="31">
        <v>49</v>
      </c>
      <c r="AG3" s="31">
        <v>37</v>
      </c>
    </row>
    <row r="4" spans="1:33" x14ac:dyDescent="0.25">
      <c r="A4" s="1" t="s">
        <v>788</v>
      </c>
      <c r="B4" s="12" t="s">
        <v>13</v>
      </c>
      <c r="C4" s="1" t="s">
        <v>74</v>
      </c>
      <c r="D4" s="11">
        <v>198564686</v>
      </c>
      <c r="E4" s="34">
        <v>2523355100</v>
      </c>
      <c r="F4" s="1" t="s">
        <v>5</v>
      </c>
      <c r="G4" s="4">
        <f>32700+(364+182)</f>
        <v>33246</v>
      </c>
      <c r="H4" s="67" t="str">
        <f t="shared" si="0"/>
        <v>Jan</v>
      </c>
      <c r="I4" s="9">
        <f t="shared" ca="1" si="1"/>
        <v>25</v>
      </c>
      <c r="J4" s="8" t="s">
        <v>32</v>
      </c>
      <c r="K4" s="7">
        <v>71730</v>
      </c>
      <c r="L4" s="6">
        <v>1</v>
      </c>
      <c r="M4" s="31">
        <f t="shared" si="2"/>
        <v>71730</v>
      </c>
      <c r="N4" s="65"/>
      <c r="O4" s="14"/>
      <c r="P4" s="1"/>
      <c r="Q4" s="1"/>
      <c r="R4" s="26">
        <v>5000</v>
      </c>
      <c r="S4" s="25">
        <v>0.01</v>
      </c>
      <c r="T4" s="1"/>
      <c r="U4" s="33" t="s">
        <v>787</v>
      </c>
      <c r="V4" s="31">
        <v>35</v>
      </c>
      <c r="W4" s="31">
        <v>38</v>
      </c>
      <c r="X4" s="31">
        <v>36</v>
      </c>
      <c r="Y4" s="31">
        <v>48</v>
      </c>
      <c r="Z4" s="31">
        <v>41</v>
      </c>
      <c r="AA4" s="31"/>
      <c r="AB4" s="32" t="s">
        <v>786</v>
      </c>
      <c r="AC4" s="31">
        <v>39</v>
      </c>
      <c r="AD4" s="31">
        <v>35</v>
      </c>
      <c r="AE4" s="31">
        <v>45</v>
      </c>
      <c r="AF4" s="31">
        <v>34</v>
      </c>
      <c r="AG4" s="31">
        <v>37</v>
      </c>
    </row>
    <row r="5" spans="1:33" x14ac:dyDescent="0.25">
      <c r="A5" s="1" t="s">
        <v>785</v>
      </c>
      <c r="B5" s="12" t="s">
        <v>10</v>
      </c>
      <c r="C5" s="1" t="s">
        <v>60</v>
      </c>
      <c r="D5" s="11">
        <v>279097202</v>
      </c>
      <c r="E5" s="34">
        <v>9196844371</v>
      </c>
      <c r="F5" s="1" t="s">
        <v>5</v>
      </c>
      <c r="G5" s="4">
        <f>32701+(364+182)</f>
        <v>33247</v>
      </c>
      <c r="H5" s="67" t="str">
        <f t="shared" si="0"/>
        <v>Jan</v>
      </c>
      <c r="I5" s="9">
        <f t="shared" ca="1" si="1"/>
        <v>25</v>
      </c>
      <c r="J5" s="8" t="s">
        <v>32</v>
      </c>
      <c r="K5" s="7">
        <v>62740</v>
      </c>
      <c r="L5" s="6">
        <v>4</v>
      </c>
      <c r="M5" s="31">
        <f t="shared" si="2"/>
        <v>62740</v>
      </c>
      <c r="N5" s="65"/>
      <c r="O5" s="14"/>
      <c r="P5" s="1"/>
      <c r="Q5" s="1"/>
      <c r="R5" s="26">
        <v>25000</v>
      </c>
      <c r="S5" s="25">
        <v>0.05</v>
      </c>
      <c r="T5" s="1"/>
      <c r="U5" s="33" t="s">
        <v>784</v>
      </c>
      <c r="V5" s="31">
        <v>49</v>
      </c>
      <c r="W5" s="31">
        <v>36</v>
      </c>
      <c r="X5" s="31">
        <v>40</v>
      </c>
      <c r="Y5" s="31">
        <v>35</v>
      </c>
      <c r="Z5" s="31">
        <v>44</v>
      </c>
      <c r="AA5" s="31"/>
      <c r="AB5" s="32" t="s">
        <v>783</v>
      </c>
      <c r="AC5" s="31">
        <v>30</v>
      </c>
      <c r="AD5" s="31">
        <v>45</v>
      </c>
      <c r="AE5" s="31">
        <v>43</v>
      </c>
      <c r="AF5" s="31">
        <v>46</v>
      </c>
      <c r="AG5" s="31">
        <v>30</v>
      </c>
    </row>
    <row r="6" spans="1:33" x14ac:dyDescent="0.25">
      <c r="A6" s="1" t="s">
        <v>782</v>
      </c>
      <c r="B6" s="12" t="s">
        <v>39</v>
      </c>
      <c r="C6" s="1" t="s">
        <v>52</v>
      </c>
      <c r="D6" s="11">
        <v>352371400</v>
      </c>
      <c r="E6" s="34">
        <v>2525441252</v>
      </c>
      <c r="F6" s="1" t="s">
        <v>0</v>
      </c>
      <c r="G6" s="4">
        <f>32710+(364+182)</f>
        <v>33256</v>
      </c>
      <c r="H6" s="67" t="str">
        <f t="shared" si="0"/>
        <v>Jan</v>
      </c>
      <c r="I6" s="9">
        <f t="shared" ca="1" si="1"/>
        <v>25</v>
      </c>
      <c r="J6" s="8"/>
      <c r="K6" s="7">
        <v>30468</v>
      </c>
      <c r="L6" s="6">
        <v>2</v>
      </c>
      <c r="M6" s="31">
        <f t="shared" si="2"/>
        <v>30468</v>
      </c>
      <c r="N6" s="65"/>
      <c r="O6" s="14"/>
      <c r="P6" s="1"/>
      <c r="Q6" s="1"/>
      <c r="R6" s="26">
        <v>35000</v>
      </c>
      <c r="S6" s="25">
        <v>0.06</v>
      </c>
      <c r="T6" s="1"/>
      <c r="U6" s="33" t="s">
        <v>781</v>
      </c>
      <c r="V6" s="31">
        <v>35</v>
      </c>
      <c r="W6" s="31">
        <v>46</v>
      </c>
      <c r="X6" s="31">
        <v>44</v>
      </c>
      <c r="Y6" s="31">
        <v>48</v>
      </c>
      <c r="Z6" s="31">
        <v>47</v>
      </c>
      <c r="AA6" s="31"/>
      <c r="AB6" s="32" t="s">
        <v>780</v>
      </c>
      <c r="AC6" s="31">
        <v>46</v>
      </c>
      <c r="AD6" s="31">
        <v>40</v>
      </c>
      <c r="AE6" s="31">
        <v>45</v>
      </c>
      <c r="AF6" s="31">
        <v>45</v>
      </c>
      <c r="AG6" s="31">
        <v>37</v>
      </c>
    </row>
    <row r="7" spans="1:33" x14ac:dyDescent="0.25">
      <c r="A7" s="1" t="s">
        <v>779</v>
      </c>
      <c r="B7" s="12" t="s">
        <v>13</v>
      </c>
      <c r="C7" s="1" t="s">
        <v>52</v>
      </c>
      <c r="D7" s="11">
        <v>420739404</v>
      </c>
      <c r="E7" s="11">
        <v>9197785583</v>
      </c>
      <c r="F7" s="1" t="s">
        <v>5</v>
      </c>
      <c r="G7" s="4">
        <f>32723+(364+182)</f>
        <v>33269</v>
      </c>
      <c r="H7" s="67" t="str">
        <f t="shared" si="0"/>
        <v>Jan</v>
      </c>
      <c r="I7" s="9">
        <f t="shared" ca="1" si="1"/>
        <v>25</v>
      </c>
      <c r="J7" s="8" t="s">
        <v>4</v>
      </c>
      <c r="K7" s="7">
        <v>24840</v>
      </c>
      <c r="L7" s="6">
        <v>1</v>
      </c>
      <c r="M7" s="31">
        <f t="shared" si="2"/>
        <v>24840</v>
      </c>
      <c r="N7" s="65"/>
      <c r="O7" s="14"/>
      <c r="P7" s="1"/>
      <c r="Q7" s="1"/>
      <c r="R7" s="26">
        <v>45000</v>
      </c>
      <c r="S7" s="25">
        <v>7.0000000000000007E-2</v>
      </c>
      <c r="T7" s="1"/>
      <c r="U7" s="33" t="s">
        <v>778</v>
      </c>
      <c r="V7" s="31">
        <v>31</v>
      </c>
      <c r="W7" s="31">
        <v>49</v>
      </c>
      <c r="X7" s="31">
        <v>43</v>
      </c>
      <c r="Y7" s="31">
        <v>42</v>
      </c>
      <c r="Z7" s="31">
        <v>34</v>
      </c>
      <c r="AA7" s="31"/>
      <c r="AB7" s="32" t="s">
        <v>777</v>
      </c>
      <c r="AC7" s="31">
        <v>38</v>
      </c>
      <c r="AD7" s="31">
        <v>39</v>
      </c>
      <c r="AE7" s="31">
        <v>42</v>
      </c>
      <c r="AF7" s="31">
        <v>40</v>
      </c>
      <c r="AG7" s="31">
        <v>43</v>
      </c>
    </row>
    <row r="8" spans="1:33" x14ac:dyDescent="0.25">
      <c r="A8" s="1" t="s">
        <v>776</v>
      </c>
      <c r="B8" s="12" t="s">
        <v>13</v>
      </c>
      <c r="C8" s="1" t="s">
        <v>52</v>
      </c>
      <c r="D8" s="11">
        <v>784064156</v>
      </c>
      <c r="E8" s="34">
        <v>9193355152</v>
      </c>
      <c r="F8" s="1" t="s">
        <v>5</v>
      </c>
      <c r="G8" s="4">
        <f>33058+(364+182)</f>
        <v>33604</v>
      </c>
      <c r="H8" s="67" t="str">
        <f t="shared" si="0"/>
        <v>Jan</v>
      </c>
      <c r="I8" s="9">
        <f t="shared" ca="1" si="1"/>
        <v>24</v>
      </c>
      <c r="J8" s="8" t="s">
        <v>32</v>
      </c>
      <c r="K8" s="7">
        <v>54830</v>
      </c>
      <c r="L8" s="6">
        <v>1</v>
      </c>
      <c r="M8" s="31">
        <f t="shared" si="2"/>
        <v>54830</v>
      </c>
      <c r="N8" s="65"/>
      <c r="O8" s="14"/>
      <c r="P8" s="1"/>
      <c r="Q8" s="1"/>
      <c r="R8" s="26">
        <v>55000</v>
      </c>
      <c r="S8" s="25">
        <v>0.08</v>
      </c>
      <c r="T8" s="1"/>
      <c r="U8" s="33" t="s">
        <v>775</v>
      </c>
      <c r="V8" s="31">
        <v>43</v>
      </c>
      <c r="W8" s="31">
        <v>38</v>
      </c>
      <c r="X8" s="31">
        <v>44</v>
      </c>
      <c r="Y8" s="31">
        <v>44</v>
      </c>
      <c r="Z8" s="31">
        <v>39</v>
      </c>
      <c r="AA8" s="31"/>
      <c r="AB8" s="32" t="s">
        <v>774</v>
      </c>
      <c r="AC8" s="31">
        <v>30</v>
      </c>
      <c r="AD8" s="31">
        <v>47</v>
      </c>
      <c r="AE8" s="31">
        <v>46</v>
      </c>
      <c r="AF8" s="31">
        <v>42</v>
      </c>
      <c r="AG8" s="31">
        <v>34</v>
      </c>
    </row>
    <row r="9" spans="1:33" x14ac:dyDescent="0.25">
      <c r="A9" s="1" t="s">
        <v>773</v>
      </c>
      <c r="B9" s="12" t="s">
        <v>13</v>
      </c>
      <c r="C9" s="1" t="s">
        <v>60</v>
      </c>
      <c r="D9" s="11">
        <v>751878224</v>
      </c>
      <c r="E9" s="11">
        <v>9194713628</v>
      </c>
      <c r="F9" s="1" t="s">
        <v>5</v>
      </c>
      <c r="G9" s="4">
        <f>33060+(364+182)</f>
        <v>33606</v>
      </c>
      <c r="H9" s="67" t="str">
        <f t="shared" si="0"/>
        <v>Jan</v>
      </c>
      <c r="I9" s="9">
        <f t="shared" ca="1" si="1"/>
        <v>24</v>
      </c>
      <c r="J9" s="8" t="s">
        <v>34</v>
      </c>
      <c r="K9" s="7">
        <v>87120</v>
      </c>
      <c r="L9" s="6">
        <v>3</v>
      </c>
      <c r="M9" s="31">
        <f t="shared" si="2"/>
        <v>87120</v>
      </c>
      <c r="N9" s="65"/>
      <c r="O9" s="14"/>
      <c r="P9" s="1"/>
      <c r="Q9" s="1"/>
      <c r="R9" s="26">
        <v>65000</v>
      </c>
      <c r="S9" s="25">
        <v>0.1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 t="s">
        <v>772</v>
      </c>
      <c r="B10" s="12" t="s">
        <v>17</v>
      </c>
      <c r="C10" s="1" t="s">
        <v>44</v>
      </c>
      <c r="D10" s="11">
        <v>690374765</v>
      </c>
      <c r="E10" s="11">
        <v>2525786813</v>
      </c>
      <c r="F10" s="1" t="s">
        <v>5</v>
      </c>
      <c r="G10" s="4">
        <f>33067+(364+182)</f>
        <v>33613</v>
      </c>
      <c r="H10" s="67" t="str">
        <f t="shared" si="0"/>
        <v>Jan</v>
      </c>
      <c r="I10" s="9">
        <f t="shared" ca="1" si="1"/>
        <v>24</v>
      </c>
      <c r="J10" s="8" t="s">
        <v>19</v>
      </c>
      <c r="K10" s="7">
        <v>82500</v>
      </c>
      <c r="L10" s="6">
        <v>5</v>
      </c>
      <c r="M10" s="31">
        <f t="shared" si="2"/>
        <v>82500</v>
      </c>
      <c r="N10" s="65"/>
      <c r="O10" s="14"/>
      <c r="P10" s="1"/>
      <c r="Q10" s="1"/>
      <c r="R10" s="26">
        <v>75000</v>
      </c>
      <c r="S10" s="25">
        <v>0.11</v>
      </c>
      <c r="T10" s="1"/>
      <c r="U10" s="23"/>
      <c r="V10" s="30"/>
      <c r="W10" s="30"/>
      <c r="X10" s="30"/>
      <c r="Y10" s="30"/>
      <c r="Z10" s="30"/>
      <c r="AA10" s="1"/>
      <c r="AB10" s="29"/>
      <c r="AC10" s="28"/>
      <c r="AD10" s="28"/>
      <c r="AE10" s="28"/>
      <c r="AF10" s="28"/>
      <c r="AG10" s="1"/>
    </row>
    <row r="11" spans="1:33" x14ac:dyDescent="0.25">
      <c r="A11" s="1" t="s">
        <v>771</v>
      </c>
      <c r="B11" s="12" t="s">
        <v>13</v>
      </c>
      <c r="C11" s="1" t="s">
        <v>20</v>
      </c>
      <c r="D11" s="11">
        <v>291715078</v>
      </c>
      <c r="E11" s="11">
        <v>9197662359</v>
      </c>
      <c r="F11" s="1" t="s">
        <v>5</v>
      </c>
      <c r="G11" s="4">
        <f>33067+(364+182)</f>
        <v>33613</v>
      </c>
      <c r="H11" s="67" t="str">
        <f t="shared" si="0"/>
        <v>Jan</v>
      </c>
      <c r="I11" s="9">
        <f t="shared" ca="1" si="1"/>
        <v>24</v>
      </c>
      <c r="J11" s="8" t="s">
        <v>770</v>
      </c>
      <c r="K11" s="7">
        <v>56900</v>
      </c>
      <c r="L11" s="6">
        <v>5</v>
      </c>
      <c r="M11" s="31">
        <f t="shared" si="2"/>
        <v>56900</v>
      </c>
      <c r="N11" s="65"/>
      <c r="O11" s="14"/>
      <c r="P11" s="1"/>
      <c r="Q11" s="1"/>
      <c r="R11" s="26">
        <v>85000</v>
      </c>
      <c r="S11" s="25">
        <v>0.12</v>
      </c>
      <c r="T11" s="1"/>
      <c r="U11" s="23"/>
      <c r="V11" s="22"/>
      <c r="W11" s="22"/>
      <c r="X11" s="22"/>
      <c r="Y11" s="22"/>
      <c r="Z11" s="22"/>
      <c r="AA11" s="27"/>
      <c r="AB11" s="3"/>
      <c r="AC11" s="8"/>
      <c r="AD11" s="8"/>
      <c r="AE11" s="8"/>
      <c r="AF11" s="8"/>
      <c r="AG11" s="1"/>
    </row>
    <row r="12" spans="1:33" x14ac:dyDescent="0.25">
      <c r="A12" s="1" t="s">
        <v>769</v>
      </c>
      <c r="B12" s="12" t="s">
        <v>10</v>
      </c>
      <c r="C12" s="1" t="s">
        <v>9</v>
      </c>
      <c r="D12" s="11">
        <v>247555666</v>
      </c>
      <c r="E12" s="11">
        <v>2528183445</v>
      </c>
      <c r="F12" s="1" t="s">
        <v>5</v>
      </c>
      <c r="G12" s="4">
        <f>33071+(364+182)</f>
        <v>33617</v>
      </c>
      <c r="H12" s="67" t="str">
        <f t="shared" si="0"/>
        <v>Jan</v>
      </c>
      <c r="I12" s="9">
        <f t="shared" ca="1" si="1"/>
        <v>24</v>
      </c>
      <c r="J12" s="8" t="s">
        <v>32</v>
      </c>
      <c r="K12" s="7">
        <v>39110</v>
      </c>
      <c r="L12" s="6">
        <v>5</v>
      </c>
      <c r="M12" s="31">
        <f t="shared" si="2"/>
        <v>39110</v>
      </c>
      <c r="N12" s="65"/>
      <c r="O12" s="14"/>
      <c r="P12" s="1"/>
      <c r="Q12" s="1"/>
      <c r="R12" s="26">
        <v>95000</v>
      </c>
      <c r="S12" s="25">
        <v>0.13</v>
      </c>
      <c r="T12" s="1"/>
      <c r="U12" s="23"/>
      <c r="V12" s="22"/>
      <c r="W12" s="22"/>
      <c r="X12" s="22"/>
      <c r="Y12" s="22"/>
      <c r="Z12" s="22"/>
      <c r="AA12" s="8"/>
      <c r="AB12" s="3"/>
      <c r="AC12" s="8"/>
      <c r="AD12" s="8"/>
      <c r="AE12" s="8"/>
      <c r="AF12" s="8"/>
      <c r="AG12" s="1"/>
    </row>
    <row r="13" spans="1:33" x14ac:dyDescent="0.25">
      <c r="A13" s="1" t="s">
        <v>768</v>
      </c>
      <c r="B13" s="12" t="s">
        <v>13</v>
      </c>
      <c r="C13" s="1" t="s">
        <v>26</v>
      </c>
      <c r="D13" s="11">
        <v>260815239</v>
      </c>
      <c r="E13" s="11">
        <v>2523040292</v>
      </c>
      <c r="F13" s="1" t="s">
        <v>0</v>
      </c>
      <c r="G13" s="4">
        <f>33074+(364+182)</f>
        <v>33620</v>
      </c>
      <c r="H13" s="67" t="str">
        <f t="shared" si="0"/>
        <v>Jan</v>
      </c>
      <c r="I13" s="9">
        <f t="shared" ca="1" si="1"/>
        <v>24</v>
      </c>
      <c r="J13" s="8"/>
      <c r="K13" s="7">
        <v>14568</v>
      </c>
      <c r="L13" s="6">
        <v>3</v>
      </c>
      <c r="M13" s="31">
        <f t="shared" si="2"/>
        <v>14568</v>
      </c>
      <c r="N13" s="65"/>
      <c r="O13" s="66"/>
      <c r="P13" s="1"/>
      <c r="Q13" s="1"/>
      <c r="R13" s="24"/>
      <c r="S13" s="1"/>
      <c r="T13" s="1"/>
      <c r="U13" s="23"/>
      <c r="V13" s="22"/>
      <c r="W13" s="22"/>
      <c r="X13" s="22"/>
      <c r="Y13" s="22"/>
      <c r="Z13" s="22"/>
      <c r="AA13" s="8"/>
      <c r="AB13" s="3"/>
      <c r="AC13" s="8"/>
      <c r="AD13" s="8"/>
      <c r="AE13" s="8"/>
      <c r="AF13" s="8"/>
      <c r="AG13" s="1"/>
    </row>
    <row r="14" spans="1:33" x14ac:dyDescent="0.25">
      <c r="A14" s="1" t="s">
        <v>767</v>
      </c>
      <c r="B14" s="12" t="s">
        <v>39</v>
      </c>
      <c r="C14" s="1" t="s">
        <v>28</v>
      </c>
      <c r="D14" s="11">
        <v>724193735</v>
      </c>
      <c r="E14" s="11">
        <v>2528627048</v>
      </c>
      <c r="F14" s="1" t="s">
        <v>5</v>
      </c>
      <c r="G14" s="4">
        <f>33074+(364+182)</f>
        <v>33620</v>
      </c>
      <c r="H14" s="67" t="str">
        <f t="shared" si="0"/>
        <v>Jan</v>
      </c>
      <c r="I14" s="9">
        <f t="shared" ca="1" si="1"/>
        <v>24</v>
      </c>
      <c r="J14" s="8" t="s">
        <v>4</v>
      </c>
      <c r="K14" s="7">
        <v>43190</v>
      </c>
      <c r="L14" s="6">
        <v>2</v>
      </c>
      <c r="M14" s="31">
        <f t="shared" si="2"/>
        <v>43190</v>
      </c>
      <c r="N14" s="65"/>
      <c r="O14" s="14"/>
      <c r="P14" s="1"/>
      <c r="Q14" s="1"/>
      <c r="R14" s="24"/>
      <c r="S14" s="1"/>
      <c r="T14" s="1"/>
      <c r="U14" s="23"/>
      <c r="V14" s="22"/>
      <c r="W14" s="22"/>
      <c r="X14" s="22"/>
      <c r="Y14" s="22"/>
      <c r="Z14" s="22"/>
      <c r="AA14" s="8"/>
      <c r="AB14" s="3"/>
      <c r="AC14" s="8"/>
      <c r="AD14" s="8"/>
      <c r="AE14" s="8"/>
      <c r="AF14" s="8"/>
      <c r="AG14" s="1"/>
    </row>
    <row r="15" spans="1:33" x14ac:dyDescent="0.25">
      <c r="A15" s="1" t="s">
        <v>766</v>
      </c>
      <c r="B15" s="12" t="s">
        <v>17</v>
      </c>
      <c r="C15" s="1" t="s">
        <v>20</v>
      </c>
      <c r="D15" s="11">
        <v>806508287</v>
      </c>
      <c r="E15" s="11">
        <v>2528801464</v>
      </c>
      <c r="F15" s="1" t="s">
        <v>5</v>
      </c>
      <c r="G15" s="4">
        <f>33085+(364+182)</f>
        <v>33631</v>
      </c>
      <c r="H15" s="67" t="str">
        <f t="shared" si="0"/>
        <v>Jan</v>
      </c>
      <c r="I15" s="9">
        <f t="shared" ca="1" si="1"/>
        <v>24</v>
      </c>
      <c r="J15" s="8" t="s">
        <v>32</v>
      </c>
      <c r="K15" s="7">
        <v>52940</v>
      </c>
      <c r="L15" s="6">
        <v>4</v>
      </c>
      <c r="M15" s="31">
        <f t="shared" si="2"/>
        <v>52940</v>
      </c>
      <c r="N15" s="65"/>
      <c r="O15" s="14"/>
      <c r="P15" s="1"/>
      <c r="Q15" s="1"/>
      <c r="R15" s="1"/>
      <c r="S15" s="1"/>
      <c r="T15" s="1"/>
      <c r="U15" s="23"/>
      <c r="V15" s="22"/>
      <c r="W15" s="22"/>
      <c r="X15" s="22"/>
      <c r="Y15" s="22"/>
      <c r="Z15" s="22"/>
      <c r="AA15" s="8"/>
      <c r="AB15" s="3"/>
      <c r="AC15" s="8"/>
      <c r="AD15" s="8"/>
      <c r="AE15" s="8"/>
      <c r="AF15" s="8"/>
      <c r="AG15" s="1"/>
    </row>
    <row r="16" spans="1:33" x14ac:dyDescent="0.25">
      <c r="A16" s="1" t="s">
        <v>765</v>
      </c>
      <c r="B16" s="12" t="s">
        <v>13</v>
      </c>
      <c r="C16" s="1" t="s">
        <v>6</v>
      </c>
      <c r="D16" s="11">
        <v>656572514</v>
      </c>
      <c r="E16" s="11">
        <v>9193679666</v>
      </c>
      <c r="F16" s="1" t="s">
        <v>12</v>
      </c>
      <c r="G16" s="4">
        <f>33428+(364+182)</f>
        <v>33974</v>
      </c>
      <c r="H16" s="67" t="str">
        <f t="shared" si="0"/>
        <v>Jan</v>
      </c>
      <c r="I16" s="9">
        <f t="shared" ca="1" si="1"/>
        <v>23</v>
      </c>
      <c r="J16" s="8"/>
      <c r="K16" s="7">
        <v>70150</v>
      </c>
      <c r="L16" s="6">
        <v>2</v>
      </c>
      <c r="M16" s="31">
        <f t="shared" si="2"/>
        <v>70150</v>
      </c>
      <c r="N16" s="65"/>
      <c r="O16" s="14"/>
      <c r="P16" s="1"/>
      <c r="Q16" s="1"/>
      <c r="R16" s="1"/>
      <c r="S16" s="1"/>
      <c r="T16" s="1"/>
      <c r="U16" s="23"/>
      <c r="V16" s="22"/>
      <c r="W16" s="22"/>
      <c r="X16" s="22"/>
      <c r="Y16" s="22"/>
      <c r="Z16" s="22"/>
      <c r="AA16" s="8"/>
      <c r="AB16" s="3"/>
      <c r="AC16" s="8"/>
      <c r="AD16" s="8"/>
      <c r="AE16" s="8"/>
      <c r="AF16" s="8"/>
      <c r="AG16" s="1"/>
    </row>
    <row r="17" spans="1:33" x14ac:dyDescent="0.25">
      <c r="A17" s="1" t="s">
        <v>764</v>
      </c>
      <c r="B17" s="12" t="s">
        <v>17</v>
      </c>
      <c r="C17" s="1" t="s">
        <v>6</v>
      </c>
      <c r="D17" s="11">
        <v>317749924</v>
      </c>
      <c r="E17" s="11">
        <v>9193441810</v>
      </c>
      <c r="F17" s="1" t="s">
        <v>12</v>
      </c>
      <c r="G17" s="4">
        <f>33431+(364+182)</f>
        <v>33977</v>
      </c>
      <c r="H17" s="67" t="str">
        <f t="shared" si="0"/>
        <v>Jan</v>
      </c>
      <c r="I17" s="9">
        <f t="shared" ca="1" si="1"/>
        <v>23</v>
      </c>
      <c r="J17" s="8"/>
      <c r="K17" s="7">
        <v>63290</v>
      </c>
      <c r="L17" s="6">
        <v>5</v>
      </c>
      <c r="M17" s="31">
        <f t="shared" si="2"/>
        <v>63290</v>
      </c>
      <c r="N17" s="65"/>
      <c r="O17" s="14"/>
      <c r="P17" s="1"/>
      <c r="Q17" s="1"/>
      <c r="R17" s="1"/>
      <c r="S17" s="1"/>
      <c r="T17" s="1"/>
      <c r="U17" s="1"/>
      <c r="V17" s="21"/>
      <c r="W17" s="21"/>
      <c r="X17" s="21"/>
      <c r="Y17" s="21"/>
      <c r="Z17" s="8"/>
      <c r="AA17" s="8"/>
      <c r="AB17" s="8"/>
      <c r="AC17" s="8"/>
      <c r="AD17" s="8"/>
      <c r="AE17" s="8"/>
      <c r="AF17" s="8"/>
      <c r="AG17" s="1"/>
    </row>
    <row r="18" spans="1:33" x14ac:dyDescent="0.25">
      <c r="A18" s="1" t="s">
        <v>763</v>
      </c>
      <c r="B18" s="12" t="s">
        <v>10</v>
      </c>
      <c r="C18" s="1" t="s">
        <v>6</v>
      </c>
      <c r="D18" s="11">
        <v>364525917</v>
      </c>
      <c r="E18" s="11">
        <v>2522787318</v>
      </c>
      <c r="F18" s="1" t="s">
        <v>5</v>
      </c>
      <c r="G18" s="4">
        <f>33432+(364+182)</f>
        <v>33978</v>
      </c>
      <c r="H18" s="67" t="str">
        <f t="shared" si="0"/>
        <v>Jan</v>
      </c>
      <c r="I18" s="9">
        <f t="shared" ca="1" si="1"/>
        <v>23</v>
      </c>
      <c r="J18" s="8" t="s">
        <v>4</v>
      </c>
      <c r="K18" s="7">
        <v>46410</v>
      </c>
      <c r="L18" s="6">
        <v>2</v>
      </c>
      <c r="M18" s="31">
        <f t="shared" si="2"/>
        <v>46410</v>
      </c>
      <c r="N18" s="65"/>
      <c r="O18" s="1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 t="s">
        <v>762</v>
      </c>
      <c r="B19" s="12" t="s">
        <v>17</v>
      </c>
      <c r="C19" s="1" t="s">
        <v>20</v>
      </c>
      <c r="D19" s="11">
        <v>820244290</v>
      </c>
      <c r="E19" s="11">
        <v>9194944596</v>
      </c>
      <c r="F19" s="1" t="s">
        <v>12</v>
      </c>
      <c r="G19" s="4">
        <f>33433+(364+182)</f>
        <v>33979</v>
      </c>
      <c r="H19" s="67" t="str">
        <f t="shared" si="0"/>
        <v>Jan</v>
      </c>
      <c r="I19" s="9">
        <f t="shared" ca="1" si="1"/>
        <v>23</v>
      </c>
      <c r="J19" s="8"/>
      <c r="K19" s="7">
        <v>73990</v>
      </c>
      <c r="L19" s="6">
        <v>3</v>
      </c>
      <c r="M19" s="31">
        <f t="shared" si="2"/>
        <v>73990</v>
      </c>
      <c r="N19" s="65"/>
      <c r="O19" s="1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761</v>
      </c>
      <c r="B20" s="12" t="s">
        <v>39</v>
      </c>
      <c r="C20" s="1" t="s">
        <v>26</v>
      </c>
      <c r="D20" s="11">
        <v>648911225</v>
      </c>
      <c r="E20" s="11">
        <v>2525829090</v>
      </c>
      <c r="F20" s="1" t="s">
        <v>12</v>
      </c>
      <c r="G20" s="4">
        <f>33435+(364+182)</f>
        <v>33981</v>
      </c>
      <c r="H20" s="67" t="str">
        <f t="shared" si="0"/>
        <v>Jan</v>
      </c>
      <c r="I20" s="9">
        <f t="shared" ca="1" si="1"/>
        <v>23</v>
      </c>
      <c r="J20" s="8"/>
      <c r="K20" s="7">
        <v>83020</v>
      </c>
      <c r="L20" s="6">
        <v>4</v>
      </c>
      <c r="M20" s="31">
        <f t="shared" si="2"/>
        <v>83020</v>
      </c>
      <c r="N20" s="65"/>
      <c r="O20" s="1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 t="s">
        <v>760</v>
      </c>
      <c r="B21" s="12" t="s">
        <v>17</v>
      </c>
      <c r="C21" s="1" t="s">
        <v>20</v>
      </c>
      <c r="D21" s="11">
        <v>505966230</v>
      </c>
      <c r="E21" s="11">
        <v>9198038161</v>
      </c>
      <c r="F21" s="1" t="s">
        <v>5</v>
      </c>
      <c r="G21" s="4">
        <f>33447+(364+182)</f>
        <v>33993</v>
      </c>
      <c r="H21" s="67" t="str">
        <f t="shared" si="0"/>
        <v>Jan</v>
      </c>
      <c r="I21" s="9">
        <f t="shared" ca="1" si="1"/>
        <v>23</v>
      </c>
      <c r="J21" s="8" t="s">
        <v>4</v>
      </c>
      <c r="K21" s="7">
        <v>45500</v>
      </c>
      <c r="L21" s="6">
        <v>3</v>
      </c>
      <c r="M21" s="31">
        <f t="shared" si="2"/>
        <v>45500</v>
      </c>
      <c r="N21" s="65"/>
      <c r="O21" s="1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 t="s">
        <v>759</v>
      </c>
      <c r="B22" s="12" t="s">
        <v>13</v>
      </c>
      <c r="C22" s="1" t="s">
        <v>44</v>
      </c>
      <c r="D22" s="11">
        <v>585815837</v>
      </c>
      <c r="E22" s="11">
        <v>9194983657</v>
      </c>
      <c r="F22" s="1" t="s">
        <v>15</v>
      </c>
      <c r="G22" s="4">
        <f>33448+(364+182)</f>
        <v>33994</v>
      </c>
      <c r="H22" s="67" t="str">
        <f t="shared" si="0"/>
        <v>Jan</v>
      </c>
      <c r="I22" s="9">
        <f t="shared" ca="1" si="1"/>
        <v>23</v>
      </c>
      <c r="J22" s="8" t="s">
        <v>8</v>
      </c>
      <c r="K22" s="7">
        <v>18655</v>
      </c>
      <c r="L22" s="6">
        <v>4</v>
      </c>
      <c r="M22" s="31">
        <f t="shared" si="2"/>
        <v>18655</v>
      </c>
      <c r="N22" s="65"/>
      <c r="O22" s="1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 t="s">
        <v>758</v>
      </c>
      <c r="B23" s="12" t="s">
        <v>17</v>
      </c>
      <c r="C23" s="1" t="s">
        <v>52</v>
      </c>
      <c r="D23" s="11">
        <v>102159909</v>
      </c>
      <c r="E23" s="11">
        <v>2521868104</v>
      </c>
      <c r="F23" s="1" t="s">
        <v>0</v>
      </c>
      <c r="G23" s="4">
        <f>33799+(364+182)</f>
        <v>34345</v>
      </c>
      <c r="H23" s="67" t="str">
        <f t="shared" si="0"/>
        <v>Jan</v>
      </c>
      <c r="I23" s="9">
        <f t="shared" ca="1" si="1"/>
        <v>22</v>
      </c>
      <c r="J23" s="8"/>
      <c r="K23" s="7">
        <v>36788</v>
      </c>
      <c r="L23" s="6">
        <v>4</v>
      </c>
      <c r="M23" s="31">
        <f t="shared" si="2"/>
        <v>36788</v>
      </c>
      <c r="N23" s="65"/>
      <c r="O23" s="1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757</v>
      </c>
      <c r="B24" s="12" t="s">
        <v>10</v>
      </c>
      <c r="C24" s="1" t="s">
        <v>28</v>
      </c>
      <c r="D24" s="11">
        <v>542214575</v>
      </c>
      <c r="E24" s="11">
        <v>2522172913</v>
      </c>
      <c r="F24" s="1" t="s">
        <v>5</v>
      </c>
      <c r="G24" s="4">
        <f>34156+(364+182)</f>
        <v>34702</v>
      </c>
      <c r="H24" s="67" t="str">
        <f t="shared" si="0"/>
        <v>Jan</v>
      </c>
      <c r="I24" s="9">
        <f t="shared" ca="1" si="1"/>
        <v>21</v>
      </c>
      <c r="J24" s="8" t="s">
        <v>32</v>
      </c>
      <c r="K24" s="7">
        <v>87030</v>
      </c>
      <c r="L24" s="6">
        <v>3</v>
      </c>
      <c r="M24" s="31">
        <f t="shared" si="2"/>
        <v>87030</v>
      </c>
      <c r="N24" s="65"/>
      <c r="O24" s="1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t="s">
        <v>756</v>
      </c>
      <c r="B25" s="12" t="s">
        <v>17</v>
      </c>
      <c r="C25" s="1" t="s">
        <v>6</v>
      </c>
      <c r="D25" s="11">
        <v>375875723</v>
      </c>
      <c r="E25" s="11">
        <v>2526026842</v>
      </c>
      <c r="F25" s="1" t="s">
        <v>12</v>
      </c>
      <c r="G25" s="4">
        <f>34177+(364+182)</f>
        <v>34723</v>
      </c>
      <c r="H25" s="67" t="str">
        <f t="shared" si="0"/>
        <v>Jan</v>
      </c>
      <c r="I25" s="9">
        <f t="shared" ca="1" si="1"/>
        <v>21</v>
      </c>
      <c r="J25" s="8"/>
      <c r="K25" s="7">
        <v>64263</v>
      </c>
      <c r="L25" s="6">
        <v>3</v>
      </c>
      <c r="M25" s="31">
        <f t="shared" si="2"/>
        <v>64263</v>
      </c>
      <c r="N25" s="65"/>
      <c r="O25" s="1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 t="s">
        <v>755</v>
      </c>
      <c r="B26" s="12" t="s">
        <v>17</v>
      </c>
      <c r="C26" s="1" t="s">
        <v>22</v>
      </c>
      <c r="D26" s="11">
        <v>494754997</v>
      </c>
      <c r="E26" s="11">
        <v>9195617115</v>
      </c>
      <c r="F26" s="1" t="s">
        <v>12</v>
      </c>
      <c r="G26" s="4">
        <f>34180+(364+182)</f>
        <v>34726</v>
      </c>
      <c r="H26" s="67" t="str">
        <f t="shared" si="0"/>
        <v>Jan</v>
      </c>
      <c r="I26" s="9">
        <f t="shared" ca="1" si="1"/>
        <v>21</v>
      </c>
      <c r="J26" s="8"/>
      <c r="K26" s="7">
        <v>33120</v>
      </c>
      <c r="L26" s="6">
        <v>2</v>
      </c>
      <c r="M26" s="31">
        <f t="shared" si="2"/>
        <v>33120</v>
      </c>
      <c r="N26" s="65"/>
      <c r="O26" s="1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 t="s">
        <v>754</v>
      </c>
      <c r="B27" s="12" t="s">
        <v>13</v>
      </c>
      <c r="C27" s="1" t="s">
        <v>72</v>
      </c>
      <c r="D27" s="11">
        <v>425598783</v>
      </c>
      <c r="E27" s="11">
        <v>9191559081</v>
      </c>
      <c r="F27" s="1" t="s">
        <v>15</v>
      </c>
      <c r="G27" s="4">
        <f>34524+(364+182)</f>
        <v>35070</v>
      </c>
      <c r="H27" s="67" t="str">
        <f t="shared" si="0"/>
        <v>Jan</v>
      </c>
      <c r="I27" s="9">
        <f t="shared" ca="1" si="1"/>
        <v>20</v>
      </c>
      <c r="J27" s="8" t="s">
        <v>8</v>
      </c>
      <c r="K27" s="7">
        <v>21220</v>
      </c>
      <c r="L27" s="6">
        <v>3</v>
      </c>
      <c r="M27" s="31">
        <f t="shared" si="2"/>
        <v>21220</v>
      </c>
      <c r="N27" s="65"/>
      <c r="O27" s="1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 t="s">
        <v>753</v>
      </c>
      <c r="B28" s="12" t="s">
        <v>17</v>
      </c>
      <c r="C28" s="1" t="s">
        <v>72</v>
      </c>
      <c r="D28" s="11">
        <v>707553376</v>
      </c>
      <c r="E28" s="11">
        <v>9194194193</v>
      </c>
      <c r="F28" s="1" t="s">
        <v>5</v>
      </c>
      <c r="G28" s="4">
        <f>34538+(364+182)</f>
        <v>35084</v>
      </c>
      <c r="H28" s="67" t="str">
        <f t="shared" si="0"/>
        <v>Jan</v>
      </c>
      <c r="I28" s="9">
        <f t="shared" ca="1" si="1"/>
        <v>20</v>
      </c>
      <c r="J28" s="8" t="s">
        <v>8</v>
      </c>
      <c r="K28" s="7">
        <v>49260</v>
      </c>
      <c r="L28" s="6">
        <v>3</v>
      </c>
      <c r="M28" s="31">
        <f t="shared" si="2"/>
        <v>49260</v>
      </c>
      <c r="N28" s="65"/>
      <c r="O28" s="1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 t="s">
        <v>752</v>
      </c>
      <c r="B29" s="12" t="s">
        <v>17</v>
      </c>
      <c r="C29" s="1" t="s">
        <v>26</v>
      </c>
      <c r="D29" s="11">
        <v>923665952</v>
      </c>
      <c r="E29" s="11">
        <v>2525295649</v>
      </c>
      <c r="F29" s="1" t="s">
        <v>5</v>
      </c>
      <c r="G29" s="4">
        <f>34540+(364+182)</f>
        <v>35086</v>
      </c>
      <c r="H29" s="67" t="str">
        <f t="shared" si="0"/>
        <v>Jan</v>
      </c>
      <c r="I29" s="9">
        <f t="shared" ca="1" si="1"/>
        <v>20</v>
      </c>
      <c r="J29" s="8" t="s">
        <v>19</v>
      </c>
      <c r="K29" s="7">
        <v>77350</v>
      </c>
      <c r="L29" s="6">
        <v>5</v>
      </c>
      <c r="M29" s="31">
        <f t="shared" si="2"/>
        <v>77350</v>
      </c>
      <c r="N29" s="69"/>
      <c r="O29" s="1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 t="s">
        <v>751</v>
      </c>
      <c r="B30" s="12" t="s">
        <v>39</v>
      </c>
      <c r="C30" s="1" t="s">
        <v>22</v>
      </c>
      <c r="D30" s="11">
        <v>828715080</v>
      </c>
      <c r="E30" s="11">
        <v>2523613559</v>
      </c>
      <c r="F30" s="1" t="s">
        <v>5</v>
      </c>
      <c r="G30" s="4">
        <f>34548+(364+182)</f>
        <v>35094</v>
      </c>
      <c r="H30" s="67" t="str">
        <f t="shared" si="0"/>
        <v>Jan</v>
      </c>
      <c r="I30" s="9">
        <f t="shared" ca="1" si="1"/>
        <v>20</v>
      </c>
      <c r="J30" s="8" t="s">
        <v>34</v>
      </c>
      <c r="K30" s="7">
        <v>61148</v>
      </c>
      <c r="L30" s="6">
        <v>2</v>
      </c>
      <c r="M30" s="31">
        <f t="shared" si="2"/>
        <v>61148</v>
      </c>
      <c r="N30" s="65"/>
      <c r="O30" s="1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 t="s">
        <v>750</v>
      </c>
      <c r="B31" s="12" t="s">
        <v>13</v>
      </c>
      <c r="C31" s="1" t="s">
        <v>9</v>
      </c>
      <c r="D31" s="11">
        <v>557568959</v>
      </c>
      <c r="E31" s="11">
        <v>9192783818</v>
      </c>
      <c r="F31" s="1" t="s">
        <v>12</v>
      </c>
      <c r="G31" s="4">
        <f>34901+(364+182)</f>
        <v>35447</v>
      </c>
      <c r="H31" s="67" t="str">
        <f t="shared" si="0"/>
        <v>Jan</v>
      </c>
      <c r="I31" s="9">
        <f t="shared" ca="1" si="1"/>
        <v>19</v>
      </c>
      <c r="J31" s="8"/>
      <c r="K31" s="7">
        <v>54190</v>
      </c>
      <c r="L31" s="6">
        <v>4</v>
      </c>
      <c r="M31" s="31">
        <f t="shared" si="2"/>
        <v>54190</v>
      </c>
      <c r="N31" s="65"/>
      <c r="O31" s="1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 t="s">
        <v>749</v>
      </c>
      <c r="B32" s="12" t="s">
        <v>17</v>
      </c>
      <c r="C32" s="1" t="s">
        <v>16</v>
      </c>
      <c r="D32" s="11">
        <v>943671719</v>
      </c>
      <c r="E32" s="11">
        <v>9193517837</v>
      </c>
      <c r="F32" s="1" t="s">
        <v>5</v>
      </c>
      <c r="G32" s="4">
        <f>34903+(364+182)</f>
        <v>35449</v>
      </c>
      <c r="H32" s="67" t="str">
        <f t="shared" si="0"/>
        <v>Jan</v>
      </c>
      <c r="I32" s="9">
        <f t="shared" ca="1" si="1"/>
        <v>19</v>
      </c>
      <c r="J32" s="8" t="s">
        <v>4</v>
      </c>
      <c r="K32" s="7">
        <v>22920</v>
      </c>
      <c r="L32" s="6">
        <v>3</v>
      </c>
      <c r="M32" s="31">
        <f t="shared" si="2"/>
        <v>22920</v>
      </c>
      <c r="N32" s="65"/>
      <c r="O32" s="1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 t="s">
        <v>748</v>
      </c>
      <c r="B33" s="12" t="s">
        <v>17</v>
      </c>
      <c r="C33" s="1" t="s">
        <v>20</v>
      </c>
      <c r="D33" s="11">
        <v>616417564</v>
      </c>
      <c r="E33" s="11">
        <v>9191806180</v>
      </c>
      <c r="F33" s="1" t="s">
        <v>12</v>
      </c>
      <c r="G33" s="4">
        <f>34905+(364+182)</f>
        <v>35451</v>
      </c>
      <c r="H33" s="67" t="str">
        <f t="shared" si="0"/>
        <v>Jan</v>
      </c>
      <c r="I33" s="9">
        <f t="shared" ca="1" si="1"/>
        <v>19</v>
      </c>
      <c r="J33" s="8"/>
      <c r="K33" s="7">
        <v>42150</v>
      </c>
      <c r="L33" s="6">
        <v>5</v>
      </c>
      <c r="M33" s="31">
        <f t="shared" si="2"/>
        <v>42150</v>
      </c>
      <c r="N33" s="65"/>
      <c r="O33" s="1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 t="s">
        <v>747</v>
      </c>
      <c r="B34" s="12" t="s">
        <v>39</v>
      </c>
      <c r="C34" s="1" t="s">
        <v>485</v>
      </c>
      <c r="D34" s="11">
        <v>252582122</v>
      </c>
      <c r="E34" s="11">
        <v>9197764351</v>
      </c>
      <c r="F34" s="1" t="s">
        <v>12</v>
      </c>
      <c r="G34" s="4">
        <f>34905+(364+182)</f>
        <v>35451</v>
      </c>
      <c r="H34" s="67" t="str">
        <f t="shared" si="0"/>
        <v>Jan</v>
      </c>
      <c r="I34" s="9">
        <f t="shared" ca="1" si="1"/>
        <v>19</v>
      </c>
      <c r="J34" s="8"/>
      <c r="K34" s="7">
        <v>25120</v>
      </c>
      <c r="L34" s="6">
        <v>2</v>
      </c>
      <c r="M34" s="31">
        <f t="shared" si="2"/>
        <v>25120</v>
      </c>
      <c r="N34" s="65"/>
      <c r="O34" s="1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 t="s">
        <v>746</v>
      </c>
      <c r="B35" s="12" t="s">
        <v>39</v>
      </c>
      <c r="C35" s="1" t="s">
        <v>52</v>
      </c>
      <c r="D35" s="11">
        <v>426014550</v>
      </c>
      <c r="E35" s="11">
        <v>2522889182</v>
      </c>
      <c r="F35" s="1" t="s">
        <v>5</v>
      </c>
      <c r="G35" s="4">
        <f>34905+(364+182)</f>
        <v>35451</v>
      </c>
      <c r="H35" s="67" t="str">
        <f t="shared" si="0"/>
        <v>Jan</v>
      </c>
      <c r="I35" s="9">
        <f t="shared" ca="1" si="1"/>
        <v>19</v>
      </c>
      <c r="J35" s="8" t="s">
        <v>8</v>
      </c>
      <c r="K35" s="7">
        <v>62965</v>
      </c>
      <c r="L35" s="6">
        <v>1</v>
      </c>
      <c r="M35" s="31">
        <f t="shared" si="2"/>
        <v>62965</v>
      </c>
      <c r="N35" s="65"/>
      <c r="O35" s="14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 t="s">
        <v>745</v>
      </c>
      <c r="B36" s="12" t="s">
        <v>17</v>
      </c>
      <c r="C36" s="1" t="s">
        <v>125</v>
      </c>
      <c r="D36" s="11">
        <v>216607562</v>
      </c>
      <c r="E36" s="11">
        <v>2521593705</v>
      </c>
      <c r="F36" s="1" t="s">
        <v>5</v>
      </c>
      <c r="G36" s="4">
        <f>34913+(364+182)</f>
        <v>35459</v>
      </c>
      <c r="H36" s="67" t="str">
        <f t="shared" si="0"/>
        <v>Jan</v>
      </c>
      <c r="I36" s="9">
        <f t="shared" ca="1" si="1"/>
        <v>19</v>
      </c>
      <c r="J36" s="8" t="s">
        <v>4</v>
      </c>
      <c r="K36" s="7">
        <v>49360</v>
      </c>
      <c r="L36" s="6">
        <v>2</v>
      </c>
      <c r="M36" s="31">
        <f t="shared" si="2"/>
        <v>49360</v>
      </c>
      <c r="N36" s="65"/>
      <c r="O36" s="14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 t="s">
        <v>744</v>
      </c>
      <c r="B37" s="12" t="s">
        <v>56</v>
      </c>
      <c r="C37" s="1" t="s">
        <v>20</v>
      </c>
      <c r="D37" s="11">
        <v>338977629</v>
      </c>
      <c r="E37" s="11">
        <v>2524252315</v>
      </c>
      <c r="F37" s="1" t="s">
        <v>5</v>
      </c>
      <c r="G37" s="4">
        <f>35255+(364+182)</f>
        <v>35801</v>
      </c>
      <c r="H37" s="67" t="str">
        <f t="shared" si="0"/>
        <v>Jan</v>
      </c>
      <c r="I37" s="9">
        <f t="shared" ca="1" si="1"/>
        <v>18</v>
      </c>
      <c r="J37" s="8" t="s">
        <v>32</v>
      </c>
      <c r="K37" s="7">
        <v>78570</v>
      </c>
      <c r="L37" s="6">
        <v>1</v>
      </c>
      <c r="M37" s="31">
        <f t="shared" si="2"/>
        <v>78570</v>
      </c>
      <c r="N37" s="65"/>
      <c r="O37" s="1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 t="s">
        <v>743</v>
      </c>
      <c r="B38" s="12" t="s">
        <v>17</v>
      </c>
      <c r="C38" s="1" t="s">
        <v>52</v>
      </c>
      <c r="D38" s="11">
        <v>668708287</v>
      </c>
      <c r="E38" s="11">
        <v>9191952821</v>
      </c>
      <c r="F38" s="1" t="s">
        <v>12</v>
      </c>
      <c r="G38" s="4">
        <f>35260+(364+182)</f>
        <v>35806</v>
      </c>
      <c r="H38" s="67" t="str">
        <f t="shared" si="0"/>
        <v>Jan</v>
      </c>
      <c r="I38" s="9">
        <f t="shared" ca="1" si="1"/>
        <v>18</v>
      </c>
      <c r="J38" s="8"/>
      <c r="K38" s="7">
        <v>86100</v>
      </c>
      <c r="L38" s="6">
        <v>4</v>
      </c>
      <c r="M38" s="31">
        <f t="shared" si="2"/>
        <v>86100</v>
      </c>
      <c r="N38" s="65"/>
      <c r="O38" s="14"/>
      <c r="P38" s="5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 t="s">
        <v>742</v>
      </c>
      <c r="B39" s="12" t="s">
        <v>56</v>
      </c>
      <c r="C39" s="1" t="s">
        <v>20</v>
      </c>
      <c r="D39" s="11">
        <v>100679868</v>
      </c>
      <c r="E39" s="11">
        <v>9198082183</v>
      </c>
      <c r="F39" s="1" t="s">
        <v>15</v>
      </c>
      <c r="G39" s="4">
        <f>35261+(364+182)</f>
        <v>35807</v>
      </c>
      <c r="H39" s="67" t="str">
        <f t="shared" si="0"/>
        <v>Jan</v>
      </c>
      <c r="I39" s="9">
        <f t="shared" ca="1" si="1"/>
        <v>18</v>
      </c>
      <c r="J39" s="8" t="s">
        <v>32</v>
      </c>
      <c r="K39" s="7">
        <v>48835</v>
      </c>
      <c r="L39" s="6">
        <v>5</v>
      </c>
      <c r="M39" s="31">
        <f t="shared" si="2"/>
        <v>48835</v>
      </c>
      <c r="N39" s="65"/>
      <c r="O39" s="1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 t="s">
        <v>741</v>
      </c>
      <c r="B40" s="12" t="s">
        <v>39</v>
      </c>
      <c r="C40" s="1" t="s">
        <v>22</v>
      </c>
      <c r="D40" s="11">
        <v>217968415</v>
      </c>
      <c r="E40" s="11">
        <v>2522814530</v>
      </c>
      <c r="F40" s="1" t="s">
        <v>5</v>
      </c>
      <c r="G40" s="4">
        <f>35275+(364+182)</f>
        <v>35821</v>
      </c>
      <c r="H40" s="67" t="str">
        <f t="shared" si="0"/>
        <v>Jan</v>
      </c>
      <c r="I40" s="9">
        <f t="shared" ca="1" si="1"/>
        <v>18</v>
      </c>
      <c r="J40" s="8" t="s">
        <v>19</v>
      </c>
      <c r="K40" s="7">
        <v>22870</v>
      </c>
      <c r="L40" s="6">
        <v>3</v>
      </c>
      <c r="M40" s="31">
        <f t="shared" si="2"/>
        <v>22870</v>
      </c>
      <c r="N40" s="65"/>
      <c r="O40" s="1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 t="s">
        <v>740</v>
      </c>
      <c r="B41" s="12" t="s">
        <v>10</v>
      </c>
      <c r="C41" s="1" t="s">
        <v>22</v>
      </c>
      <c r="D41" s="11">
        <v>451159170</v>
      </c>
      <c r="E41" s="11">
        <v>2522604602</v>
      </c>
      <c r="F41" s="1" t="s">
        <v>15</v>
      </c>
      <c r="G41" s="4">
        <f>35280+(364+182)</f>
        <v>35826</v>
      </c>
      <c r="H41" s="67" t="str">
        <f t="shared" si="0"/>
        <v>Jan</v>
      </c>
      <c r="I41" s="9">
        <f t="shared" ca="1" si="1"/>
        <v>18</v>
      </c>
      <c r="J41" s="8" t="s">
        <v>32</v>
      </c>
      <c r="K41" s="7">
        <v>31205</v>
      </c>
      <c r="L41" s="6">
        <v>2</v>
      </c>
      <c r="M41" s="31">
        <f t="shared" si="2"/>
        <v>31205</v>
      </c>
      <c r="N41" s="65"/>
      <c r="O41" s="1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 t="s">
        <v>739</v>
      </c>
      <c r="B42" s="12" t="s">
        <v>13</v>
      </c>
      <c r="C42" s="1" t="s">
        <v>6</v>
      </c>
      <c r="D42" s="11">
        <v>695198896</v>
      </c>
      <c r="E42" s="11">
        <v>2523533906</v>
      </c>
      <c r="F42" s="1" t="s">
        <v>12</v>
      </c>
      <c r="G42" s="4">
        <f>35280+(364+182)</f>
        <v>35826</v>
      </c>
      <c r="H42" s="67" t="str">
        <f t="shared" si="0"/>
        <v>Jan</v>
      </c>
      <c r="I42" s="9">
        <f t="shared" ca="1" si="1"/>
        <v>18</v>
      </c>
      <c r="J42" s="8"/>
      <c r="K42" s="7">
        <v>45030</v>
      </c>
      <c r="L42" s="6">
        <v>3</v>
      </c>
      <c r="M42" s="31">
        <f t="shared" si="2"/>
        <v>45030</v>
      </c>
      <c r="N42" s="65"/>
      <c r="O42" s="1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4" t="s">
        <v>738</v>
      </c>
      <c r="B43" s="12" t="s">
        <v>39</v>
      </c>
      <c r="C43" s="14" t="s">
        <v>30</v>
      </c>
      <c r="D43" s="15">
        <v>100432924</v>
      </c>
      <c r="E43" s="15">
        <v>4022804104</v>
      </c>
      <c r="F43" s="14" t="s">
        <v>5</v>
      </c>
      <c r="G43" s="10">
        <f>35625+(364+182)</f>
        <v>36171</v>
      </c>
      <c r="H43" s="67" t="str">
        <f t="shared" si="0"/>
        <v>Jan</v>
      </c>
      <c r="I43" s="9">
        <f t="shared" ca="1" si="1"/>
        <v>17</v>
      </c>
      <c r="J43" s="8" t="s">
        <v>32</v>
      </c>
      <c r="K43" s="7">
        <v>24550</v>
      </c>
      <c r="L43" s="6">
        <v>1</v>
      </c>
      <c r="M43" s="31">
        <f t="shared" si="2"/>
        <v>24550</v>
      </c>
      <c r="N43" s="69"/>
      <c r="O43" s="6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 t="s">
        <v>737</v>
      </c>
      <c r="B44" s="12" t="s">
        <v>17</v>
      </c>
      <c r="C44" s="1" t="s">
        <v>9</v>
      </c>
      <c r="D44" s="11">
        <v>332302868</v>
      </c>
      <c r="E44" s="11">
        <v>9196109756</v>
      </c>
      <c r="F44" s="1" t="s">
        <v>5</v>
      </c>
      <c r="G44" s="4">
        <f>35629+(364+182)</f>
        <v>36175</v>
      </c>
      <c r="H44" s="67" t="str">
        <f t="shared" si="0"/>
        <v>Jan</v>
      </c>
      <c r="I44" s="9">
        <f t="shared" ca="1" si="1"/>
        <v>17</v>
      </c>
      <c r="J44" s="8" t="s">
        <v>4</v>
      </c>
      <c r="K44" s="7">
        <v>23520</v>
      </c>
      <c r="L44" s="6">
        <v>2</v>
      </c>
      <c r="M44" s="31">
        <f t="shared" si="2"/>
        <v>23520</v>
      </c>
      <c r="N44" s="65"/>
      <c r="O44" s="1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 t="s">
        <v>736</v>
      </c>
      <c r="B45" s="12" t="s">
        <v>56</v>
      </c>
      <c r="C45" s="1" t="s">
        <v>44</v>
      </c>
      <c r="D45" s="11">
        <v>843875501</v>
      </c>
      <c r="E45" s="11">
        <v>2522715355</v>
      </c>
      <c r="F45" s="1" t="s">
        <v>12</v>
      </c>
      <c r="G45" s="4">
        <f>35630+(364+182)</f>
        <v>36176</v>
      </c>
      <c r="H45" s="67" t="str">
        <f t="shared" si="0"/>
        <v>Jan</v>
      </c>
      <c r="I45" s="9">
        <f t="shared" ca="1" si="1"/>
        <v>17</v>
      </c>
      <c r="J45" s="8"/>
      <c r="K45" s="7">
        <v>32940</v>
      </c>
      <c r="L45" s="6">
        <v>5</v>
      </c>
      <c r="M45" s="31">
        <f t="shared" si="2"/>
        <v>32940</v>
      </c>
      <c r="N45" s="65"/>
      <c r="O45" s="1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 t="s">
        <v>735</v>
      </c>
      <c r="B46" s="12" t="s">
        <v>17</v>
      </c>
      <c r="C46" s="1" t="s">
        <v>20</v>
      </c>
      <c r="D46" s="11">
        <v>569701716</v>
      </c>
      <c r="E46" s="11">
        <v>2527461285</v>
      </c>
      <c r="F46" s="1" t="s">
        <v>15</v>
      </c>
      <c r="G46" s="4">
        <f>35631+(364+182)</f>
        <v>36177</v>
      </c>
      <c r="H46" s="67" t="str">
        <f t="shared" si="0"/>
        <v>Jan</v>
      </c>
      <c r="I46" s="9">
        <f t="shared" ca="1" si="1"/>
        <v>17</v>
      </c>
      <c r="J46" s="8" t="s">
        <v>19</v>
      </c>
      <c r="K46" s="7">
        <v>21670</v>
      </c>
      <c r="L46" s="6">
        <v>2</v>
      </c>
      <c r="M46" s="31">
        <f t="shared" si="2"/>
        <v>21670</v>
      </c>
      <c r="N46" s="65"/>
      <c r="O46" s="1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 t="s">
        <v>734</v>
      </c>
      <c r="B47" s="12" t="s">
        <v>10</v>
      </c>
      <c r="C47" s="1" t="s">
        <v>16</v>
      </c>
      <c r="D47" s="11">
        <v>313651312</v>
      </c>
      <c r="E47" s="11">
        <v>2526092172</v>
      </c>
      <c r="F47" s="1" t="s">
        <v>5</v>
      </c>
      <c r="G47" s="4">
        <f>35636+(364+182)</f>
        <v>36182</v>
      </c>
      <c r="H47" s="67" t="str">
        <f t="shared" si="0"/>
        <v>Jan</v>
      </c>
      <c r="I47" s="9">
        <f t="shared" ca="1" si="1"/>
        <v>17</v>
      </c>
      <c r="J47" s="8" t="s">
        <v>4</v>
      </c>
      <c r="K47" s="7">
        <v>68300</v>
      </c>
      <c r="L47" s="6">
        <v>5</v>
      </c>
      <c r="M47" s="31">
        <f t="shared" si="2"/>
        <v>68300</v>
      </c>
      <c r="N47" s="65"/>
      <c r="O47" s="1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 t="s">
        <v>733</v>
      </c>
      <c r="B48" s="12" t="s">
        <v>13</v>
      </c>
      <c r="C48" s="1" t="s">
        <v>52</v>
      </c>
      <c r="D48" s="11">
        <v>337411408</v>
      </c>
      <c r="E48" s="11">
        <v>9194729409</v>
      </c>
      <c r="F48" s="1" t="s">
        <v>5</v>
      </c>
      <c r="G48" s="4">
        <f>35980+(364+182)</f>
        <v>36526</v>
      </c>
      <c r="H48" s="67" t="str">
        <f t="shared" si="0"/>
        <v>Jan</v>
      </c>
      <c r="I48" s="9">
        <f t="shared" ca="1" si="1"/>
        <v>16</v>
      </c>
      <c r="J48" s="8" t="s">
        <v>32</v>
      </c>
      <c r="K48" s="7">
        <v>29260</v>
      </c>
      <c r="L48" s="6">
        <v>4</v>
      </c>
      <c r="M48" s="31">
        <f t="shared" si="2"/>
        <v>29260</v>
      </c>
      <c r="N48" s="65"/>
      <c r="O48" s="14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 t="s">
        <v>732</v>
      </c>
      <c r="B49" s="12" t="s">
        <v>17</v>
      </c>
      <c r="C49" s="1" t="s">
        <v>52</v>
      </c>
      <c r="D49" s="11">
        <v>836953739</v>
      </c>
      <c r="E49" s="11">
        <v>2526443692</v>
      </c>
      <c r="F49" s="1" t="s">
        <v>15</v>
      </c>
      <c r="G49" s="4">
        <f>35985+(364+182)</f>
        <v>36531</v>
      </c>
      <c r="H49" s="67" t="str">
        <f t="shared" si="0"/>
        <v>Jan</v>
      </c>
      <c r="I49" s="9">
        <f t="shared" ca="1" si="1"/>
        <v>16</v>
      </c>
      <c r="J49" s="8" t="s">
        <v>19</v>
      </c>
      <c r="K49" s="7">
        <v>20990</v>
      </c>
      <c r="L49" s="6">
        <v>4</v>
      </c>
      <c r="M49" s="31">
        <f t="shared" si="2"/>
        <v>20990</v>
      </c>
      <c r="N49" s="65"/>
      <c r="O49" s="14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 t="s">
        <v>731</v>
      </c>
      <c r="B50" s="12" t="s">
        <v>17</v>
      </c>
      <c r="C50" s="1" t="s">
        <v>20</v>
      </c>
      <c r="D50" s="11">
        <v>914326052</v>
      </c>
      <c r="E50" s="11">
        <v>2524249228</v>
      </c>
      <c r="F50" s="1" t="s">
        <v>5</v>
      </c>
      <c r="G50" s="4">
        <f>35989+(364+182)</f>
        <v>36535</v>
      </c>
      <c r="H50" s="67" t="str">
        <f t="shared" si="0"/>
        <v>Jan</v>
      </c>
      <c r="I50" s="9">
        <f t="shared" ca="1" si="1"/>
        <v>16</v>
      </c>
      <c r="J50" s="8" t="s">
        <v>32</v>
      </c>
      <c r="K50" s="7">
        <v>76192</v>
      </c>
      <c r="L50" s="6">
        <v>4</v>
      </c>
      <c r="M50" s="31">
        <f t="shared" si="2"/>
        <v>76192</v>
      </c>
      <c r="N50" s="65"/>
      <c r="O50" s="14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 t="s">
        <v>730</v>
      </c>
      <c r="B51" s="12" t="s">
        <v>17</v>
      </c>
      <c r="C51" s="1" t="s">
        <v>22</v>
      </c>
      <c r="D51" s="11">
        <v>113252240</v>
      </c>
      <c r="E51" s="11">
        <v>2526712695</v>
      </c>
      <c r="F51" s="1" t="s">
        <v>5</v>
      </c>
      <c r="G51" s="4">
        <f>35990+(364+182)</f>
        <v>36536</v>
      </c>
      <c r="H51" s="67" t="str">
        <f t="shared" si="0"/>
        <v>Jan</v>
      </c>
      <c r="I51" s="9">
        <f t="shared" ca="1" si="1"/>
        <v>16</v>
      </c>
      <c r="J51" s="8" t="s">
        <v>32</v>
      </c>
      <c r="K51" s="7">
        <v>62400</v>
      </c>
      <c r="L51" s="6">
        <v>4</v>
      </c>
      <c r="M51" s="31">
        <f t="shared" si="2"/>
        <v>62400</v>
      </c>
      <c r="N51" s="65"/>
      <c r="O51" s="14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 t="s">
        <v>729</v>
      </c>
      <c r="B52" s="12" t="s">
        <v>13</v>
      </c>
      <c r="C52" s="1" t="s">
        <v>6</v>
      </c>
      <c r="D52" s="11">
        <v>380304349</v>
      </c>
      <c r="E52" s="11">
        <v>2526129939</v>
      </c>
      <c r="F52" s="1" t="s">
        <v>5</v>
      </c>
      <c r="G52" s="4">
        <f>36003+(364+182)</f>
        <v>36549</v>
      </c>
      <c r="H52" s="67" t="str">
        <f t="shared" si="0"/>
        <v>Jan</v>
      </c>
      <c r="I52" s="9">
        <f t="shared" ca="1" si="1"/>
        <v>16</v>
      </c>
      <c r="J52" s="8" t="s">
        <v>4</v>
      </c>
      <c r="K52" s="7">
        <v>35460</v>
      </c>
      <c r="L52" s="6">
        <v>1</v>
      </c>
      <c r="M52" s="31">
        <f t="shared" si="2"/>
        <v>35460</v>
      </c>
      <c r="N52" s="65"/>
      <c r="O52" s="1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 t="s">
        <v>728</v>
      </c>
      <c r="B53" s="12" t="s">
        <v>39</v>
      </c>
      <c r="C53" s="1" t="s">
        <v>125</v>
      </c>
      <c r="D53" s="11">
        <v>278431222</v>
      </c>
      <c r="E53" s="11">
        <v>9196699611</v>
      </c>
      <c r="F53" s="1" t="s">
        <v>5</v>
      </c>
      <c r="G53" s="4">
        <f>36347+(364+182)</f>
        <v>36893</v>
      </c>
      <c r="H53" s="67" t="str">
        <f t="shared" si="0"/>
        <v>Jan</v>
      </c>
      <c r="I53" s="9">
        <f t="shared" ca="1" si="1"/>
        <v>15</v>
      </c>
      <c r="J53" s="8" t="s">
        <v>4</v>
      </c>
      <c r="K53" s="7">
        <v>33640</v>
      </c>
      <c r="L53" s="6">
        <v>3</v>
      </c>
      <c r="M53" s="31">
        <f t="shared" si="2"/>
        <v>33640</v>
      </c>
      <c r="N53" s="65"/>
      <c r="O53" s="14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 t="s">
        <v>727</v>
      </c>
      <c r="B54" s="12" t="s">
        <v>2</v>
      </c>
      <c r="C54" s="1" t="s">
        <v>26</v>
      </c>
      <c r="D54" s="11">
        <v>867671341</v>
      </c>
      <c r="E54" s="11">
        <v>2528317543</v>
      </c>
      <c r="F54" s="1" t="s">
        <v>15</v>
      </c>
      <c r="G54" s="4">
        <f>36350+(364+182)</f>
        <v>36896</v>
      </c>
      <c r="H54" s="67" t="str">
        <f t="shared" si="0"/>
        <v>Jan</v>
      </c>
      <c r="I54" s="9">
        <f t="shared" ca="1" si="1"/>
        <v>15</v>
      </c>
      <c r="J54" s="8" t="s">
        <v>32</v>
      </c>
      <c r="K54" s="7">
        <v>35280</v>
      </c>
      <c r="L54" s="6">
        <v>3</v>
      </c>
      <c r="M54" s="31">
        <f t="shared" si="2"/>
        <v>35280</v>
      </c>
      <c r="N54" s="65"/>
      <c r="O54" s="1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 t="s">
        <v>726</v>
      </c>
      <c r="B55" s="12" t="s">
        <v>17</v>
      </c>
      <c r="C55" s="1" t="s">
        <v>9</v>
      </c>
      <c r="D55" s="11">
        <v>221364716</v>
      </c>
      <c r="E55" s="11">
        <v>2521389906</v>
      </c>
      <c r="F55" s="1" t="s">
        <v>5</v>
      </c>
      <c r="G55" s="4">
        <f>36352+(364+182)</f>
        <v>36898</v>
      </c>
      <c r="H55" s="67" t="str">
        <f t="shared" si="0"/>
        <v>Jan</v>
      </c>
      <c r="I55" s="9">
        <f t="shared" ca="1" si="1"/>
        <v>15</v>
      </c>
      <c r="J55" s="8" t="s">
        <v>32</v>
      </c>
      <c r="K55" s="7">
        <v>71820</v>
      </c>
      <c r="L55" s="6">
        <v>2</v>
      </c>
      <c r="M55" s="31">
        <f t="shared" si="2"/>
        <v>71820</v>
      </c>
      <c r="N55" s="65"/>
      <c r="O55" s="1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 t="s">
        <v>725</v>
      </c>
      <c r="B56" s="12" t="s">
        <v>13</v>
      </c>
      <c r="C56" s="1" t="s">
        <v>6</v>
      </c>
      <c r="D56" s="11">
        <v>879114558</v>
      </c>
      <c r="E56" s="11">
        <v>9194557504</v>
      </c>
      <c r="F56" s="1" t="s">
        <v>15</v>
      </c>
      <c r="G56" s="4">
        <f>36372+(364+182)</f>
        <v>36918</v>
      </c>
      <c r="H56" s="67" t="str">
        <f t="shared" si="0"/>
        <v>Jan</v>
      </c>
      <c r="I56" s="9">
        <f t="shared" ca="1" si="1"/>
        <v>15</v>
      </c>
      <c r="J56" s="8" t="s">
        <v>32</v>
      </c>
      <c r="K56" s="7">
        <v>17205</v>
      </c>
      <c r="L56" s="6">
        <v>5</v>
      </c>
      <c r="M56" s="31">
        <f t="shared" si="2"/>
        <v>17205</v>
      </c>
      <c r="N56" s="65"/>
      <c r="O56" s="1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 t="s">
        <v>724</v>
      </c>
      <c r="B57" s="12" t="s">
        <v>2</v>
      </c>
      <c r="C57" s="1" t="s">
        <v>52</v>
      </c>
      <c r="D57" s="11">
        <v>313648228</v>
      </c>
      <c r="E57" s="11">
        <v>2524998145</v>
      </c>
      <c r="F57" s="1" t="s">
        <v>5</v>
      </c>
      <c r="G57" s="4">
        <f>37079+(364+182)</f>
        <v>37625</v>
      </c>
      <c r="H57" s="67" t="str">
        <f t="shared" si="0"/>
        <v>Jan</v>
      </c>
      <c r="I57" s="9">
        <f t="shared" ca="1" si="1"/>
        <v>13</v>
      </c>
      <c r="J57" s="8" t="s">
        <v>4</v>
      </c>
      <c r="K57" s="7">
        <v>82490</v>
      </c>
      <c r="L57" s="6">
        <v>5</v>
      </c>
      <c r="M57" s="31">
        <f t="shared" si="2"/>
        <v>82490</v>
      </c>
      <c r="N57" s="65"/>
      <c r="O57" s="1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 t="s">
        <v>723</v>
      </c>
      <c r="B58" s="12" t="s">
        <v>13</v>
      </c>
      <c r="C58" s="1" t="s">
        <v>20</v>
      </c>
      <c r="D58" s="11">
        <v>948480407</v>
      </c>
      <c r="E58" s="11">
        <v>9191449596</v>
      </c>
      <c r="F58" s="1" t="s">
        <v>12</v>
      </c>
      <c r="G58" s="4">
        <f>37088+(364+182)</f>
        <v>37634</v>
      </c>
      <c r="H58" s="67" t="str">
        <f t="shared" si="0"/>
        <v>Jan</v>
      </c>
      <c r="I58" s="9">
        <f t="shared" ca="1" si="1"/>
        <v>13</v>
      </c>
      <c r="J58" s="8"/>
      <c r="K58" s="7">
        <v>61370</v>
      </c>
      <c r="L58" s="6">
        <v>3</v>
      </c>
      <c r="M58" s="31">
        <f t="shared" si="2"/>
        <v>61370</v>
      </c>
      <c r="N58" s="65"/>
      <c r="O58" s="14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 t="s">
        <v>722</v>
      </c>
      <c r="B59" s="12" t="s">
        <v>13</v>
      </c>
      <c r="C59" s="1" t="s">
        <v>72</v>
      </c>
      <c r="D59" s="11">
        <v>575648597</v>
      </c>
      <c r="E59" s="11">
        <v>9198865267</v>
      </c>
      <c r="F59" s="1" t="s">
        <v>12</v>
      </c>
      <c r="G59" s="4">
        <f>37095+(364+182)</f>
        <v>37641</v>
      </c>
      <c r="H59" s="67" t="str">
        <f t="shared" si="0"/>
        <v>Jan</v>
      </c>
      <c r="I59" s="9">
        <f t="shared" ca="1" si="1"/>
        <v>13</v>
      </c>
      <c r="J59" s="8"/>
      <c r="K59" s="7">
        <v>31970</v>
      </c>
      <c r="L59" s="6">
        <v>5</v>
      </c>
      <c r="M59" s="31">
        <f t="shared" si="2"/>
        <v>31970</v>
      </c>
      <c r="N59" s="65"/>
      <c r="O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 t="s">
        <v>721</v>
      </c>
      <c r="B60" s="12" t="s">
        <v>10</v>
      </c>
      <c r="C60" s="1" t="s">
        <v>52</v>
      </c>
      <c r="D60" s="11">
        <v>666194498</v>
      </c>
      <c r="E60" s="11">
        <v>2526593848</v>
      </c>
      <c r="F60" s="1" t="s">
        <v>5</v>
      </c>
      <c r="G60" s="4">
        <f>37807+(364+182)</f>
        <v>38353</v>
      </c>
      <c r="H60" s="67" t="str">
        <f t="shared" si="0"/>
        <v>Jan</v>
      </c>
      <c r="I60" s="9">
        <f t="shared" ca="1" si="1"/>
        <v>11</v>
      </c>
      <c r="J60" s="8" t="s">
        <v>4</v>
      </c>
      <c r="K60" s="7">
        <v>83710</v>
      </c>
      <c r="L60" s="6">
        <v>3</v>
      </c>
      <c r="M60" s="31">
        <f t="shared" si="2"/>
        <v>83710</v>
      </c>
      <c r="N60" s="65"/>
      <c r="O60" s="14"/>
      <c r="P60" s="5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 t="s">
        <v>720</v>
      </c>
      <c r="B61" s="12" t="s">
        <v>13</v>
      </c>
      <c r="C61" s="1" t="s">
        <v>60</v>
      </c>
      <c r="D61" s="11">
        <v>364404060</v>
      </c>
      <c r="E61" s="11">
        <v>2527722509</v>
      </c>
      <c r="F61" s="1" t="s">
        <v>15</v>
      </c>
      <c r="G61" s="4">
        <f>37816+(364+182)</f>
        <v>38362</v>
      </c>
      <c r="H61" s="67" t="str">
        <f t="shared" si="0"/>
        <v>Jan</v>
      </c>
      <c r="I61" s="9">
        <f t="shared" ca="1" si="1"/>
        <v>11</v>
      </c>
      <c r="J61" s="8" t="s">
        <v>32</v>
      </c>
      <c r="K61" s="7">
        <v>31255</v>
      </c>
      <c r="L61" s="6">
        <v>5</v>
      </c>
      <c r="M61" s="31">
        <f t="shared" si="2"/>
        <v>31255</v>
      </c>
      <c r="N61" s="65"/>
      <c r="O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 t="s">
        <v>719</v>
      </c>
      <c r="B62" s="12" t="s">
        <v>10</v>
      </c>
      <c r="C62" s="1" t="s">
        <v>20</v>
      </c>
      <c r="D62" s="11">
        <v>620336005</v>
      </c>
      <c r="E62" s="11">
        <v>9196422185</v>
      </c>
      <c r="F62" s="1" t="s">
        <v>5</v>
      </c>
      <c r="G62" s="4">
        <f>37831+(364+182)</f>
        <v>38377</v>
      </c>
      <c r="H62" s="67" t="str">
        <f t="shared" si="0"/>
        <v>Jan</v>
      </c>
      <c r="I62" s="9">
        <f t="shared" ca="1" si="1"/>
        <v>11</v>
      </c>
      <c r="J62" s="8" t="s">
        <v>32</v>
      </c>
      <c r="K62" s="7">
        <v>41060</v>
      </c>
      <c r="L62" s="6">
        <v>3</v>
      </c>
      <c r="M62" s="31">
        <f t="shared" si="2"/>
        <v>41060</v>
      </c>
      <c r="N62" s="65"/>
      <c r="O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 t="s">
        <v>718</v>
      </c>
      <c r="B63" s="12" t="s">
        <v>13</v>
      </c>
      <c r="C63" s="1" t="s">
        <v>20</v>
      </c>
      <c r="D63" s="11">
        <v>564908088</v>
      </c>
      <c r="E63" s="11">
        <v>9193386758</v>
      </c>
      <c r="F63" s="1" t="s">
        <v>5</v>
      </c>
      <c r="G63" s="4">
        <f>37831+(364+182)</f>
        <v>38377</v>
      </c>
      <c r="H63" s="67" t="str">
        <f t="shared" si="0"/>
        <v>Jan</v>
      </c>
      <c r="I63" s="9">
        <f t="shared" ca="1" si="1"/>
        <v>11</v>
      </c>
      <c r="J63" s="8" t="s">
        <v>32</v>
      </c>
      <c r="K63" s="7">
        <v>87760</v>
      </c>
      <c r="L63" s="6">
        <v>1</v>
      </c>
      <c r="M63" s="31">
        <f t="shared" si="2"/>
        <v>87760</v>
      </c>
      <c r="N63" s="65"/>
      <c r="O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 t="s">
        <v>717</v>
      </c>
      <c r="B64" s="12" t="s">
        <v>2</v>
      </c>
      <c r="C64" s="1" t="s">
        <v>22</v>
      </c>
      <c r="D64" s="11">
        <v>437460422</v>
      </c>
      <c r="E64" s="11">
        <v>2528439277</v>
      </c>
      <c r="F64" s="1" t="s">
        <v>15</v>
      </c>
      <c r="G64" s="4">
        <f>38177+(364+182)</f>
        <v>38723</v>
      </c>
      <c r="H64" s="67" t="str">
        <f t="shared" si="0"/>
        <v>Jan</v>
      </c>
      <c r="I64" s="9">
        <f t="shared" ca="1" si="1"/>
        <v>10</v>
      </c>
      <c r="J64" s="8" t="s">
        <v>4</v>
      </c>
      <c r="K64" s="7">
        <v>10630</v>
      </c>
      <c r="L64" s="6">
        <v>3</v>
      </c>
      <c r="M64" s="31">
        <f t="shared" si="2"/>
        <v>10630</v>
      </c>
      <c r="N64" s="65"/>
      <c r="O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 t="s">
        <v>716</v>
      </c>
      <c r="B65" s="12" t="s">
        <v>39</v>
      </c>
      <c r="C65" s="1" t="s">
        <v>20</v>
      </c>
      <c r="D65" s="11">
        <v>405396173</v>
      </c>
      <c r="E65" s="11">
        <v>2521777060</v>
      </c>
      <c r="F65" s="1" t="s">
        <v>5</v>
      </c>
      <c r="G65" s="4">
        <f>38187+(364+182)</f>
        <v>38733</v>
      </c>
      <c r="H65" s="67" t="str">
        <f t="shared" si="0"/>
        <v>Jan</v>
      </c>
      <c r="I65" s="9">
        <f t="shared" ca="1" si="1"/>
        <v>10</v>
      </c>
      <c r="J65" s="8" t="s">
        <v>8</v>
      </c>
      <c r="K65" s="7">
        <v>68710</v>
      </c>
      <c r="L65" s="6">
        <v>4</v>
      </c>
      <c r="M65" s="31">
        <f t="shared" si="2"/>
        <v>68710</v>
      </c>
      <c r="N65" s="65"/>
      <c r="O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 t="s">
        <v>715</v>
      </c>
      <c r="B66" s="12" t="s">
        <v>39</v>
      </c>
      <c r="C66" s="1" t="s">
        <v>20</v>
      </c>
      <c r="D66" s="11">
        <v>328787467</v>
      </c>
      <c r="E66" s="11">
        <v>9194897618</v>
      </c>
      <c r="F66" s="1" t="s">
        <v>0</v>
      </c>
      <c r="G66" s="4">
        <f>38541+(364+182)</f>
        <v>39087</v>
      </c>
      <c r="H66" s="67" t="str">
        <f t="shared" si="0"/>
        <v>Jan</v>
      </c>
      <c r="I66" s="9">
        <f t="shared" ca="1" si="1"/>
        <v>9</v>
      </c>
      <c r="J66" s="8"/>
      <c r="K66" s="7">
        <v>14416</v>
      </c>
      <c r="L66" s="6">
        <v>4</v>
      </c>
      <c r="M66" s="31">
        <f t="shared" si="2"/>
        <v>14416</v>
      </c>
      <c r="N66" s="65"/>
      <c r="O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 t="s">
        <v>714</v>
      </c>
      <c r="B67" s="12" t="s">
        <v>39</v>
      </c>
      <c r="C67" s="1" t="s">
        <v>60</v>
      </c>
      <c r="D67" s="11">
        <v>980960186</v>
      </c>
      <c r="E67" s="11">
        <v>9191517218</v>
      </c>
      <c r="F67" s="1" t="s">
        <v>15</v>
      </c>
      <c r="G67" s="4">
        <f>38552+(364+182)</f>
        <v>39098</v>
      </c>
      <c r="H67" s="67" t="str">
        <f t="shared" ref="H67:H130" si="3">CHOOSE(MONTH(G67),"Jan","Feb","Mar","Apr","May","Jun","Jul","Aug","Sep","Oct","Nov","Dec")</f>
        <v>Jan</v>
      </c>
      <c r="I67" s="9">
        <f t="shared" ref="I67:I130" ca="1" si="4">DATEDIF(G67,TODAY(),"Y")</f>
        <v>9</v>
      </c>
      <c r="J67" s="8" t="s">
        <v>4</v>
      </c>
      <c r="K67" s="7">
        <v>47705</v>
      </c>
      <c r="L67" s="6">
        <v>5</v>
      </c>
      <c r="M67" s="31">
        <f t="shared" ref="M67:M130" si="5">ROUND(K67*P65+K67,0)</f>
        <v>47705</v>
      </c>
      <c r="N67" s="65"/>
      <c r="O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 t="s">
        <v>713</v>
      </c>
      <c r="B68" s="12" t="s">
        <v>2</v>
      </c>
      <c r="C68" s="1" t="s">
        <v>20</v>
      </c>
      <c r="D68" s="11">
        <v>292993080</v>
      </c>
      <c r="E68" s="11">
        <v>2525085320</v>
      </c>
      <c r="F68" s="1" t="s">
        <v>5</v>
      </c>
      <c r="G68" s="4">
        <f>38909+(364+182)</f>
        <v>39455</v>
      </c>
      <c r="H68" s="67" t="str">
        <f t="shared" si="3"/>
        <v>Jan</v>
      </c>
      <c r="I68" s="9">
        <f t="shared" ca="1" si="4"/>
        <v>8</v>
      </c>
      <c r="J68" s="8" t="s">
        <v>4</v>
      </c>
      <c r="K68" s="7">
        <v>59420</v>
      </c>
      <c r="L68" s="6">
        <v>4</v>
      </c>
      <c r="M68" s="31">
        <f t="shared" si="5"/>
        <v>59420</v>
      </c>
      <c r="N68" s="65"/>
      <c r="O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 t="s">
        <v>712</v>
      </c>
      <c r="B69" s="12" t="s">
        <v>39</v>
      </c>
      <c r="C69" s="1" t="s">
        <v>52</v>
      </c>
      <c r="D69" s="11">
        <v>855135948</v>
      </c>
      <c r="E69" s="11">
        <v>9196408497</v>
      </c>
      <c r="F69" s="1" t="s">
        <v>5</v>
      </c>
      <c r="G69" s="4">
        <f>39269+(364+182)</f>
        <v>39815</v>
      </c>
      <c r="H69" s="67" t="str">
        <f t="shared" si="3"/>
        <v>Jan</v>
      </c>
      <c r="I69" s="9">
        <f t="shared" ca="1" si="4"/>
        <v>7</v>
      </c>
      <c r="J69" s="8" t="s">
        <v>4</v>
      </c>
      <c r="K69" s="7">
        <v>72060</v>
      </c>
      <c r="L69" s="6">
        <v>2</v>
      </c>
      <c r="M69" s="31">
        <f t="shared" si="5"/>
        <v>72060</v>
      </c>
      <c r="N69" s="65"/>
      <c r="O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 t="s">
        <v>711</v>
      </c>
      <c r="B70" s="12" t="s">
        <v>39</v>
      </c>
      <c r="C70" s="1" t="s">
        <v>20</v>
      </c>
      <c r="D70" s="11">
        <v>436778229</v>
      </c>
      <c r="E70" s="11">
        <v>2525871924</v>
      </c>
      <c r="F70" s="1" t="s">
        <v>12</v>
      </c>
      <c r="G70" s="4">
        <f>39276+(364+182)</f>
        <v>39822</v>
      </c>
      <c r="H70" s="67" t="str">
        <f t="shared" si="3"/>
        <v>Jan</v>
      </c>
      <c r="I70" s="9">
        <f t="shared" ca="1" si="4"/>
        <v>7</v>
      </c>
      <c r="J70" s="8"/>
      <c r="K70" s="7">
        <v>60040</v>
      </c>
      <c r="L70" s="6">
        <v>5</v>
      </c>
      <c r="M70" s="31">
        <f t="shared" si="5"/>
        <v>60040</v>
      </c>
      <c r="N70" s="65"/>
      <c r="O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 t="s">
        <v>710</v>
      </c>
      <c r="B71" s="12" t="s">
        <v>39</v>
      </c>
      <c r="C71" s="1" t="s">
        <v>20</v>
      </c>
      <c r="D71" s="11">
        <v>159117255</v>
      </c>
      <c r="E71" s="11">
        <v>9198426889</v>
      </c>
      <c r="F71" s="1" t="s">
        <v>12</v>
      </c>
      <c r="G71" s="4">
        <f>39284+(364+182)</f>
        <v>39830</v>
      </c>
      <c r="H71" s="67" t="str">
        <f t="shared" si="3"/>
        <v>Jan</v>
      </c>
      <c r="I71" s="9">
        <f t="shared" ca="1" si="4"/>
        <v>7</v>
      </c>
      <c r="J71" s="8"/>
      <c r="K71" s="7">
        <v>78520</v>
      </c>
      <c r="L71" s="6">
        <v>4</v>
      </c>
      <c r="M71" s="31">
        <f t="shared" si="5"/>
        <v>78520</v>
      </c>
      <c r="N71" s="65"/>
      <c r="O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 t="s">
        <v>709</v>
      </c>
      <c r="B72" s="12" t="s">
        <v>13</v>
      </c>
      <c r="C72" s="1" t="s">
        <v>20</v>
      </c>
      <c r="D72" s="11">
        <v>798466688</v>
      </c>
      <c r="E72" s="11">
        <v>9192232339</v>
      </c>
      <c r="F72" s="1" t="s">
        <v>5</v>
      </c>
      <c r="G72" s="4">
        <f>39657+(364+182)</f>
        <v>40203</v>
      </c>
      <c r="H72" s="67" t="str">
        <f t="shared" si="3"/>
        <v>Jan</v>
      </c>
      <c r="I72" s="9">
        <f t="shared" ca="1" si="4"/>
        <v>6</v>
      </c>
      <c r="J72" s="8" t="s">
        <v>32</v>
      </c>
      <c r="K72" s="7">
        <v>35600</v>
      </c>
      <c r="L72" s="6">
        <v>5</v>
      </c>
      <c r="M72" s="31">
        <f t="shared" si="5"/>
        <v>35600</v>
      </c>
      <c r="N72" s="65"/>
      <c r="O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 t="s">
        <v>708</v>
      </c>
      <c r="B73" s="12" t="s">
        <v>17</v>
      </c>
      <c r="C73" s="1" t="s">
        <v>60</v>
      </c>
      <c r="D73" s="11">
        <v>649234799</v>
      </c>
      <c r="E73" s="11">
        <v>2521588597</v>
      </c>
      <c r="F73" s="1" t="s">
        <v>5</v>
      </c>
      <c r="G73" s="4">
        <f>39663+(364+182)</f>
        <v>40209</v>
      </c>
      <c r="H73" s="67" t="str">
        <f t="shared" si="3"/>
        <v>Jan</v>
      </c>
      <c r="I73" s="9">
        <f t="shared" ca="1" si="4"/>
        <v>6</v>
      </c>
      <c r="J73" s="8" t="s">
        <v>4</v>
      </c>
      <c r="K73" s="7">
        <v>45260</v>
      </c>
      <c r="L73" s="6">
        <v>4</v>
      </c>
      <c r="M73" s="31">
        <f t="shared" si="5"/>
        <v>45260</v>
      </c>
      <c r="N73" s="65"/>
      <c r="O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 t="s">
        <v>707</v>
      </c>
      <c r="B74" s="12" t="s">
        <v>13</v>
      </c>
      <c r="C74" s="1" t="s">
        <v>6</v>
      </c>
      <c r="D74" s="11">
        <v>151532569</v>
      </c>
      <c r="E74" s="11">
        <v>2525202015</v>
      </c>
      <c r="F74" s="1" t="s">
        <v>12</v>
      </c>
      <c r="G74" s="13">
        <f>40017+(364+182)</f>
        <v>40563</v>
      </c>
      <c r="H74" s="67" t="str">
        <f t="shared" si="3"/>
        <v>Jan</v>
      </c>
      <c r="I74" s="9">
        <f t="shared" ca="1" si="4"/>
        <v>5</v>
      </c>
      <c r="J74" s="8"/>
      <c r="K74" s="7">
        <v>55510</v>
      </c>
      <c r="L74" s="6">
        <v>3</v>
      </c>
      <c r="M74" s="31">
        <f t="shared" si="5"/>
        <v>55510</v>
      </c>
      <c r="N74" s="65"/>
      <c r="O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 t="s">
        <v>706</v>
      </c>
      <c r="B75" s="12" t="s">
        <v>13</v>
      </c>
      <c r="C75" s="1" t="s">
        <v>6</v>
      </c>
      <c r="D75" s="11">
        <v>121173068</v>
      </c>
      <c r="E75" s="11">
        <v>9196778600</v>
      </c>
      <c r="F75" s="1" t="s">
        <v>5</v>
      </c>
      <c r="G75" s="4">
        <f>40022+(364+182)</f>
        <v>40568</v>
      </c>
      <c r="H75" s="67" t="str">
        <f t="shared" si="3"/>
        <v>Jan</v>
      </c>
      <c r="I75" s="9">
        <f t="shared" ca="1" si="4"/>
        <v>5</v>
      </c>
      <c r="J75" s="8" t="s">
        <v>32</v>
      </c>
      <c r="K75" s="7">
        <v>46390</v>
      </c>
      <c r="L75" s="6">
        <v>5</v>
      </c>
      <c r="M75" s="31">
        <f t="shared" si="5"/>
        <v>46390</v>
      </c>
      <c r="N75" s="65"/>
      <c r="O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 t="s">
        <v>705</v>
      </c>
      <c r="B76" s="12" t="s">
        <v>13</v>
      </c>
      <c r="C76" s="1" t="s">
        <v>16</v>
      </c>
      <c r="D76" s="11">
        <v>124203063</v>
      </c>
      <c r="E76" s="11">
        <v>9192229885</v>
      </c>
      <c r="F76" s="1" t="s">
        <v>15</v>
      </c>
      <c r="G76" s="4">
        <f>40026+(364+182)</f>
        <v>40572</v>
      </c>
      <c r="H76" s="67" t="str">
        <f t="shared" si="3"/>
        <v>Jan</v>
      </c>
      <c r="I76" s="9">
        <f t="shared" ca="1" si="4"/>
        <v>5</v>
      </c>
      <c r="J76" s="8" t="s">
        <v>4</v>
      </c>
      <c r="K76" s="7">
        <v>10520</v>
      </c>
      <c r="L76" s="6">
        <v>4</v>
      </c>
      <c r="M76" s="31">
        <f t="shared" si="5"/>
        <v>10520</v>
      </c>
      <c r="N76" s="65"/>
      <c r="O76" s="6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 t="s">
        <v>704</v>
      </c>
      <c r="B77" s="12" t="s">
        <v>17</v>
      </c>
      <c r="C77" s="1" t="s">
        <v>20</v>
      </c>
      <c r="D77" s="11">
        <v>665773893</v>
      </c>
      <c r="E77" s="11">
        <v>9198857217</v>
      </c>
      <c r="F77" s="1" t="s">
        <v>0</v>
      </c>
      <c r="G77" s="4">
        <f>40028+(364+182)</f>
        <v>40574</v>
      </c>
      <c r="H77" s="67" t="str">
        <f t="shared" si="3"/>
        <v>Jan</v>
      </c>
      <c r="I77" s="9">
        <f t="shared" ca="1" si="4"/>
        <v>5</v>
      </c>
      <c r="J77" s="8"/>
      <c r="K77" s="7">
        <v>28424</v>
      </c>
      <c r="L77" s="6">
        <v>4</v>
      </c>
      <c r="M77" s="31">
        <f t="shared" si="5"/>
        <v>28424</v>
      </c>
      <c r="N77" s="65"/>
      <c r="O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 t="s">
        <v>703</v>
      </c>
      <c r="B78" s="12" t="s">
        <v>17</v>
      </c>
      <c r="C78" s="1" t="s">
        <v>6</v>
      </c>
      <c r="D78" s="11">
        <v>657835603</v>
      </c>
      <c r="E78" s="11">
        <v>2526609693</v>
      </c>
      <c r="F78" s="1" t="s">
        <v>5</v>
      </c>
      <c r="G78" s="4">
        <f>32733+(364+182)</f>
        <v>33279</v>
      </c>
      <c r="H78" s="67" t="str">
        <f t="shared" si="3"/>
        <v>Feb</v>
      </c>
      <c r="I78" s="9">
        <f t="shared" ca="1" si="4"/>
        <v>25</v>
      </c>
      <c r="J78" s="8" t="s">
        <v>32</v>
      </c>
      <c r="K78" s="7">
        <v>24200</v>
      </c>
      <c r="L78" s="6">
        <v>5</v>
      </c>
      <c r="M78" s="31">
        <f t="shared" si="5"/>
        <v>24200</v>
      </c>
      <c r="N78" s="65"/>
      <c r="O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 t="s">
        <v>702</v>
      </c>
      <c r="B79" s="12" t="s">
        <v>13</v>
      </c>
      <c r="C79" s="1" t="s">
        <v>74</v>
      </c>
      <c r="D79" s="11">
        <v>292693795</v>
      </c>
      <c r="E79" s="11">
        <v>9195990139</v>
      </c>
      <c r="F79" s="1" t="s">
        <v>5</v>
      </c>
      <c r="G79" s="4">
        <f>32734+(364+182)</f>
        <v>33280</v>
      </c>
      <c r="H79" s="67" t="str">
        <f t="shared" si="3"/>
        <v>Feb</v>
      </c>
      <c r="I79" s="9">
        <f t="shared" ca="1" si="4"/>
        <v>25</v>
      </c>
      <c r="J79" s="8" t="s">
        <v>32</v>
      </c>
      <c r="K79" s="7">
        <v>87950</v>
      </c>
      <c r="L79" s="6">
        <v>4</v>
      </c>
      <c r="M79" s="31">
        <f t="shared" si="5"/>
        <v>87950</v>
      </c>
      <c r="N79" s="65"/>
      <c r="O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 t="s">
        <v>701</v>
      </c>
      <c r="B80" s="12" t="s">
        <v>56</v>
      </c>
      <c r="C80" s="1" t="s">
        <v>52</v>
      </c>
      <c r="D80" s="11">
        <v>265993407</v>
      </c>
      <c r="E80" s="11">
        <v>9193558443</v>
      </c>
      <c r="F80" s="1" t="s">
        <v>12</v>
      </c>
      <c r="G80" s="4">
        <f>32736+(364+182)</f>
        <v>33282</v>
      </c>
      <c r="H80" s="67" t="str">
        <f t="shared" si="3"/>
        <v>Feb</v>
      </c>
      <c r="I80" s="9">
        <f t="shared" ca="1" si="4"/>
        <v>25</v>
      </c>
      <c r="J80" s="8"/>
      <c r="K80" s="7">
        <v>89450</v>
      </c>
      <c r="L80" s="6">
        <v>2</v>
      </c>
      <c r="M80" s="31">
        <f t="shared" si="5"/>
        <v>89450</v>
      </c>
      <c r="N80" s="65"/>
      <c r="O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 t="s">
        <v>700</v>
      </c>
      <c r="B81" s="12" t="s">
        <v>56</v>
      </c>
      <c r="C81" s="1" t="s">
        <v>74</v>
      </c>
      <c r="D81" s="11">
        <v>264960848</v>
      </c>
      <c r="E81" s="11">
        <v>9195012757</v>
      </c>
      <c r="F81" s="1" t="s">
        <v>12</v>
      </c>
      <c r="G81" s="4">
        <f>32740+(364+182)</f>
        <v>33286</v>
      </c>
      <c r="H81" s="67" t="str">
        <f t="shared" si="3"/>
        <v>Feb</v>
      </c>
      <c r="I81" s="9">
        <f t="shared" ca="1" si="4"/>
        <v>25</v>
      </c>
      <c r="J81" s="8"/>
      <c r="K81" s="7">
        <v>49070</v>
      </c>
      <c r="L81" s="6">
        <v>3</v>
      </c>
      <c r="M81" s="31">
        <f t="shared" si="5"/>
        <v>49070</v>
      </c>
      <c r="N81" s="65"/>
      <c r="O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4" t="s">
        <v>699</v>
      </c>
      <c r="B82" s="12" t="s">
        <v>39</v>
      </c>
      <c r="C82" s="14" t="s">
        <v>30</v>
      </c>
      <c r="D82" s="15">
        <v>914428485</v>
      </c>
      <c r="E82" s="15">
        <v>2521774590</v>
      </c>
      <c r="F82" s="14" t="s">
        <v>15</v>
      </c>
      <c r="G82" s="10">
        <f>32744+(364+182)</f>
        <v>33290</v>
      </c>
      <c r="H82" s="67" t="str">
        <f t="shared" si="3"/>
        <v>Feb</v>
      </c>
      <c r="I82" s="9">
        <f t="shared" ca="1" si="4"/>
        <v>25</v>
      </c>
      <c r="J82" s="8" t="s">
        <v>34</v>
      </c>
      <c r="K82" s="7">
        <v>26795</v>
      </c>
      <c r="L82" s="6">
        <v>4</v>
      </c>
      <c r="M82" s="31">
        <f t="shared" si="5"/>
        <v>26795</v>
      </c>
      <c r="N82" s="69"/>
      <c r="O82" s="6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 t="s">
        <v>698</v>
      </c>
      <c r="B83" s="12" t="s">
        <v>39</v>
      </c>
      <c r="C83" s="1" t="s">
        <v>28</v>
      </c>
      <c r="D83" s="11">
        <v>294130565</v>
      </c>
      <c r="E83" s="11">
        <v>9193744359</v>
      </c>
      <c r="F83" s="1" t="s">
        <v>5</v>
      </c>
      <c r="G83" s="4">
        <f>33090+(364+182)</f>
        <v>33636</v>
      </c>
      <c r="H83" s="67" t="str">
        <f t="shared" si="3"/>
        <v>Feb</v>
      </c>
      <c r="I83" s="9">
        <f t="shared" ca="1" si="4"/>
        <v>24</v>
      </c>
      <c r="J83" s="8" t="s">
        <v>32</v>
      </c>
      <c r="K83" s="7">
        <v>26360</v>
      </c>
      <c r="L83" s="6">
        <v>1</v>
      </c>
      <c r="M83" s="31">
        <f t="shared" si="5"/>
        <v>26360</v>
      </c>
      <c r="N83" s="65"/>
      <c r="O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 t="s">
        <v>697</v>
      </c>
      <c r="B84" s="12" t="s">
        <v>39</v>
      </c>
      <c r="C84" s="1" t="s">
        <v>22</v>
      </c>
      <c r="D84" s="11">
        <v>433314045</v>
      </c>
      <c r="E84" s="11">
        <v>2522543210</v>
      </c>
      <c r="F84" s="1" t="s">
        <v>12</v>
      </c>
      <c r="G84" s="4">
        <f>33092+(364+182)</f>
        <v>33638</v>
      </c>
      <c r="H84" s="67" t="str">
        <f t="shared" si="3"/>
        <v>Feb</v>
      </c>
      <c r="I84" s="9">
        <f t="shared" ca="1" si="4"/>
        <v>24</v>
      </c>
      <c r="J84" s="8"/>
      <c r="K84" s="7">
        <v>47590</v>
      </c>
      <c r="L84" s="6">
        <v>3</v>
      </c>
      <c r="M84" s="31">
        <f t="shared" si="5"/>
        <v>47590</v>
      </c>
      <c r="N84" s="65"/>
      <c r="O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 t="s">
        <v>696</v>
      </c>
      <c r="B85" s="12" t="s">
        <v>13</v>
      </c>
      <c r="C85" s="1" t="s">
        <v>28</v>
      </c>
      <c r="D85" s="11">
        <v>474117484</v>
      </c>
      <c r="E85" s="11">
        <v>9196132408</v>
      </c>
      <c r="F85" s="1" t="s">
        <v>5</v>
      </c>
      <c r="G85" s="4">
        <f>33096+(364+182)</f>
        <v>33642</v>
      </c>
      <c r="H85" s="67" t="str">
        <f t="shared" si="3"/>
        <v>Feb</v>
      </c>
      <c r="I85" s="9">
        <f t="shared" ca="1" si="4"/>
        <v>24</v>
      </c>
      <c r="J85" s="8" t="s">
        <v>32</v>
      </c>
      <c r="K85" s="7">
        <v>79770</v>
      </c>
      <c r="L85" s="6">
        <v>4</v>
      </c>
      <c r="M85" s="31">
        <f t="shared" si="5"/>
        <v>79770</v>
      </c>
      <c r="N85" s="65"/>
      <c r="O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 t="s">
        <v>695</v>
      </c>
      <c r="B86" s="12" t="s">
        <v>17</v>
      </c>
      <c r="C86" s="1" t="s">
        <v>20</v>
      </c>
      <c r="D86" s="11">
        <v>259573806</v>
      </c>
      <c r="E86" s="11">
        <v>9193302808</v>
      </c>
      <c r="F86" s="1" t="s">
        <v>5</v>
      </c>
      <c r="G86" s="4">
        <f>33102+(364+182)</f>
        <v>33648</v>
      </c>
      <c r="H86" s="67" t="str">
        <f t="shared" si="3"/>
        <v>Feb</v>
      </c>
      <c r="I86" s="9">
        <f t="shared" ca="1" si="4"/>
        <v>24</v>
      </c>
      <c r="J86" s="8" t="s">
        <v>8</v>
      </c>
      <c r="K86" s="7">
        <v>60380</v>
      </c>
      <c r="L86" s="6">
        <v>4</v>
      </c>
      <c r="M86" s="31">
        <f t="shared" si="5"/>
        <v>60380</v>
      </c>
      <c r="N86" s="65"/>
      <c r="O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 t="s">
        <v>694</v>
      </c>
      <c r="B87" s="12" t="s">
        <v>39</v>
      </c>
      <c r="C87" s="1" t="s">
        <v>22</v>
      </c>
      <c r="D87" s="11">
        <v>808012612</v>
      </c>
      <c r="E87" s="11">
        <v>9193717553</v>
      </c>
      <c r="F87" s="1" t="s">
        <v>12</v>
      </c>
      <c r="G87" s="4">
        <f>33112+(364+182)</f>
        <v>33658</v>
      </c>
      <c r="H87" s="67" t="str">
        <f t="shared" si="3"/>
        <v>Feb</v>
      </c>
      <c r="I87" s="9">
        <f t="shared" ca="1" si="4"/>
        <v>24</v>
      </c>
      <c r="J87" s="8"/>
      <c r="K87" s="7">
        <v>60550</v>
      </c>
      <c r="L87" s="6">
        <v>2</v>
      </c>
      <c r="M87" s="31">
        <f t="shared" si="5"/>
        <v>60550</v>
      </c>
      <c r="N87" s="65"/>
      <c r="O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 t="s">
        <v>693</v>
      </c>
      <c r="B88" s="12" t="s">
        <v>13</v>
      </c>
      <c r="C88" s="1" t="s">
        <v>1</v>
      </c>
      <c r="D88" s="11">
        <v>183135788</v>
      </c>
      <c r="E88" s="11">
        <v>2521198851</v>
      </c>
      <c r="F88" s="1" t="s">
        <v>12</v>
      </c>
      <c r="G88" s="4">
        <f>33457+(364+182)</f>
        <v>34003</v>
      </c>
      <c r="H88" s="67" t="str">
        <f t="shared" si="3"/>
        <v>Feb</v>
      </c>
      <c r="I88" s="9">
        <f t="shared" ca="1" si="4"/>
        <v>23</v>
      </c>
      <c r="J88" s="8"/>
      <c r="K88" s="7">
        <v>60760</v>
      </c>
      <c r="L88" s="6">
        <v>2</v>
      </c>
      <c r="M88" s="31">
        <f t="shared" si="5"/>
        <v>60760</v>
      </c>
      <c r="N88" s="65"/>
      <c r="O88" s="6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 t="s">
        <v>692</v>
      </c>
      <c r="B89" s="12" t="s">
        <v>13</v>
      </c>
      <c r="C89" s="1" t="s">
        <v>6</v>
      </c>
      <c r="D89" s="11">
        <v>287476507</v>
      </c>
      <c r="E89" s="11">
        <v>9191509619</v>
      </c>
      <c r="F89" s="1" t="s">
        <v>15</v>
      </c>
      <c r="G89" s="4">
        <f>33459+(364+182)</f>
        <v>34005</v>
      </c>
      <c r="H89" s="67" t="str">
        <f t="shared" si="3"/>
        <v>Feb</v>
      </c>
      <c r="I89" s="9">
        <f t="shared" ca="1" si="4"/>
        <v>23</v>
      </c>
      <c r="J89" s="8" t="s">
        <v>32</v>
      </c>
      <c r="K89" s="7">
        <v>19935</v>
      </c>
      <c r="L89" s="6">
        <v>1</v>
      </c>
      <c r="M89" s="31">
        <f t="shared" si="5"/>
        <v>19935</v>
      </c>
      <c r="N89" s="65"/>
      <c r="O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 t="s">
        <v>691</v>
      </c>
      <c r="B90" s="12" t="s">
        <v>39</v>
      </c>
      <c r="C90" s="1" t="s">
        <v>52</v>
      </c>
      <c r="D90" s="11">
        <v>186821354</v>
      </c>
      <c r="E90" s="11">
        <v>2528527032</v>
      </c>
      <c r="F90" s="1" t="s">
        <v>5</v>
      </c>
      <c r="G90" s="4">
        <f>33464+(364+182)</f>
        <v>34010</v>
      </c>
      <c r="H90" s="67" t="str">
        <f t="shared" si="3"/>
        <v>Feb</v>
      </c>
      <c r="I90" s="9">
        <f t="shared" ca="1" si="4"/>
        <v>23</v>
      </c>
      <c r="J90" s="8" t="s">
        <v>32</v>
      </c>
      <c r="K90" s="7">
        <v>54270</v>
      </c>
      <c r="L90" s="6">
        <v>3</v>
      </c>
      <c r="M90" s="31">
        <f t="shared" si="5"/>
        <v>54270</v>
      </c>
      <c r="N90" s="65"/>
      <c r="O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 t="s">
        <v>690</v>
      </c>
      <c r="B91" s="12" t="s">
        <v>56</v>
      </c>
      <c r="C91" s="1" t="s">
        <v>52</v>
      </c>
      <c r="D91" s="11">
        <v>462461365</v>
      </c>
      <c r="E91" s="11">
        <v>2527126482</v>
      </c>
      <c r="F91" s="1" t="s">
        <v>5</v>
      </c>
      <c r="G91" s="4">
        <f>33475+(364+182)</f>
        <v>34021</v>
      </c>
      <c r="H91" s="67" t="str">
        <f t="shared" si="3"/>
        <v>Feb</v>
      </c>
      <c r="I91" s="9">
        <f t="shared" ca="1" si="4"/>
        <v>23</v>
      </c>
      <c r="J91" s="8" t="s">
        <v>4</v>
      </c>
      <c r="K91" s="7">
        <v>45110</v>
      </c>
      <c r="L91" s="6">
        <v>2</v>
      </c>
      <c r="M91" s="31">
        <f t="shared" si="5"/>
        <v>45110</v>
      </c>
      <c r="N91" s="65"/>
      <c r="O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 t="s">
        <v>689</v>
      </c>
      <c r="B92" s="12" t="s">
        <v>17</v>
      </c>
      <c r="C92" s="1" t="s">
        <v>52</v>
      </c>
      <c r="D92" s="11">
        <v>404589373</v>
      </c>
      <c r="E92" s="11">
        <v>9198407416</v>
      </c>
      <c r="F92" s="1" t="s">
        <v>5</v>
      </c>
      <c r="G92" s="4">
        <f>33482+(364+182)</f>
        <v>34028</v>
      </c>
      <c r="H92" s="67" t="str">
        <f t="shared" si="3"/>
        <v>Feb</v>
      </c>
      <c r="I92" s="9">
        <f t="shared" ca="1" si="4"/>
        <v>23</v>
      </c>
      <c r="J92" s="8" t="s">
        <v>4</v>
      </c>
      <c r="K92" s="7">
        <v>66824</v>
      </c>
      <c r="L92" s="6">
        <v>2</v>
      </c>
      <c r="M92" s="31">
        <f t="shared" si="5"/>
        <v>66824</v>
      </c>
      <c r="N92" s="65"/>
      <c r="O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 t="s">
        <v>688</v>
      </c>
      <c r="B93" s="12" t="s">
        <v>13</v>
      </c>
      <c r="C93" s="1" t="s">
        <v>28</v>
      </c>
      <c r="D93" s="11">
        <v>555718765</v>
      </c>
      <c r="E93" s="11">
        <v>2524618773</v>
      </c>
      <c r="F93" s="1" t="s">
        <v>5</v>
      </c>
      <c r="G93" s="4">
        <f>34191+(364+182)</f>
        <v>34737</v>
      </c>
      <c r="H93" s="67" t="str">
        <f t="shared" si="3"/>
        <v>Feb</v>
      </c>
      <c r="I93" s="9">
        <f t="shared" ca="1" si="4"/>
        <v>21</v>
      </c>
      <c r="J93" s="8" t="s">
        <v>32</v>
      </c>
      <c r="K93" s="7">
        <v>88850</v>
      </c>
      <c r="L93" s="6">
        <v>3</v>
      </c>
      <c r="M93" s="31">
        <f t="shared" si="5"/>
        <v>88850</v>
      </c>
      <c r="N93" s="65"/>
      <c r="O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 t="s">
        <v>687</v>
      </c>
      <c r="B94" s="12" t="s">
        <v>2</v>
      </c>
      <c r="C94" s="1" t="s">
        <v>28</v>
      </c>
      <c r="D94" s="11">
        <v>297806507</v>
      </c>
      <c r="E94" s="11">
        <v>9197312659</v>
      </c>
      <c r="F94" s="1" t="s">
        <v>5</v>
      </c>
      <c r="G94" s="4">
        <f>34194+(364+182)</f>
        <v>34740</v>
      </c>
      <c r="H94" s="67" t="str">
        <f t="shared" si="3"/>
        <v>Feb</v>
      </c>
      <c r="I94" s="9">
        <f t="shared" ca="1" si="4"/>
        <v>21</v>
      </c>
      <c r="J94" s="8" t="s">
        <v>19</v>
      </c>
      <c r="K94" s="7">
        <v>77840</v>
      </c>
      <c r="L94" s="6">
        <v>2</v>
      </c>
      <c r="M94" s="31">
        <f t="shared" si="5"/>
        <v>77840</v>
      </c>
      <c r="N94" s="65"/>
      <c r="O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 t="s">
        <v>686</v>
      </c>
      <c r="B95" s="12" t="s">
        <v>17</v>
      </c>
      <c r="C95" s="1" t="s">
        <v>52</v>
      </c>
      <c r="D95" s="11">
        <v>709234421</v>
      </c>
      <c r="E95" s="11">
        <v>2523838954</v>
      </c>
      <c r="F95" s="1" t="s">
        <v>5</v>
      </c>
      <c r="G95" s="4">
        <f>34208+(364+182)</f>
        <v>34754</v>
      </c>
      <c r="H95" s="67" t="str">
        <f t="shared" si="3"/>
        <v>Feb</v>
      </c>
      <c r="I95" s="9">
        <f t="shared" ca="1" si="4"/>
        <v>21</v>
      </c>
      <c r="J95" s="8" t="s">
        <v>32</v>
      </c>
      <c r="K95" s="7">
        <v>39000</v>
      </c>
      <c r="L95" s="6">
        <v>5</v>
      </c>
      <c r="M95" s="31">
        <f t="shared" si="5"/>
        <v>39000</v>
      </c>
      <c r="N95" s="65"/>
      <c r="O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 t="s">
        <v>685</v>
      </c>
      <c r="B96" s="12" t="s">
        <v>13</v>
      </c>
      <c r="C96" s="1" t="s">
        <v>72</v>
      </c>
      <c r="D96" s="11">
        <v>116869057</v>
      </c>
      <c r="E96" s="11">
        <v>2521614846</v>
      </c>
      <c r="F96" s="1" t="s">
        <v>15</v>
      </c>
      <c r="G96" s="4">
        <f>34209+(364+182)</f>
        <v>34755</v>
      </c>
      <c r="H96" s="67" t="str">
        <f t="shared" si="3"/>
        <v>Feb</v>
      </c>
      <c r="I96" s="9">
        <f t="shared" ca="1" si="4"/>
        <v>21</v>
      </c>
      <c r="J96" s="8" t="s">
        <v>19</v>
      </c>
      <c r="K96" s="7">
        <v>15005</v>
      </c>
      <c r="L96" s="6">
        <v>4</v>
      </c>
      <c r="M96" s="31">
        <f t="shared" si="5"/>
        <v>15005</v>
      </c>
      <c r="N96" s="69"/>
      <c r="O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 t="s">
        <v>684</v>
      </c>
      <c r="B97" s="12" t="s">
        <v>10</v>
      </c>
      <c r="C97" s="1" t="s">
        <v>26</v>
      </c>
      <c r="D97" s="11">
        <v>247276092</v>
      </c>
      <c r="E97" s="11">
        <v>2522636516</v>
      </c>
      <c r="F97" s="1" t="s">
        <v>12</v>
      </c>
      <c r="G97" s="4">
        <f>34573+(364+182)</f>
        <v>35119</v>
      </c>
      <c r="H97" s="67" t="str">
        <f t="shared" si="3"/>
        <v>Feb</v>
      </c>
      <c r="I97" s="9">
        <f t="shared" ca="1" si="4"/>
        <v>20</v>
      </c>
      <c r="J97" s="8"/>
      <c r="K97" s="7">
        <v>64390</v>
      </c>
      <c r="L97" s="6">
        <v>2</v>
      </c>
      <c r="M97" s="31">
        <f t="shared" si="5"/>
        <v>64390</v>
      </c>
      <c r="N97" s="65"/>
      <c r="O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 t="s">
        <v>683</v>
      </c>
      <c r="B98" s="12" t="s">
        <v>13</v>
      </c>
      <c r="C98" s="1" t="s">
        <v>9</v>
      </c>
      <c r="D98" s="11">
        <v>414905182</v>
      </c>
      <c r="E98" s="11">
        <v>9193820411</v>
      </c>
      <c r="F98" s="1" t="s">
        <v>5</v>
      </c>
      <c r="G98" s="4">
        <f>34575+(364+182)</f>
        <v>35121</v>
      </c>
      <c r="H98" s="67" t="str">
        <f t="shared" si="3"/>
        <v>Feb</v>
      </c>
      <c r="I98" s="9">
        <f t="shared" ca="1" si="4"/>
        <v>20</v>
      </c>
      <c r="J98" s="8" t="s">
        <v>4</v>
      </c>
      <c r="K98" s="7">
        <v>22860</v>
      </c>
      <c r="L98" s="6">
        <v>5</v>
      </c>
      <c r="M98" s="31">
        <f t="shared" si="5"/>
        <v>22860</v>
      </c>
      <c r="N98" s="65"/>
      <c r="O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 t="s">
        <v>682</v>
      </c>
      <c r="B99" s="12" t="s">
        <v>13</v>
      </c>
      <c r="C99" s="1" t="s">
        <v>37</v>
      </c>
      <c r="D99" s="11">
        <v>768681542</v>
      </c>
      <c r="E99" s="11">
        <v>8021673267</v>
      </c>
      <c r="F99" s="1" t="s">
        <v>5</v>
      </c>
      <c r="G99" s="4">
        <f>34918+(364+182)</f>
        <v>35464</v>
      </c>
      <c r="H99" s="67" t="str">
        <f t="shared" si="3"/>
        <v>Feb</v>
      </c>
      <c r="I99" s="9">
        <f t="shared" ca="1" si="4"/>
        <v>19</v>
      </c>
      <c r="J99" s="8" t="s">
        <v>32</v>
      </c>
      <c r="K99" s="7">
        <v>60830</v>
      </c>
      <c r="L99" s="6">
        <v>2</v>
      </c>
      <c r="M99" s="31">
        <f t="shared" si="5"/>
        <v>60830</v>
      </c>
      <c r="N99" s="65"/>
      <c r="O99" s="6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 t="s">
        <v>681</v>
      </c>
      <c r="B100" s="12" t="s">
        <v>13</v>
      </c>
      <c r="C100" s="1" t="s">
        <v>6</v>
      </c>
      <c r="D100" s="11">
        <v>894855096</v>
      </c>
      <c r="E100" s="11">
        <v>9193936198</v>
      </c>
      <c r="F100" s="1" t="s">
        <v>15</v>
      </c>
      <c r="G100" s="4">
        <f>34920+(364+182)</f>
        <v>35466</v>
      </c>
      <c r="H100" s="67" t="str">
        <f t="shared" si="3"/>
        <v>Feb</v>
      </c>
      <c r="I100" s="9">
        <f t="shared" ca="1" si="4"/>
        <v>19</v>
      </c>
      <c r="J100" s="8" t="s">
        <v>34</v>
      </c>
      <c r="K100" s="7">
        <v>37660</v>
      </c>
      <c r="L100" s="6">
        <v>4</v>
      </c>
      <c r="M100" s="31">
        <f t="shared" si="5"/>
        <v>37660</v>
      </c>
      <c r="N100" s="65"/>
      <c r="O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 t="s">
        <v>680</v>
      </c>
      <c r="B101" s="12" t="s">
        <v>2</v>
      </c>
      <c r="C101" s="1" t="s">
        <v>44</v>
      </c>
      <c r="D101" s="11">
        <v>291798311</v>
      </c>
      <c r="E101" s="11">
        <v>2526742736</v>
      </c>
      <c r="F101" s="1" t="s">
        <v>5</v>
      </c>
      <c r="G101" s="4">
        <f>34941+(364+182)</f>
        <v>35487</v>
      </c>
      <c r="H101" s="67" t="str">
        <f t="shared" si="3"/>
        <v>Feb</v>
      </c>
      <c r="I101" s="9">
        <f t="shared" ca="1" si="4"/>
        <v>19</v>
      </c>
      <c r="J101" s="8" t="s">
        <v>32</v>
      </c>
      <c r="K101" s="7">
        <v>80120</v>
      </c>
      <c r="L101" s="6">
        <v>4</v>
      </c>
      <c r="M101" s="31">
        <f t="shared" si="5"/>
        <v>80120</v>
      </c>
      <c r="N101" s="65"/>
      <c r="O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 t="s">
        <v>679</v>
      </c>
      <c r="B102" s="12" t="s">
        <v>13</v>
      </c>
      <c r="C102" s="1" t="s">
        <v>26</v>
      </c>
      <c r="D102" s="11">
        <v>571120098</v>
      </c>
      <c r="E102" s="11">
        <v>2525789252</v>
      </c>
      <c r="F102" s="1" t="s">
        <v>5</v>
      </c>
      <c r="G102" s="4">
        <f>35283+(364+182)</f>
        <v>35829</v>
      </c>
      <c r="H102" s="67" t="str">
        <f t="shared" si="3"/>
        <v>Feb</v>
      </c>
      <c r="I102" s="9">
        <f t="shared" ca="1" si="4"/>
        <v>18</v>
      </c>
      <c r="J102" s="8" t="s">
        <v>32</v>
      </c>
      <c r="K102" s="7">
        <v>61030</v>
      </c>
      <c r="L102" s="6">
        <v>3</v>
      </c>
      <c r="M102" s="31">
        <f t="shared" si="5"/>
        <v>61030</v>
      </c>
      <c r="N102" s="69"/>
      <c r="O102" s="6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 t="s">
        <v>678</v>
      </c>
      <c r="B103" s="12" t="s">
        <v>39</v>
      </c>
      <c r="C103" s="1" t="s">
        <v>20</v>
      </c>
      <c r="D103" s="11">
        <v>661850671</v>
      </c>
      <c r="E103" s="11">
        <v>2528405900</v>
      </c>
      <c r="F103" s="1" t="s">
        <v>0</v>
      </c>
      <c r="G103" s="4">
        <f>35283+(364+182)</f>
        <v>35829</v>
      </c>
      <c r="H103" s="67" t="str">
        <f t="shared" si="3"/>
        <v>Feb</v>
      </c>
      <c r="I103" s="9">
        <f t="shared" ca="1" si="4"/>
        <v>18</v>
      </c>
      <c r="J103" s="8"/>
      <c r="K103" s="7">
        <v>29176</v>
      </c>
      <c r="L103" s="6">
        <v>3</v>
      </c>
      <c r="M103" s="31">
        <f t="shared" si="5"/>
        <v>29176</v>
      </c>
      <c r="N103" s="65"/>
      <c r="O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 t="s">
        <v>677</v>
      </c>
      <c r="B104" s="12" t="s">
        <v>2</v>
      </c>
      <c r="C104" s="1" t="s">
        <v>20</v>
      </c>
      <c r="D104" s="11">
        <v>881975933</v>
      </c>
      <c r="E104" s="11">
        <v>9192354572</v>
      </c>
      <c r="F104" s="1" t="s">
        <v>5</v>
      </c>
      <c r="G104" s="4">
        <f>35284+(364+182)</f>
        <v>35830</v>
      </c>
      <c r="H104" s="67" t="str">
        <f t="shared" si="3"/>
        <v>Feb</v>
      </c>
      <c r="I104" s="9">
        <f t="shared" ca="1" si="4"/>
        <v>18</v>
      </c>
      <c r="J104" s="8" t="s">
        <v>19</v>
      </c>
      <c r="K104" s="7">
        <v>35460</v>
      </c>
      <c r="L104" s="6">
        <v>5</v>
      </c>
      <c r="M104" s="31">
        <f t="shared" si="5"/>
        <v>35460</v>
      </c>
      <c r="N104" s="65"/>
      <c r="O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 t="s">
        <v>676</v>
      </c>
      <c r="B105" s="12" t="s">
        <v>17</v>
      </c>
      <c r="C105" s="1" t="s">
        <v>26</v>
      </c>
      <c r="D105" s="11">
        <v>639314672</v>
      </c>
      <c r="E105" s="11">
        <v>9191919478</v>
      </c>
      <c r="F105" s="1" t="s">
        <v>15</v>
      </c>
      <c r="G105" s="4">
        <f>35296+(364+182)</f>
        <v>35842</v>
      </c>
      <c r="H105" s="67" t="str">
        <f t="shared" si="3"/>
        <v>Feb</v>
      </c>
      <c r="I105" s="9">
        <f t="shared" ca="1" si="4"/>
        <v>18</v>
      </c>
      <c r="J105" s="8" t="s">
        <v>8</v>
      </c>
      <c r="K105" s="7">
        <v>23380</v>
      </c>
      <c r="L105" s="6">
        <v>4</v>
      </c>
      <c r="M105" s="31">
        <f t="shared" si="5"/>
        <v>23380</v>
      </c>
      <c r="N105" s="65"/>
      <c r="O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 t="s">
        <v>675</v>
      </c>
      <c r="B106" s="12" t="s">
        <v>10</v>
      </c>
      <c r="C106" s="1" t="s">
        <v>52</v>
      </c>
      <c r="D106" s="11">
        <v>619456809</v>
      </c>
      <c r="E106" s="11">
        <v>9196865606</v>
      </c>
      <c r="F106" s="1" t="s">
        <v>15</v>
      </c>
      <c r="G106" s="4">
        <f>35296+(364+182)</f>
        <v>35842</v>
      </c>
      <c r="H106" s="67" t="str">
        <f t="shared" si="3"/>
        <v>Feb</v>
      </c>
      <c r="I106" s="9">
        <f t="shared" ca="1" si="4"/>
        <v>18</v>
      </c>
      <c r="J106" s="8" t="s">
        <v>19</v>
      </c>
      <c r="K106" s="7">
        <v>39530</v>
      </c>
      <c r="L106" s="6">
        <v>5</v>
      </c>
      <c r="M106" s="31">
        <f t="shared" si="5"/>
        <v>39530</v>
      </c>
      <c r="N106" s="65"/>
      <c r="O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 t="s">
        <v>674</v>
      </c>
      <c r="B107" s="12" t="s">
        <v>17</v>
      </c>
      <c r="C107" s="1" t="s">
        <v>26</v>
      </c>
      <c r="D107" s="11">
        <v>981106829</v>
      </c>
      <c r="E107" s="11">
        <v>2526196095</v>
      </c>
      <c r="F107" s="1" t="s">
        <v>12</v>
      </c>
      <c r="G107" s="4">
        <f>35302+(364+182)</f>
        <v>35848</v>
      </c>
      <c r="H107" s="67" t="str">
        <f t="shared" si="3"/>
        <v>Feb</v>
      </c>
      <c r="I107" s="9">
        <f t="shared" ca="1" si="4"/>
        <v>18</v>
      </c>
      <c r="J107" s="8"/>
      <c r="K107" s="7">
        <v>85480</v>
      </c>
      <c r="L107" s="6">
        <v>5</v>
      </c>
      <c r="M107" s="31">
        <f t="shared" si="5"/>
        <v>85480</v>
      </c>
      <c r="N107" s="65"/>
      <c r="O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 t="s">
        <v>673</v>
      </c>
      <c r="B108" s="12" t="s">
        <v>39</v>
      </c>
      <c r="C108" s="1" t="s">
        <v>60</v>
      </c>
      <c r="D108" s="11">
        <v>259330447</v>
      </c>
      <c r="E108" s="11">
        <v>9195252544</v>
      </c>
      <c r="F108" s="1" t="s">
        <v>12</v>
      </c>
      <c r="G108" s="4">
        <f>35646+(364+182)</f>
        <v>36192</v>
      </c>
      <c r="H108" s="67" t="str">
        <f t="shared" si="3"/>
        <v>Feb</v>
      </c>
      <c r="I108" s="9">
        <f t="shared" ca="1" si="4"/>
        <v>17</v>
      </c>
      <c r="J108" s="8"/>
      <c r="K108" s="7">
        <v>47620</v>
      </c>
      <c r="L108" s="6">
        <v>5</v>
      </c>
      <c r="M108" s="31">
        <f t="shared" si="5"/>
        <v>47620</v>
      </c>
      <c r="N108" s="65"/>
      <c r="O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 t="s">
        <v>672</v>
      </c>
      <c r="B109" s="12" t="s">
        <v>39</v>
      </c>
      <c r="C109" s="1" t="s">
        <v>6</v>
      </c>
      <c r="D109" s="11">
        <v>247422007</v>
      </c>
      <c r="E109" s="11">
        <v>2528012440</v>
      </c>
      <c r="F109" s="1" t="s">
        <v>12</v>
      </c>
      <c r="G109" s="4">
        <f>35647+(364+182)</f>
        <v>36193</v>
      </c>
      <c r="H109" s="67" t="str">
        <f t="shared" si="3"/>
        <v>Feb</v>
      </c>
      <c r="I109" s="9">
        <f t="shared" ca="1" si="4"/>
        <v>17</v>
      </c>
      <c r="J109" s="8"/>
      <c r="K109" s="7">
        <v>58250</v>
      </c>
      <c r="L109" s="6">
        <v>2</v>
      </c>
      <c r="M109" s="31">
        <f t="shared" si="5"/>
        <v>58250</v>
      </c>
      <c r="N109" s="65"/>
      <c r="O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 t="s">
        <v>671</v>
      </c>
      <c r="B110" s="12" t="s">
        <v>17</v>
      </c>
      <c r="C110" s="1" t="s">
        <v>22</v>
      </c>
      <c r="D110" s="11">
        <v>978154935</v>
      </c>
      <c r="E110" s="11">
        <v>2521384592</v>
      </c>
      <c r="F110" s="1" t="s">
        <v>5</v>
      </c>
      <c r="G110" s="4">
        <f>35649+(364+182)</f>
        <v>36195</v>
      </c>
      <c r="H110" s="67" t="str">
        <f t="shared" si="3"/>
        <v>Feb</v>
      </c>
      <c r="I110" s="9">
        <f t="shared" ca="1" si="4"/>
        <v>17</v>
      </c>
      <c r="J110" s="8" t="s">
        <v>19</v>
      </c>
      <c r="K110" s="7">
        <v>46360</v>
      </c>
      <c r="L110" s="6">
        <v>5</v>
      </c>
      <c r="M110" s="31">
        <f t="shared" si="5"/>
        <v>46360</v>
      </c>
      <c r="N110" s="65"/>
      <c r="O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 t="s">
        <v>670</v>
      </c>
      <c r="B111" s="12" t="s">
        <v>17</v>
      </c>
      <c r="C111" s="1" t="s">
        <v>52</v>
      </c>
      <c r="D111" s="11">
        <v>718930584</v>
      </c>
      <c r="E111" s="11">
        <v>9195804771</v>
      </c>
      <c r="F111" s="1" t="s">
        <v>15</v>
      </c>
      <c r="G111" s="4">
        <f>35650+(364+182)</f>
        <v>36196</v>
      </c>
      <c r="H111" s="67" t="str">
        <f t="shared" si="3"/>
        <v>Feb</v>
      </c>
      <c r="I111" s="9">
        <f t="shared" ca="1" si="4"/>
        <v>17</v>
      </c>
      <c r="J111" s="8" t="s">
        <v>32</v>
      </c>
      <c r="K111" s="7">
        <v>34980</v>
      </c>
      <c r="L111" s="6">
        <v>2</v>
      </c>
      <c r="M111" s="31">
        <f t="shared" si="5"/>
        <v>34980</v>
      </c>
      <c r="N111" s="65"/>
      <c r="O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 t="s">
        <v>669</v>
      </c>
      <c r="B112" s="12" t="s">
        <v>56</v>
      </c>
      <c r="C112" s="1" t="s">
        <v>20</v>
      </c>
      <c r="D112" s="11">
        <v>923123594</v>
      </c>
      <c r="E112" s="11">
        <v>2528669137</v>
      </c>
      <c r="F112" s="1" t="s">
        <v>5</v>
      </c>
      <c r="G112" s="4">
        <f>35652+(364+182)</f>
        <v>36198</v>
      </c>
      <c r="H112" s="67" t="str">
        <f t="shared" si="3"/>
        <v>Feb</v>
      </c>
      <c r="I112" s="9">
        <f t="shared" ca="1" si="4"/>
        <v>17</v>
      </c>
      <c r="J112" s="8" t="s">
        <v>8</v>
      </c>
      <c r="K112" s="7">
        <v>81400</v>
      </c>
      <c r="L112" s="6">
        <v>2</v>
      </c>
      <c r="M112" s="31">
        <f t="shared" si="5"/>
        <v>81400</v>
      </c>
      <c r="N112" s="65"/>
      <c r="O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 t="s">
        <v>668</v>
      </c>
      <c r="B113" s="12" t="s">
        <v>56</v>
      </c>
      <c r="C113" s="1" t="s">
        <v>60</v>
      </c>
      <c r="D113" s="11">
        <v>345817459</v>
      </c>
      <c r="E113" s="11">
        <v>9195594427</v>
      </c>
      <c r="F113" s="1" t="s">
        <v>12</v>
      </c>
      <c r="G113" s="4">
        <f>35653+(364+182)</f>
        <v>36199</v>
      </c>
      <c r="H113" s="67" t="str">
        <f t="shared" si="3"/>
        <v>Feb</v>
      </c>
      <c r="I113" s="9">
        <f t="shared" ca="1" si="4"/>
        <v>17</v>
      </c>
      <c r="J113" s="8"/>
      <c r="K113" s="7">
        <v>31270</v>
      </c>
      <c r="L113" s="6">
        <v>5</v>
      </c>
      <c r="M113" s="31">
        <f t="shared" si="5"/>
        <v>31270</v>
      </c>
      <c r="N113" s="65"/>
      <c r="O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 t="s">
        <v>667</v>
      </c>
      <c r="B114" s="12" t="s">
        <v>13</v>
      </c>
      <c r="C114" s="1" t="s">
        <v>125</v>
      </c>
      <c r="D114" s="11">
        <v>533976888</v>
      </c>
      <c r="E114" s="11">
        <v>9192572783</v>
      </c>
      <c r="F114" s="1" t="s">
        <v>5</v>
      </c>
      <c r="G114" s="4">
        <f>35668+(364+182)</f>
        <v>36214</v>
      </c>
      <c r="H114" s="67" t="str">
        <f t="shared" si="3"/>
        <v>Feb</v>
      </c>
      <c r="I114" s="9">
        <f t="shared" ca="1" si="4"/>
        <v>17</v>
      </c>
      <c r="J114" s="8" t="s">
        <v>8</v>
      </c>
      <c r="K114" s="7">
        <v>47850</v>
      </c>
      <c r="L114" s="6">
        <v>1</v>
      </c>
      <c r="M114" s="31">
        <f t="shared" si="5"/>
        <v>47850</v>
      </c>
      <c r="N114" s="65"/>
      <c r="O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 t="s">
        <v>666</v>
      </c>
      <c r="B115" s="12" t="s">
        <v>13</v>
      </c>
      <c r="C115" s="1" t="s">
        <v>52</v>
      </c>
      <c r="D115" s="11">
        <v>351003584</v>
      </c>
      <c r="E115" s="11">
        <v>2524269081</v>
      </c>
      <c r="F115" s="1" t="s">
        <v>12</v>
      </c>
      <c r="G115" s="4">
        <f>35668+(364+182)</f>
        <v>36214</v>
      </c>
      <c r="H115" s="67" t="str">
        <f t="shared" si="3"/>
        <v>Feb</v>
      </c>
      <c r="I115" s="9">
        <f t="shared" ca="1" si="4"/>
        <v>17</v>
      </c>
      <c r="J115" s="8"/>
      <c r="K115" s="7">
        <v>53310</v>
      </c>
      <c r="L115" s="6">
        <v>5</v>
      </c>
      <c r="M115" s="31">
        <f t="shared" si="5"/>
        <v>53310</v>
      </c>
      <c r="N115" s="65"/>
      <c r="O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4" t="s">
        <v>665</v>
      </c>
      <c r="B116" s="12" t="s">
        <v>56</v>
      </c>
      <c r="C116" s="14" t="s">
        <v>37</v>
      </c>
      <c r="D116" s="15">
        <v>356110882</v>
      </c>
      <c r="E116" s="15">
        <v>2527936742</v>
      </c>
      <c r="F116" s="14" t="s">
        <v>15</v>
      </c>
      <c r="G116" s="10">
        <f>35671+(364+182)</f>
        <v>36217</v>
      </c>
      <c r="H116" s="67" t="str">
        <f t="shared" si="3"/>
        <v>Feb</v>
      </c>
      <c r="I116" s="9">
        <f t="shared" ca="1" si="4"/>
        <v>17</v>
      </c>
      <c r="J116" s="8" t="s">
        <v>32</v>
      </c>
      <c r="K116" s="7">
        <v>15240</v>
      </c>
      <c r="L116" s="6">
        <v>1</v>
      </c>
      <c r="M116" s="31">
        <f t="shared" si="5"/>
        <v>15240</v>
      </c>
      <c r="N116" s="65"/>
      <c r="O116" s="68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 t="s">
        <v>664</v>
      </c>
      <c r="B117" s="12" t="s">
        <v>10</v>
      </c>
      <c r="C117" s="1" t="s">
        <v>22</v>
      </c>
      <c r="D117" s="11">
        <v>369210573</v>
      </c>
      <c r="E117" s="11">
        <v>2526555049</v>
      </c>
      <c r="F117" s="1" t="s">
        <v>15</v>
      </c>
      <c r="G117" s="4">
        <f>35671+(364+182)</f>
        <v>36217</v>
      </c>
      <c r="H117" s="67" t="str">
        <f t="shared" si="3"/>
        <v>Feb</v>
      </c>
      <c r="I117" s="9">
        <f t="shared" ca="1" si="4"/>
        <v>17</v>
      </c>
      <c r="J117" s="8" t="s">
        <v>4</v>
      </c>
      <c r="K117" s="7">
        <v>22475</v>
      </c>
      <c r="L117" s="6">
        <v>4</v>
      </c>
      <c r="M117" s="31">
        <f t="shared" si="5"/>
        <v>22475</v>
      </c>
      <c r="N117" s="65"/>
      <c r="O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 t="s">
        <v>663</v>
      </c>
      <c r="B118" s="12" t="s">
        <v>2</v>
      </c>
      <c r="C118" s="1" t="s">
        <v>52</v>
      </c>
      <c r="D118" s="11">
        <v>733881041</v>
      </c>
      <c r="E118" s="11">
        <v>2524072342</v>
      </c>
      <c r="F118" s="1" t="s">
        <v>0</v>
      </c>
      <c r="G118" s="4">
        <f>36011+(364+182)</f>
        <v>36557</v>
      </c>
      <c r="H118" s="67" t="str">
        <f t="shared" si="3"/>
        <v>Feb</v>
      </c>
      <c r="I118" s="9">
        <f t="shared" ca="1" si="4"/>
        <v>16</v>
      </c>
      <c r="J118" s="8"/>
      <c r="K118" s="7">
        <v>15552</v>
      </c>
      <c r="L118" s="6">
        <v>4</v>
      </c>
      <c r="M118" s="31">
        <f t="shared" si="5"/>
        <v>15552</v>
      </c>
      <c r="N118" s="65"/>
      <c r="O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 t="s">
        <v>662</v>
      </c>
      <c r="B119" s="12" t="s">
        <v>2</v>
      </c>
      <c r="C119" s="1" t="s">
        <v>1</v>
      </c>
      <c r="D119" s="11">
        <v>495372474</v>
      </c>
      <c r="E119" s="11">
        <v>9194137278</v>
      </c>
      <c r="F119" s="1" t="s">
        <v>15</v>
      </c>
      <c r="G119" s="4">
        <f>36011+(364+182)</f>
        <v>36557</v>
      </c>
      <c r="H119" s="67" t="str">
        <f t="shared" si="3"/>
        <v>Feb</v>
      </c>
      <c r="I119" s="9">
        <f t="shared" ca="1" si="4"/>
        <v>16</v>
      </c>
      <c r="J119" s="8" t="s">
        <v>32</v>
      </c>
      <c r="K119" s="7">
        <v>31250</v>
      </c>
      <c r="L119" s="6">
        <v>2</v>
      </c>
      <c r="M119" s="31">
        <f t="shared" si="5"/>
        <v>31250</v>
      </c>
      <c r="N119" s="65"/>
      <c r="O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 t="s">
        <v>661</v>
      </c>
      <c r="B120" s="12" t="s">
        <v>10</v>
      </c>
      <c r="C120" s="1" t="s">
        <v>9</v>
      </c>
      <c r="D120" s="11">
        <v>665006199</v>
      </c>
      <c r="E120" s="11">
        <v>2525555817</v>
      </c>
      <c r="F120" s="1" t="s">
        <v>5</v>
      </c>
      <c r="G120" s="4">
        <f>36021+(364+182)</f>
        <v>36567</v>
      </c>
      <c r="H120" s="67" t="str">
        <f t="shared" si="3"/>
        <v>Feb</v>
      </c>
      <c r="I120" s="9">
        <f t="shared" ca="1" si="4"/>
        <v>16</v>
      </c>
      <c r="J120" s="8" t="s">
        <v>8</v>
      </c>
      <c r="K120" s="7">
        <v>45450</v>
      </c>
      <c r="L120" s="6">
        <v>5</v>
      </c>
      <c r="M120" s="31">
        <f t="shared" si="5"/>
        <v>45450</v>
      </c>
      <c r="N120" s="65"/>
      <c r="O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 t="s">
        <v>660</v>
      </c>
      <c r="B121" s="12" t="s">
        <v>39</v>
      </c>
      <c r="C121" s="1" t="s">
        <v>247</v>
      </c>
      <c r="D121" s="11">
        <v>885773638</v>
      </c>
      <c r="E121" s="11">
        <v>9196188082</v>
      </c>
      <c r="F121" s="1" t="s">
        <v>5</v>
      </c>
      <c r="G121" s="4">
        <f>36023+(364+182)</f>
        <v>36569</v>
      </c>
      <c r="H121" s="67" t="str">
        <f t="shared" si="3"/>
        <v>Feb</v>
      </c>
      <c r="I121" s="9">
        <f t="shared" ca="1" si="4"/>
        <v>16</v>
      </c>
      <c r="J121" s="8" t="s">
        <v>4</v>
      </c>
      <c r="K121" s="7">
        <v>75060</v>
      </c>
      <c r="L121" s="6">
        <v>5</v>
      </c>
      <c r="M121" s="31">
        <f t="shared" si="5"/>
        <v>75060</v>
      </c>
      <c r="N121" s="65"/>
      <c r="O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 t="s">
        <v>659</v>
      </c>
      <c r="B122" s="12" t="s">
        <v>39</v>
      </c>
      <c r="C122" s="1" t="s">
        <v>60</v>
      </c>
      <c r="D122" s="11">
        <v>662247915</v>
      </c>
      <c r="E122" s="11">
        <v>9194378387</v>
      </c>
      <c r="F122" s="1" t="s">
        <v>5</v>
      </c>
      <c r="G122" s="4">
        <f>36394+(364+182)</f>
        <v>36940</v>
      </c>
      <c r="H122" s="67" t="str">
        <f t="shared" si="3"/>
        <v>Feb</v>
      </c>
      <c r="I122" s="9">
        <f t="shared" ca="1" si="4"/>
        <v>15</v>
      </c>
      <c r="J122" s="8" t="s">
        <v>32</v>
      </c>
      <c r="K122" s="7">
        <v>48990</v>
      </c>
      <c r="L122" s="6">
        <v>5</v>
      </c>
      <c r="M122" s="31">
        <f t="shared" si="5"/>
        <v>48990</v>
      </c>
      <c r="N122" s="65"/>
      <c r="O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 t="s">
        <v>658</v>
      </c>
      <c r="B123" s="12" t="s">
        <v>17</v>
      </c>
      <c r="C123" s="1" t="s">
        <v>72</v>
      </c>
      <c r="D123" s="11">
        <v>625531462</v>
      </c>
      <c r="E123" s="11">
        <v>2527553017</v>
      </c>
      <c r="F123" s="1" t="s">
        <v>5</v>
      </c>
      <c r="G123" s="4">
        <f>36742+(364+182)</f>
        <v>37288</v>
      </c>
      <c r="H123" s="67" t="str">
        <f t="shared" si="3"/>
        <v>Feb</v>
      </c>
      <c r="I123" s="9">
        <f t="shared" ca="1" si="4"/>
        <v>14</v>
      </c>
      <c r="J123" s="8" t="s">
        <v>32</v>
      </c>
      <c r="K123" s="7">
        <v>42480</v>
      </c>
      <c r="L123" s="6">
        <v>3</v>
      </c>
      <c r="M123" s="31">
        <f t="shared" si="5"/>
        <v>42480</v>
      </c>
      <c r="N123" s="65"/>
      <c r="O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 t="s">
        <v>657</v>
      </c>
      <c r="B124" s="12" t="s">
        <v>10</v>
      </c>
      <c r="C124" s="1" t="s">
        <v>44</v>
      </c>
      <c r="D124" s="11">
        <v>581823751</v>
      </c>
      <c r="E124" s="11">
        <v>2528577225</v>
      </c>
      <c r="F124" s="1" t="s">
        <v>12</v>
      </c>
      <c r="G124" s="4">
        <f>37121+(364+182)</f>
        <v>37667</v>
      </c>
      <c r="H124" s="67" t="str">
        <f t="shared" si="3"/>
        <v>Feb</v>
      </c>
      <c r="I124" s="9">
        <f t="shared" ca="1" si="4"/>
        <v>13</v>
      </c>
      <c r="J124" s="8"/>
      <c r="K124" s="7">
        <v>73390</v>
      </c>
      <c r="L124" s="6">
        <v>2</v>
      </c>
      <c r="M124" s="31">
        <f t="shared" si="5"/>
        <v>73390</v>
      </c>
      <c r="N124" s="65"/>
      <c r="O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 t="s">
        <v>656</v>
      </c>
      <c r="B125" s="12" t="s">
        <v>56</v>
      </c>
      <c r="C125" s="1" t="s">
        <v>52</v>
      </c>
      <c r="D125" s="11">
        <v>626501093</v>
      </c>
      <c r="E125" s="11">
        <v>9192822520</v>
      </c>
      <c r="F125" s="1" t="s">
        <v>12</v>
      </c>
      <c r="G125" s="4">
        <f>37481+(364+182)</f>
        <v>38027</v>
      </c>
      <c r="H125" s="67" t="str">
        <f t="shared" si="3"/>
        <v>Feb</v>
      </c>
      <c r="I125" s="9">
        <f t="shared" ca="1" si="4"/>
        <v>12</v>
      </c>
      <c r="J125" s="8"/>
      <c r="K125" s="7">
        <v>64590</v>
      </c>
      <c r="L125" s="6">
        <v>1</v>
      </c>
      <c r="M125" s="31">
        <f t="shared" si="5"/>
        <v>64590</v>
      </c>
      <c r="N125" s="65"/>
      <c r="O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 t="s">
        <v>655</v>
      </c>
      <c r="B126" s="12" t="s">
        <v>13</v>
      </c>
      <c r="C126" s="1" t="s">
        <v>20</v>
      </c>
      <c r="D126" s="11">
        <v>337370590</v>
      </c>
      <c r="E126" s="11">
        <v>9197046530</v>
      </c>
      <c r="F126" s="1" t="s">
        <v>12</v>
      </c>
      <c r="G126" s="4">
        <f>37498+(364+182)</f>
        <v>38044</v>
      </c>
      <c r="H126" s="67" t="str">
        <f t="shared" si="3"/>
        <v>Feb</v>
      </c>
      <c r="I126" s="9">
        <f t="shared" ca="1" si="4"/>
        <v>12</v>
      </c>
      <c r="J126" s="8"/>
      <c r="K126" s="7">
        <v>57410</v>
      </c>
      <c r="L126" s="6">
        <v>2</v>
      </c>
      <c r="M126" s="31">
        <f t="shared" si="5"/>
        <v>57410</v>
      </c>
      <c r="N126" s="65"/>
      <c r="O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 t="s">
        <v>654</v>
      </c>
      <c r="B127" s="12" t="s">
        <v>17</v>
      </c>
      <c r="C127" s="1" t="s">
        <v>84</v>
      </c>
      <c r="D127" s="11">
        <v>759350847</v>
      </c>
      <c r="E127" s="11">
        <v>2527474942</v>
      </c>
      <c r="F127" s="1" t="s">
        <v>5</v>
      </c>
      <c r="G127" s="4">
        <f>37851+(364+182)</f>
        <v>38397</v>
      </c>
      <c r="H127" s="67" t="str">
        <f t="shared" si="3"/>
        <v>Feb</v>
      </c>
      <c r="I127" s="9">
        <f t="shared" ca="1" si="4"/>
        <v>11</v>
      </c>
      <c r="J127" s="8" t="s">
        <v>32</v>
      </c>
      <c r="K127" s="7">
        <v>36630</v>
      </c>
      <c r="L127" s="6">
        <v>4</v>
      </c>
      <c r="M127" s="31">
        <f t="shared" si="5"/>
        <v>36630</v>
      </c>
      <c r="N127" s="65"/>
      <c r="O127" s="1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 t="s">
        <v>653</v>
      </c>
      <c r="B128" s="12" t="s">
        <v>13</v>
      </c>
      <c r="C128" s="1" t="s">
        <v>72</v>
      </c>
      <c r="D128" s="11">
        <v>659929807</v>
      </c>
      <c r="E128" s="11">
        <v>9193089561</v>
      </c>
      <c r="F128" s="1" t="s">
        <v>5</v>
      </c>
      <c r="G128" s="4">
        <f>38207+(364+182)</f>
        <v>38753</v>
      </c>
      <c r="H128" s="67" t="str">
        <f t="shared" si="3"/>
        <v>Feb</v>
      </c>
      <c r="I128" s="9">
        <f t="shared" ca="1" si="4"/>
        <v>10</v>
      </c>
      <c r="J128" s="8" t="s">
        <v>32</v>
      </c>
      <c r="K128" s="7">
        <v>22410</v>
      </c>
      <c r="L128" s="6">
        <v>4</v>
      </c>
      <c r="M128" s="31">
        <f t="shared" si="5"/>
        <v>22410</v>
      </c>
      <c r="N128" s="65"/>
      <c r="O128" s="1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 t="s">
        <v>652</v>
      </c>
      <c r="B129" s="12" t="s">
        <v>13</v>
      </c>
      <c r="C129" s="1" t="s">
        <v>84</v>
      </c>
      <c r="D129" s="11">
        <v>920505896</v>
      </c>
      <c r="E129" s="11">
        <v>2523173691</v>
      </c>
      <c r="F129" s="1" t="s">
        <v>12</v>
      </c>
      <c r="G129" s="4">
        <f>38209+(364+182)</f>
        <v>38755</v>
      </c>
      <c r="H129" s="67" t="str">
        <f t="shared" si="3"/>
        <v>Feb</v>
      </c>
      <c r="I129" s="9">
        <f t="shared" ca="1" si="4"/>
        <v>10</v>
      </c>
      <c r="J129" s="8"/>
      <c r="K129" s="7">
        <v>78860</v>
      </c>
      <c r="L129" s="6">
        <v>2</v>
      </c>
      <c r="M129" s="31">
        <f t="shared" si="5"/>
        <v>78860</v>
      </c>
      <c r="N129" s="65"/>
      <c r="O129" s="1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 t="s">
        <v>651</v>
      </c>
      <c r="B130" s="12" t="s">
        <v>13</v>
      </c>
      <c r="C130" s="1" t="s">
        <v>22</v>
      </c>
      <c r="D130" s="11">
        <v>765512793</v>
      </c>
      <c r="E130" s="11">
        <v>9197686976</v>
      </c>
      <c r="F130" s="1" t="s">
        <v>5</v>
      </c>
      <c r="G130" s="4">
        <f>39318+(364+182)</f>
        <v>39864</v>
      </c>
      <c r="H130" s="67" t="str">
        <f t="shared" si="3"/>
        <v>Feb</v>
      </c>
      <c r="I130" s="9">
        <f t="shared" ca="1" si="4"/>
        <v>7</v>
      </c>
      <c r="J130" s="8" t="s">
        <v>32</v>
      </c>
      <c r="K130" s="7">
        <v>64320</v>
      </c>
      <c r="L130" s="6">
        <v>5</v>
      </c>
      <c r="M130" s="31">
        <f t="shared" si="5"/>
        <v>64320</v>
      </c>
      <c r="N130" s="65"/>
      <c r="O130" s="1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 t="s">
        <v>650</v>
      </c>
      <c r="B131" s="12" t="s">
        <v>39</v>
      </c>
      <c r="C131" s="1" t="s">
        <v>60</v>
      </c>
      <c r="D131" s="11">
        <v>132016163</v>
      </c>
      <c r="E131" s="11">
        <v>2527726916</v>
      </c>
      <c r="F131" s="1" t="s">
        <v>15</v>
      </c>
      <c r="G131" s="4">
        <f>39325+(364+182)</f>
        <v>39871</v>
      </c>
      <c r="H131" s="67" t="str">
        <f t="shared" ref="H131:H194" si="6">CHOOSE(MONTH(G131),"Jan","Feb","Mar","Apr","May","Jun","Jul","Aug","Sep","Oct","Nov","Dec")</f>
        <v>Feb</v>
      </c>
      <c r="I131" s="9">
        <f t="shared" ref="I131:I194" ca="1" si="7">DATEDIF(G131,TODAY(),"Y")</f>
        <v>7</v>
      </c>
      <c r="J131" s="8" t="s">
        <v>19</v>
      </c>
      <c r="K131" s="7">
        <v>38575</v>
      </c>
      <c r="L131" s="6">
        <v>2</v>
      </c>
      <c r="M131" s="31">
        <f t="shared" ref="M131:M194" si="8">ROUND(K131*P129+K131,0)</f>
        <v>38575</v>
      </c>
      <c r="N131" s="65"/>
      <c r="O131" s="1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 t="s">
        <v>649</v>
      </c>
      <c r="B132" s="12" t="s">
        <v>13</v>
      </c>
      <c r="C132" s="1" t="s">
        <v>6</v>
      </c>
      <c r="D132" s="11">
        <v>794814501</v>
      </c>
      <c r="E132" s="11">
        <v>2525604891</v>
      </c>
      <c r="F132" s="1" t="s">
        <v>12</v>
      </c>
      <c r="G132" s="4">
        <f>39689+(364+182)</f>
        <v>40235</v>
      </c>
      <c r="H132" s="67" t="str">
        <f t="shared" si="6"/>
        <v>Feb</v>
      </c>
      <c r="I132" s="9">
        <f t="shared" ca="1" si="7"/>
        <v>6</v>
      </c>
      <c r="J132" s="8"/>
      <c r="K132" s="7">
        <v>80729</v>
      </c>
      <c r="L132" s="6">
        <v>3</v>
      </c>
      <c r="M132" s="31">
        <f t="shared" si="8"/>
        <v>80729</v>
      </c>
      <c r="N132" s="65"/>
      <c r="O132" s="1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 t="s">
        <v>648</v>
      </c>
      <c r="B133" s="12" t="s">
        <v>17</v>
      </c>
      <c r="C133" s="1" t="s">
        <v>72</v>
      </c>
      <c r="D133" s="11">
        <v>232896341</v>
      </c>
      <c r="E133" s="11">
        <v>9197288082</v>
      </c>
      <c r="F133" s="1" t="s">
        <v>12</v>
      </c>
      <c r="G133" s="13">
        <f>39690+(364+182)</f>
        <v>40236</v>
      </c>
      <c r="H133" s="67" t="str">
        <f t="shared" si="6"/>
        <v>Feb</v>
      </c>
      <c r="I133" s="9">
        <f t="shared" ca="1" si="7"/>
        <v>6</v>
      </c>
      <c r="J133" s="8"/>
      <c r="K133" s="7">
        <v>45830</v>
      </c>
      <c r="L133" s="6">
        <v>4</v>
      </c>
      <c r="M133" s="31">
        <f t="shared" si="8"/>
        <v>45830</v>
      </c>
      <c r="N133" s="65"/>
      <c r="O133" s="1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 t="s">
        <v>647</v>
      </c>
      <c r="B134" s="12" t="s">
        <v>56</v>
      </c>
      <c r="C134" s="1" t="s">
        <v>26</v>
      </c>
      <c r="D134" s="11">
        <v>877122222</v>
      </c>
      <c r="E134" s="11">
        <v>9195511103</v>
      </c>
      <c r="F134" s="1" t="s">
        <v>5</v>
      </c>
      <c r="G134" s="4">
        <f>40029+(364+182)</f>
        <v>40575</v>
      </c>
      <c r="H134" s="67" t="str">
        <f t="shared" si="6"/>
        <v>Feb</v>
      </c>
      <c r="I134" s="9">
        <f t="shared" ca="1" si="7"/>
        <v>5</v>
      </c>
      <c r="J134" s="8" t="s">
        <v>8</v>
      </c>
      <c r="K134" s="7">
        <v>74710</v>
      </c>
      <c r="L134" s="6">
        <v>2</v>
      </c>
      <c r="M134" s="31">
        <f t="shared" si="8"/>
        <v>74710</v>
      </c>
      <c r="N134" s="65"/>
      <c r="O134" s="1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 t="s">
        <v>646</v>
      </c>
      <c r="B135" s="12" t="s">
        <v>39</v>
      </c>
      <c r="C135" s="1" t="s">
        <v>20</v>
      </c>
      <c r="D135" s="11">
        <v>466947318</v>
      </c>
      <c r="E135" s="11">
        <v>9191765611</v>
      </c>
      <c r="F135" s="1" t="s">
        <v>5</v>
      </c>
      <c r="G135" s="4">
        <f>40032+(364+182)</f>
        <v>40578</v>
      </c>
      <c r="H135" s="67" t="str">
        <f t="shared" si="6"/>
        <v>Feb</v>
      </c>
      <c r="I135" s="9">
        <f t="shared" ca="1" si="7"/>
        <v>5</v>
      </c>
      <c r="J135" s="8" t="s">
        <v>32</v>
      </c>
      <c r="K135" s="7">
        <v>43820</v>
      </c>
      <c r="L135" s="6">
        <v>2</v>
      </c>
      <c r="M135" s="31">
        <f t="shared" si="8"/>
        <v>43820</v>
      </c>
      <c r="N135" s="65"/>
      <c r="O135" s="1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 t="s">
        <v>645</v>
      </c>
      <c r="B136" s="12" t="s">
        <v>13</v>
      </c>
      <c r="C136" s="1" t="s">
        <v>52</v>
      </c>
      <c r="D136" s="11">
        <v>323701315</v>
      </c>
      <c r="E136" s="11">
        <v>9194479196</v>
      </c>
      <c r="F136" s="1" t="s">
        <v>5</v>
      </c>
      <c r="G136" s="4">
        <f>40035+(364+182)</f>
        <v>40581</v>
      </c>
      <c r="H136" s="67" t="str">
        <f t="shared" si="6"/>
        <v>Feb</v>
      </c>
      <c r="I136" s="9">
        <f t="shared" ca="1" si="7"/>
        <v>5</v>
      </c>
      <c r="J136" s="8" t="s">
        <v>19</v>
      </c>
      <c r="K136" s="7">
        <v>80260</v>
      </c>
      <c r="L136" s="6">
        <v>3</v>
      </c>
      <c r="M136" s="31">
        <f t="shared" si="8"/>
        <v>80260</v>
      </c>
      <c r="N136" s="65"/>
      <c r="O136" s="1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 t="s">
        <v>644</v>
      </c>
      <c r="B137" s="12" t="s">
        <v>13</v>
      </c>
      <c r="C137" s="1" t="s">
        <v>26</v>
      </c>
      <c r="D137" s="11">
        <v>129397083</v>
      </c>
      <c r="E137" s="11">
        <v>2521391475</v>
      </c>
      <c r="F137" s="1" t="s">
        <v>5</v>
      </c>
      <c r="G137" s="4">
        <f>40050+(364+182)</f>
        <v>40596</v>
      </c>
      <c r="H137" s="67" t="str">
        <f t="shared" si="6"/>
        <v>Feb</v>
      </c>
      <c r="I137" s="9">
        <f t="shared" ca="1" si="7"/>
        <v>5</v>
      </c>
      <c r="J137" s="8" t="s">
        <v>19</v>
      </c>
      <c r="K137" s="7">
        <v>68910</v>
      </c>
      <c r="L137" s="6">
        <v>5</v>
      </c>
      <c r="M137" s="31">
        <f t="shared" si="8"/>
        <v>68910</v>
      </c>
      <c r="N137" s="65"/>
      <c r="O137" s="1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 t="s">
        <v>643</v>
      </c>
      <c r="B138" s="12" t="s">
        <v>13</v>
      </c>
      <c r="C138" s="1" t="s">
        <v>60</v>
      </c>
      <c r="D138" s="11">
        <v>643272576</v>
      </c>
      <c r="E138" s="11">
        <v>2522256131</v>
      </c>
      <c r="F138" s="1" t="s">
        <v>0</v>
      </c>
      <c r="G138" s="4">
        <f>32759+(364+182)</f>
        <v>33305</v>
      </c>
      <c r="H138" s="67" t="str">
        <f t="shared" si="6"/>
        <v>Mar</v>
      </c>
      <c r="I138" s="9">
        <f t="shared" ca="1" si="7"/>
        <v>25</v>
      </c>
      <c r="J138" s="8"/>
      <c r="K138" s="7">
        <v>36844</v>
      </c>
      <c r="L138" s="6">
        <v>4</v>
      </c>
      <c r="M138" s="31">
        <f t="shared" si="8"/>
        <v>36844</v>
      </c>
      <c r="N138" s="65"/>
      <c r="O138" s="1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 t="s">
        <v>642</v>
      </c>
      <c r="B139" s="12" t="s">
        <v>17</v>
      </c>
      <c r="C139" s="1" t="s">
        <v>60</v>
      </c>
      <c r="D139" s="11">
        <v>555025137</v>
      </c>
      <c r="E139" s="11">
        <v>2526565171</v>
      </c>
      <c r="F139" s="1" t="s">
        <v>15</v>
      </c>
      <c r="G139" s="4">
        <f>32773+(364+182)</f>
        <v>33319</v>
      </c>
      <c r="H139" s="67" t="str">
        <f t="shared" si="6"/>
        <v>Mar</v>
      </c>
      <c r="I139" s="9">
        <f t="shared" ca="1" si="7"/>
        <v>25</v>
      </c>
      <c r="J139" s="8" t="s">
        <v>19</v>
      </c>
      <c r="K139" s="7">
        <v>13090</v>
      </c>
      <c r="L139" s="6">
        <v>4</v>
      </c>
      <c r="M139" s="31">
        <f t="shared" si="8"/>
        <v>13090</v>
      </c>
      <c r="N139" s="65"/>
      <c r="O139" s="1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 t="s">
        <v>641</v>
      </c>
      <c r="B140" s="12" t="s">
        <v>17</v>
      </c>
      <c r="C140" s="1" t="s">
        <v>74</v>
      </c>
      <c r="D140" s="11">
        <v>967826310</v>
      </c>
      <c r="E140" s="11">
        <v>9196100410</v>
      </c>
      <c r="F140" s="1" t="s">
        <v>5</v>
      </c>
      <c r="G140" s="4">
        <f>32774+(364+182)</f>
        <v>33320</v>
      </c>
      <c r="H140" s="67" t="str">
        <f t="shared" si="6"/>
        <v>Mar</v>
      </c>
      <c r="I140" s="9">
        <f t="shared" ca="1" si="7"/>
        <v>25</v>
      </c>
      <c r="J140" s="8" t="s">
        <v>8</v>
      </c>
      <c r="K140" s="7">
        <v>35320</v>
      </c>
      <c r="L140" s="6">
        <v>3</v>
      </c>
      <c r="M140" s="31">
        <f t="shared" si="8"/>
        <v>35320</v>
      </c>
      <c r="N140" s="65"/>
      <c r="O140" s="1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 t="s">
        <v>640</v>
      </c>
      <c r="B141" s="12" t="s">
        <v>39</v>
      </c>
      <c r="C141" s="1" t="s">
        <v>22</v>
      </c>
      <c r="D141" s="11">
        <v>378882665</v>
      </c>
      <c r="E141" s="11">
        <v>2526079829</v>
      </c>
      <c r="F141" s="1" t="s">
        <v>15</v>
      </c>
      <c r="G141" s="4">
        <f>33125+(364+182)</f>
        <v>33671</v>
      </c>
      <c r="H141" s="67" t="str">
        <f t="shared" si="6"/>
        <v>Mar</v>
      </c>
      <c r="I141" s="9">
        <f t="shared" ca="1" si="7"/>
        <v>24</v>
      </c>
      <c r="J141" s="8" t="s">
        <v>32</v>
      </c>
      <c r="K141" s="7">
        <v>46380</v>
      </c>
      <c r="L141" s="6">
        <v>3</v>
      </c>
      <c r="M141" s="31">
        <f t="shared" si="8"/>
        <v>46380</v>
      </c>
      <c r="N141" s="65"/>
      <c r="O141" s="1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 t="s">
        <v>639</v>
      </c>
      <c r="B142" s="12" t="s">
        <v>56</v>
      </c>
      <c r="C142" s="1" t="s">
        <v>26</v>
      </c>
      <c r="D142" s="11">
        <v>403504590</v>
      </c>
      <c r="E142" s="11">
        <v>9192400511</v>
      </c>
      <c r="F142" s="1" t="s">
        <v>12</v>
      </c>
      <c r="G142" s="4">
        <f>33132+(364+182)</f>
        <v>33678</v>
      </c>
      <c r="H142" s="67" t="str">
        <f t="shared" si="6"/>
        <v>Mar</v>
      </c>
      <c r="I142" s="9">
        <f t="shared" ca="1" si="7"/>
        <v>24</v>
      </c>
      <c r="J142" s="8"/>
      <c r="K142" s="7">
        <v>64460</v>
      </c>
      <c r="L142" s="6">
        <v>1</v>
      </c>
      <c r="M142" s="31">
        <f t="shared" si="8"/>
        <v>64460</v>
      </c>
      <c r="N142" s="65"/>
      <c r="O142" s="1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 t="s">
        <v>638</v>
      </c>
      <c r="B143" s="12" t="s">
        <v>13</v>
      </c>
      <c r="C143" s="1" t="s">
        <v>6</v>
      </c>
      <c r="D143" s="11">
        <v>283476654</v>
      </c>
      <c r="E143" s="11">
        <v>9197049910</v>
      </c>
      <c r="F143" s="1" t="s">
        <v>5</v>
      </c>
      <c r="G143" s="4">
        <f>33135+(364+182)</f>
        <v>33681</v>
      </c>
      <c r="H143" s="67" t="str">
        <f t="shared" si="6"/>
        <v>Mar</v>
      </c>
      <c r="I143" s="9">
        <f t="shared" ca="1" si="7"/>
        <v>24</v>
      </c>
      <c r="J143" s="8" t="s">
        <v>34</v>
      </c>
      <c r="K143" s="7">
        <v>46550</v>
      </c>
      <c r="L143" s="6">
        <v>4</v>
      </c>
      <c r="M143" s="31">
        <f t="shared" si="8"/>
        <v>46550</v>
      </c>
      <c r="N143" s="65"/>
      <c r="O143" s="1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 t="s">
        <v>637</v>
      </c>
      <c r="B144" s="12" t="s">
        <v>13</v>
      </c>
      <c r="C144" s="1" t="s">
        <v>52</v>
      </c>
      <c r="D144" s="11">
        <v>622200296</v>
      </c>
      <c r="E144" s="11">
        <v>2526306545</v>
      </c>
      <c r="F144" s="1" t="s">
        <v>5</v>
      </c>
      <c r="G144" s="4">
        <f>33139+(364+182)</f>
        <v>33685</v>
      </c>
      <c r="H144" s="67" t="str">
        <f t="shared" si="6"/>
        <v>Mar</v>
      </c>
      <c r="I144" s="9">
        <f t="shared" ca="1" si="7"/>
        <v>24</v>
      </c>
      <c r="J144" s="8" t="s">
        <v>32</v>
      </c>
      <c r="K144" s="7">
        <v>65571</v>
      </c>
      <c r="L144" s="6">
        <v>3</v>
      </c>
      <c r="M144" s="31">
        <f t="shared" si="8"/>
        <v>65571</v>
      </c>
      <c r="N144" s="65"/>
      <c r="O144" s="1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 t="s">
        <v>636</v>
      </c>
      <c r="B145" s="12" t="s">
        <v>56</v>
      </c>
      <c r="C145" s="1" t="s">
        <v>20</v>
      </c>
      <c r="D145" s="11">
        <v>884025623</v>
      </c>
      <c r="E145" s="11">
        <v>2521280865</v>
      </c>
      <c r="F145" s="1" t="s">
        <v>12</v>
      </c>
      <c r="G145" s="4">
        <f>33485+(364+182)</f>
        <v>34031</v>
      </c>
      <c r="H145" s="67" t="str">
        <f t="shared" si="6"/>
        <v>Mar</v>
      </c>
      <c r="I145" s="9">
        <f t="shared" ca="1" si="7"/>
        <v>23</v>
      </c>
      <c r="J145" s="8"/>
      <c r="K145" s="7">
        <v>64430</v>
      </c>
      <c r="L145" s="6">
        <v>4</v>
      </c>
      <c r="M145" s="31">
        <f t="shared" si="8"/>
        <v>64430</v>
      </c>
      <c r="N145" s="65"/>
      <c r="O145" s="1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 t="s">
        <v>635</v>
      </c>
      <c r="B146" s="12" t="s">
        <v>13</v>
      </c>
      <c r="C146" s="1" t="s">
        <v>60</v>
      </c>
      <c r="D146" s="11">
        <v>254201611</v>
      </c>
      <c r="E146" s="11">
        <v>9197803578</v>
      </c>
      <c r="F146" s="1" t="s">
        <v>5</v>
      </c>
      <c r="G146" s="4">
        <f>33488+(364+182)</f>
        <v>34034</v>
      </c>
      <c r="H146" s="67" t="str">
        <f t="shared" si="6"/>
        <v>Mar</v>
      </c>
      <c r="I146" s="9">
        <f t="shared" ca="1" si="7"/>
        <v>23</v>
      </c>
      <c r="J146" s="8" t="s">
        <v>19</v>
      </c>
      <c r="K146" s="7">
        <v>45180</v>
      </c>
      <c r="L146" s="6">
        <v>5</v>
      </c>
      <c r="M146" s="31">
        <f t="shared" si="8"/>
        <v>45180</v>
      </c>
      <c r="N146" s="65"/>
      <c r="O146" s="1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25">
      <c r="A147" s="1" t="s">
        <v>634</v>
      </c>
      <c r="B147" s="12" t="s">
        <v>17</v>
      </c>
      <c r="C147" s="1" t="s">
        <v>6</v>
      </c>
      <c r="D147" s="11">
        <v>750006979</v>
      </c>
      <c r="E147" s="11">
        <v>2528444054</v>
      </c>
      <c r="F147" s="1" t="s">
        <v>15</v>
      </c>
      <c r="G147" s="4">
        <f>33496+(364+182)</f>
        <v>34042</v>
      </c>
      <c r="H147" s="67" t="str">
        <f t="shared" si="6"/>
        <v>Mar</v>
      </c>
      <c r="I147" s="9">
        <f t="shared" ca="1" si="7"/>
        <v>23</v>
      </c>
      <c r="J147" s="8" t="s">
        <v>19</v>
      </c>
      <c r="K147" s="7">
        <v>27710</v>
      </c>
      <c r="L147" s="6">
        <v>3</v>
      </c>
      <c r="M147" s="31">
        <f t="shared" si="8"/>
        <v>27710</v>
      </c>
      <c r="N147" s="65"/>
      <c r="O147" s="1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25">
      <c r="A148" s="1" t="s">
        <v>633</v>
      </c>
      <c r="B148" s="12" t="s">
        <v>39</v>
      </c>
      <c r="C148" s="1" t="s">
        <v>20</v>
      </c>
      <c r="D148" s="11">
        <v>138607245</v>
      </c>
      <c r="E148" s="11">
        <v>2522140101</v>
      </c>
      <c r="F148" s="1" t="s">
        <v>12</v>
      </c>
      <c r="G148" s="4">
        <f>33507+(364+182)</f>
        <v>34053</v>
      </c>
      <c r="H148" s="67" t="str">
        <f t="shared" si="6"/>
        <v>Mar</v>
      </c>
      <c r="I148" s="9">
        <f t="shared" ca="1" si="7"/>
        <v>23</v>
      </c>
      <c r="J148" s="8"/>
      <c r="K148" s="7">
        <v>79220</v>
      </c>
      <c r="L148" s="6">
        <v>4</v>
      </c>
      <c r="M148" s="31">
        <f t="shared" si="8"/>
        <v>79220</v>
      </c>
      <c r="N148" s="65"/>
      <c r="O148" s="14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25">
      <c r="A149" s="1" t="s">
        <v>632</v>
      </c>
      <c r="B149" s="12" t="s">
        <v>2</v>
      </c>
      <c r="C149" s="1" t="s">
        <v>60</v>
      </c>
      <c r="D149" s="11">
        <v>466400098</v>
      </c>
      <c r="E149" s="11">
        <v>2524652136</v>
      </c>
      <c r="F149" s="1" t="s">
        <v>12</v>
      </c>
      <c r="G149" s="4">
        <f>33508+(364+182)</f>
        <v>34054</v>
      </c>
      <c r="H149" s="67" t="str">
        <f t="shared" si="6"/>
        <v>Mar</v>
      </c>
      <c r="I149" s="9">
        <f t="shared" ca="1" si="7"/>
        <v>23</v>
      </c>
      <c r="J149" s="8"/>
      <c r="K149" s="7">
        <v>29000</v>
      </c>
      <c r="L149" s="6">
        <v>5</v>
      </c>
      <c r="M149" s="31">
        <f t="shared" si="8"/>
        <v>29000</v>
      </c>
      <c r="N149" s="65"/>
      <c r="O149" s="14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25">
      <c r="A150" s="1" t="s">
        <v>631</v>
      </c>
      <c r="B150" s="12" t="s">
        <v>17</v>
      </c>
      <c r="C150" s="1" t="s">
        <v>50</v>
      </c>
      <c r="D150" s="11">
        <v>244171882</v>
      </c>
      <c r="E150" s="11">
        <v>2527577867</v>
      </c>
      <c r="F150" s="1" t="s">
        <v>15</v>
      </c>
      <c r="G150" s="4">
        <f>33855+(364+182)</f>
        <v>34401</v>
      </c>
      <c r="H150" s="67" t="str">
        <f t="shared" si="6"/>
        <v>Mar</v>
      </c>
      <c r="I150" s="9">
        <f t="shared" ca="1" si="7"/>
        <v>22</v>
      </c>
      <c r="J150" s="8" t="s">
        <v>19</v>
      </c>
      <c r="K150" s="7">
        <v>89780</v>
      </c>
      <c r="L150" s="6">
        <v>4</v>
      </c>
      <c r="M150" s="31">
        <f t="shared" si="8"/>
        <v>89780</v>
      </c>
      <c r="N150" s="65"/>
      <c r="O150" s="14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25">
      <c r="A151" s="1" t="s">
        <v>630</v>
      </c>
      <c r="B151" s="12" t="s">
        <v>17</v>
      </c>
      <c r="C151" s="1" t="s">
        <v>20</v>
      </c>
      <c r="D151" s="11">
        <v>775217609</v>
      </c>
      <c r="E151" s="11">
        <v>9191591006</v>
      </c>
      <c r="F151" s="1" t="s">
        <v>5</v>
      </c>
      <c r="G151" s="4">
        <f>33858+(364+182)</f>
        <v>34404</v>
      </c>
      <c r="H151" s="67" t="str">
        <f t="shared" si="6"/>
        <v>Mar</v>
      </c>
      <c r="I151" s="9">
        <f t="shared" ca="1" si="7"/>
        <v>22</v>
      </c>
      <c r="J151" s="8" t="s">
        <v>4</v>
      </c>
      <c r="K151" s="7">
        <v>24710</v>
      </c>
      <c r="L151" s="6">
        <v>2</v>
      </c>
      <c r="M151" s="31">
        <f t="shared" si="8"/>
        <v>24710</v>
      </c>
      <c r="N151" s="65"/>
      <c r="O151" s="14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25">
      <c r="A152" s="1" t="s">
        <v>629</v>
      </c>
      <c r="B152" s="12" t="s">
        <v>39</v>
      </c>
      <c r="C152" s="1" t="s">
        <v>485</v>
      </c>
      <c r="D152" s="11">
        <v>425943144</v>
      </c>
      <c r="E152" s="11">
        <v>2522911046</v>
      </c>
      <c r="F152" s="1" t="s">
        <v>12</v>
      </c>
      <c r="G152" s="4">
        <f>33862+(364+182)</f>
        <v>34408</v>
      </c>
      <c r="H152" s="67" t="str">
        <f t="shared" si="6"/>
        <v>Mar</v>
      </c>
      <c r="I152" s="9">
        <f t="shared" ca="1" si="7"/>
        <v>22</v>
      </c>
      <c r="J152" s="8"/>
      <c r="K152" s="7">
        <v>71700</v>
      </c>
      <c r="L152" s="6">
        <v>2</v>
      </c>
      <c r="M152" s="31">
        <f t="shared" si="8"/>
        <v>71700</v>
      </c>
      <c r="N152" s="65"/>
      <c r="O152" s="14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25">
      <c r="A153" s="1" t="s">
        <v>628</v>
      </c>
      <c r="B153" s="12" t="s">
        <v>39</v>
      </c>
      <c r="C153" s="1" t="s">
        <v>72</v>
      </c>
      <c r="D153" s="11">
        <v>870601943</v>
      </c>
      <c r="E153" s="11">
        <v>9196097340</v>
      </c>
      <c r="F153" s="1" t="s">
        <v>12</v>
      </c>
      <c r="G153" s="4">
        <f>34215+(364+182)</f>
        <v>34761</v>
      </c>
      <c r="H153" s="67" t="str">
        <f t="shared" si="6"/>
        <v>Mar</v>
      </c>
      <c r="I153" s="9">
        <f t="shared" ca="1" si="7"/>
        <v>21</v>
      </c>
      <c r="J153" s="8"/>
      <c r="K153" s="7">
        <v>45040</v>
      </c>
      <c r="L153" s="6">
        <v>5</v>
      </c>
      <c r="M153" s="31">
        <f t="shared" si="8"/>
        <v>45040</v>
      </c>
      <c r="N153" s="65"/>
      <c r="O153" s="14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25">
      <c r="A154" s="1" t="s">
        <v>627</v>
      </c>
      <c r="B154" s="12" t="s">
        <v>17</v>
      </c>
      <c r="C154" s="1" t="s">
        <v>72</v>
      </c>
      <c r="D154" s="11">
        <v>622274162</v>
      </c>
      <c r="E154" s="11">
        <v>9191264786</v>
      </c>
      <c r="F154" s="1" t="s">
        <v>12</v>
      </c>
      <c r="G154" s="4">
        <f>34225+(364+182)</f>
        <v>34771</v>
      </c>
      <c r="H154" s="67" t="str">
        <f t="shared" si="6"/>
        <v>Mar</v>
      </c>
      <c r="I154" s="9">
        <f t="shared" ca="1" si="7"/>
        <v>21</v>
      </c>
      <c r="J154" s="8"/>
      <c r="K154" s="7">
        <v>26360</v>
      </c>
      <c r="L154" s="6">
        <v>4</v>
      </c>
      <c r="M154" s="31">
        <f t="shared" si="8"/>
        <v>26360</v>
      </c>
      <c r="N154" s="65"/>
      <c r="O154" s="14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25">
      <c r="A155" s="1" t="s">
        <v>626</v>
      </c>
      <c r="B155" s="12" t="s">
        <v>56</v>
      </c>
      <c r="C155" s="1" t="s">
        <v>20</v>
      </c>
      <c r="D155" s="11">
        <v>944793994</v>
      </c>
      <c r="E155" s="11">
        <v>2525725646</v>
      </c>
      <c r="F155" s="1" t="s">
        <v>5</v>
      </c>
      <c r="G155" s="4">
        <f>34239+(364+182)</f>
        <v>34785</v>
      </c>
      <c r="H155" s="67" t="str">
        <f t="shared" si="6"/>
        <v>Mar</v>
      </c>
      <c r="I155" s="9">
        <f t="shared" ca="1" si="7"/>
        <v>21</v>
      </c>
      <c r="J155" s="8" t="s">
        <v>32</v>
      </c>
      <c r="K155" s="7">
        <v>24300</v>
      </c>
      <c r="L155" s="6">
        <v>3</v>
      </c>
      <c r="M155" s="31">
        <f t="shared" si="8"/>
        <v>24300</v>
      </c>
      <c r="N155" s="65"/>
      <c r="O155" s="14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25">
      <c r="A156" s="1" t="s">
        <v>625</v>
      </c>
      <c r="B156" s="12" t="s">
        <v>10</v>
      </c>
      <c r="C156" s="1" t="s">
        <v>28</v>
      </c>
      <c r="D156" s="11">
        <v>577239513</v>
      </c>
      <c r="E156" s="11">
        <v>9193199265</v>
      </c>
      <c r="F156" s="1" t="s">
        <v>5</v>
      </c>
      <c r="G156" s="4">
        <f>34587+(364+182)</f>
        <v>35133</v>
      </c>
      <c r="H156" s="67" t="str">
        <f t="shared" si="6"/>
        <v>Mar</v>
      </c>
      <c r="I156" s="9">
        <f t="shared" ca="1" si="7"/>
        <v>20</v>
      </c>
      <c r="J156" s="8" t="s">
        <v>4</v>
      </c>
      <c r="K156" s="7">
        <v>63080</v>
      </c>
      <c r="L156" s="6">
        <v>5</v>
      </c>
      <c r="M156" s="31">
        <f t="shared" si="8"/>
        <v>63080</v>
      </c>
      <c r="N156" s="65"/>
      <c r="O156" s="14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25">
      <c r="A157" s="1" t="s">
        <v>624</v>
      </c>
      <c r="B157" s="12" t="s">
        <v>13</v>
      </c>
      <c r="C157" s="1" t="s">
        <v>6</v>
      </c>
      <c r="D157" s="11">
        <v>483483618</v>
      </c>
      <c r="E157" s="11">
        <v>2526459263</v>
      </c>
      <c r="F157" s="1" t="s">
        <v>5</v>
      </c>
      <c r="G157" s="4">
        <f>34591+(364+182)</f>
        <v>35137</v>
      </c>
      <c r="H157" s="67" t="str">
        <f t="shared" si="6"/>
        <v>Mar</v>
      </c>
      <c r="I157" s="9">
        <f t="shared" ca="1" si="7"/>
        <v>20</v>
      </c>
      <c r="J157" s="8" t="s">
        <v>4</v>
      </c>
      <c r="K157" s="7">
        <v>33590</v>
      </c>
      <c r="L157" s="6">
        <v>5</v>
      </c>
      <c r="M157" s="31">
        <f t="shared" si="8"/>
        <v>33590</v>
      </c>
      <c r="N157" s="65"/>
      <c r="O157" s="14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25">
      <c r="A158" s="1" t="s">
        <v>623</v>
      </c>
      <c r="B158" s="12" t="s">
        <v>13</v>
      </c>
      <c r="C158" s="1" t="s">
        <v>22</v>
      </c>
      <c r="D158" s="11">
        <v>963000861</v>
      </c>
      <c r="E158" s="11">
        <v>2522792063</v>
      </c>
      <c r="F158" s="1" t="s">
        <v>12</v>
      </c>
      <c r="G158" s="4">
        <f>34600+(364+182)</f>
        <v>35146</v>
      </c>
      <c r="H158" s="67" t="str">
        <f t="shared" si="6"/>
        <v>Mar</v>
      </c>
      <c r="I158" s="9">
        <f t="shared" ca="1" si="7"/>
        <v>20</v>
      </c>
      <c r="J158" s="8"/>
      <c r="K158" s="7">
        <v>73190</v>
      </c>
      <c r="L158" s="6">
        <v>1</v>
      </c>
      <c r="M158" s="31">
        <f t="shared" si="8"/>
        <v>73190</v>
      </c>
      <c r="N158" s="65"/>
      <c r="O158" s="14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25">
      <c r="A159" s="1" t="s">
        <v>622</v>
      </c>
      <c r="B159" s="12" t="s">
        <v>39</v>
      </c>
      <c r="C159" s="1" t="s">
        <v>44</v>
      </c>
      <c r="D159" s="11">
        <v>681596577</v>
      </c>
      <c r="E159" s="11">
        <v>9192387348</v>
      </c>
      <c r="F159" s="1" t="s">
        <v>12</v>
      </c>
      <c r="G159" s="4">
        <f>34604+(364+182)</f>
        <v>35150</v>
      </c>
      <c r="H159" s="67" t="str">
        <f t="shared" si="6"/>
        <v>Mar</v>
      </c>
      <c r="I159" s="9">
        <f t="shared" ca="1" si="7"/>
        <v>20</v>
      </c>
      <c r="J159" s="8"/>
      <c r="K159" s="7">
        <v>35260</v>
      </c>
      <c r="L159" s="6">
        <v>2</v>
      </c>
      <c r="M159" s="31">
        <f t="shared" si="8"/>
        <v>35260</v>
      </c>
      <c r="N159" s="65"/>
      <c r="O159" s="14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25">
      <c r="A160" s="1" t="s">
        <v>621</v>
      </c>
      <c r="B160" s="12" t="s">
        <v>10</v>
      </c>
      <c r="C160" s="1" t="s">
        <v>9</v>
      </c>
      <c r="D160" s="11">
        <v>303641529</v>
      </c>
      <c r="E160" s="11">
        <v>9196753698</v>
      </c>
      <c r="F160" s="1" t="s">
        <v>15</v>
      </c>
      <c r="G160" s="4">
        <f>34604+(364+182)</f>
        <v>35150</v>
      </c>
      <c r="H160" s="67" t="str">
        <f t="shared" si="6"/>
        <v>Mar</v>
      </c>
      <c r="I160" s="9">
        <f t="shared" ca="1" si="7"/>
        <v>20</v>
      </c>
      <c r="J160" s="8" t="s">
        <v>32</v>
      </c>
      <c r="K160" s="7">
        <v>49405</v>
      </c>
      <c r="L160" s="6">
        <v>4</v>
      </c>
      <c r="M160" s="31">
        <f t="shared" si="8"/>
        <v>49405</v>
      </c>
      <c r="N160" s="65"/>
      <c r="O160" s="14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25">
      <c r="A161" s="1" t="s">
        <v>620</v>
      </c>
      <c r="B161" s="12" t="s">
        <v>39</v>
      </c>
      <c r="C161" s="1" t="s">
        <v>22</v>
      </c>
      <c r="D161" s="11">
        <v>991221095</v>
      </c>
      <c r="E161" s="11">
        <v>9194630903</v>
      </c>
      <c r="F161" s="1" t="s">
        <v>5</v>
      </c>
      <c r="G161" s="4">
        <f>34605+(364+182)</f>
        <v>35151</v>
      </c>
      <c r="H161" s="67" t="str">
        <f t="shared" si="6"/>
        <v>Mar</v>
      </c>
      <c r="I161" s="9">
        <f t="shared" ca="1" si="7"/>
        <v>20</v>
      </c>
      <c r="J161" s="8" t="s">
        <v>8</v>
      </c>
      <c r="K161" s="7">
        <v>29760</v>
      </c>
      <c r="L161" s="6">
        <v>2</v>
      </c>
      <c r="M161" s="31">
        <f t="shared" si="8"/>
        <v>29760</v>
      </c>
      <c r="N161" s="65"/>
      <c r="O161" s="14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25">
      <c r="A162" s="1" t="s">
        <v>619</v>
      </c>
      <c r="B162" s="12" t="s">
        <v>39</v>
      </c>
      <c r="C162" s="1" t="s">
        <v>20</v>
      </c>
      <c r="D162" s="11">
        <v>313128501</v>
      </c>
      <c r="E162" s="11">
        <v>9193184277</v>
      </c>
      <c r="F162" s="1" t="s">
        <v>0</v>
      </c>
      <c r="G162" s="4">
        <f>34944+(364+182)</f>
        <v>35490</v>
      </c>
      <c r="H162" s="67" t="str">
        <f t="shared" si="6"/>
        <v>Mar</v>
      </c>
      <c r="I162" s="9">
        <f t="shared" ca="1" si="7"/>
        <v>19</v>
      </c>
      <c r="J162" s="8"/>
      <c r="K162" s="7">
        <v>22472</v>
      </c>
      <c r="L162" s="6">
        <v>1</v>
      </c>
      <c r="M162" s="31">
        <f t="shared" si="8"/>
        <v>22472</v>
      </c>
      <c r="N162" s="65"/>
      <c r="O162" s="14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25">
      <c r="A163" s="1" t="s">
        <v>618</v>
      </c>
      <c r="B163" s="12" t="s">
        <v>13</v>
      </c>
      <c r="C163" s="1" t="s">
        <v>52</v>
      </c>
      <c r="D163" s="11">
        <v>110726520</v>
      </c>
      <c r="E163" s="11">
        <v>9197963782</v>
      </c>
      <c r="F163" s="1" t="s">
        <v>5</v>
      </c>
      <c r="G163" s="4">
        <f>34951+(364+182)</f>
        <v>35497</v>
      </c>
      <c r="H163" s="67" t="str">
        <f t="shared" si="6"/>
        <v>Mar</v>
      </c>
      <c r="I163" s="9">
        <f t="shared" ca="1" si="7"/>
        <v>19</v>
      </c>
      <c r="J163" s="8" t="s">
        <v>32</v>
      </c>
      <c r="K163" s="7">
        <v>78710</v>
      </c>
      <c r="L163" s="6">
        <v>4</v>
      </c>
      <c r="M163" s="31">
        <f t="shared" si="8"/>
        <v>78710</v>
      </c>
      <c r="N163" s="65"/>
      <c r="O163" s="14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25">
      <c r="A164" s="1" t="s">
        <v>617</v>
      </c>
      <c r="B164" s="12" t="s">
        <v>13</v>
      </c>
      <c r="C164" s="1" t="s">
        <v>72</v>
      </c>
      <c r="D164" s="11">
        <v>659766304</v>
      </c>
      <c r="E164" s="11">
        <v>9195876028</v>
      </c>
      <c r="F164" s="1" t="s">
        <v>5</v>
      </c>
      <c r="G164" s="4">
        <f>34955+(364+182)</f>
        <v>35501</v>
      </c>
      <c r="H164" s="67" t="str">
        <f t="shared" si="6"/>
        <v>Mar</v>
      </c>
      <c r="I164" s="9">
        <f t="shared" ca="1" si="7"/>
        <v>19</v>
      </c>
      <c r="J164" s="8" t="s">
        <v>4</v>
      </c>
      <c r="K164" s="7">
        <v>37750</v>
      </c>
      <c r="L164" s="6">
        <v>5</v>
      </c>
      <c r="M164" s="31">
        <f t="shared" si="8"/>
        <v>37750</v>
      </c>
      <c r="N164" s="65"/>
      <c r="O164" s="14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25">
      <c r="A165" s="1" t="s">
        <v>616</v>
      </c>
      <c r="B165" s="12" t="s">
        <v>17</v>
      </c>
      <c r="C165" s="1" t="s">
        <v>26</v>
      </c>
      <c r="D165" s="11">
        <v>627678686</v>
      </c>
      <c r="E165" s="11">
        <v>2526101454</v>
      </c>
      <c r="F165" s="1" t="s">
        <v>12</v>
      </c>
      <c r="G165" s="4">
        <f>34959+(364+182)</f>
        <v>35505</v>
      </c>
      <c r="H165" s="67" t="str">
        <f t="shared" si="6"/>
        <v>Mar</v>
      </c>
      <c r="I165" s="9">
        <f t="shared" ca="1" si="7"/>
        <v>19</v>
      </c>
      <c r="J165" s="8"/>
      <c r="K165" s="7">
        <v>74740</v>
      </c>
      <c r="L165" s="6">
        <v>5</v>
      </c>
      <c r="M165" s="31">
        <f t="shared" si="8"/>
        <v>74740</v>
      </c>
      <c r="N165" s="65"/>
      <c r="O165" s="14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25">
      <c r="A166" s="1" t="s">
        <v>615</v>
      </c>
      <c r="B166" s="12" t="s">
        <v>39</v>
      </c>
      <c r="C166" s="1" t="s">
        <v>20</v>
      </c>
      <c r="D166" s="11">
        <v>612295735</v>
      </c>
      <c r="E166" s="11">
        <v>9195228292</v>
      </c>
      <c r="F166" s="1" t="s">
        <v>5</v>
      </c>
      <c r="G166" s="4">
        <f>34965+(364+182)</f>
        <v>35511</v>
      </c>
      <c r="H166" s="67" t="str">
        <f t="shared" si="6"/>
        <v>Mar</v>
      </c>
      <c r="I166" s="9">
        <f t="shared" ca="1" si="7"/>
        <v>19</v>
      </c>
      <c r="J166" s="8" t="s">
        <v>4</v>
      </c>
      <c r="K166" s="7">
        <v>73144</v>
      </c>
      <c r="L166" s="6">
        <v>5</v>
      </c>
      <c r="M166" s="31">
        <f t="shared" si="8"/>
        <v>73144</v>
      </c>
      <c r="N166" s="65"/>
      <c r="O166" s="14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25">
      <c r="A167" s="1" t="s">
        <v>614</v>
      </c>
      <c r="B167" s="12" t="s">
        <v>2</v>
      </c>
      <c r="C167" s="1" t="s">
        <v>16</v>
      </c>
      <c r="D167" s="11">
        <v>452692136</v>
      </c>
      <c r="E167" s="11">
        <v>2524106437</v>
      </c>
      <c r="F167" s="1" t="s">
        <v>5</v>
      </c>
      <c r="G167" s="4">
        <f>34968+(364+182)</f>
        <v>35514</v>
      </c>
      <c r="H167" s="67" t="str">
        <f t="shared" si="6"/>
        <v>Mar</v>
      </c>
      <c r="I167" s="9">
        <f t="shared" ca="1" si="7"/>
        <v>19</v>
      </c>
      <c r="J167" s="8" t="s">
        <v>19</v>
      </c>
      <c r="K167" s="7">
        <v>26510</v>
      </c>
      <c r="L167" s="6">
        <v>1</v>
      </c>
      <c r="M167" s="31">
        <f t="shared" si="8"/>
        <v>26510</v>
      </c>
      <c r="N167" s="65"/>
      <c r="O167" s="14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25">
      <c r="A168" s="1" t="s">
        <v>613</v>
      </c>
      <c r="B168" s="12" t="s">
        <v>39</v>
      </c>
      <c r="C168" s="1" t="s">
        <v>26</v>
      </c>
      <c r="D168" s="11">
        <v>936730279</v>
      </c>
      <c r="E168" s="11">
        <v>2528033253</v>
      </c>
      <c r="F168" s="1" t="s">
        <v>15</v>
      </c>
      <c r="G168" s="4">
        <f>34971+(364+182)</f>
        <v>35517</v>
      </c>
      <c r="H168" s="67" t="str">
        <f t="shared" si="6"/>
        <v>Mar</v>
      </c>
      <c r="I168" s="9">
        <f t="shared" ca="1" si="7"/>
        <v>19</v>
      </c>
      <c r="J168" s="8" t="s">
        <v>19</v>
      </c>
      <c r="K168" s="7">
        <v>48415</v>
      </c>
      <c r="L168" s="6">
        <v>4</v>
      </c>
      <c r="M168" s="31">
        <f t="shared" si="8"/>
        <v>48415</v>
      </c>
      <c r="N168" s="65"/>
      <c r="O168" s="14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25">
      <c r="A169" s="1" t="s">
        <v>612</v>
      </c>
      <c r="B169" s="12" t="s">
        <v>2</v>
      </c>
      <c r="C169" s="1" t="s">
        <v>60</v>
      </c>
      <c r="D169" s="11">
        <v>650784238</v>
      </c>
      <c r="E169" s="11">
        <v>9194679864</v>
      </c>
      <c r="F169" s="1" t="s">
        <v>12</v>
      </c>
      <c r="G169" s="4">
        <f>34972+(364+182)</f>
        <v>35518</v>
      </c>
      <c r="H169" s="67" t="str">
        <f t="shared" si="6"/>
        <v>Mar</v>
      </c>
      <c r="I169" s="9">
        <f t="shared" ca="1" si="7"/>
        <v>19</v>
      </c>
      <c r="J169" s="8"/>
      <c r="K169" s="7">
        <v>53870</v>
      </c>
      <c r="L169" s="6">
        <v>2</v>
      </c>
      <c r="M169" s="31">
        <f t="shared" si="8"/>
        <v>53870</v>
      </c>
      <c r="N169" s="65"/>
      <c r="O169" s="14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25">
      <c r="A170" s="1" t="s">
        <v>611</v>
      </c>
      <c r="B170" s="12" t="s">
        <v>39</v>
      </c>
      <c r="C170" s="1" t="s">
        <v>6</v>
      </c>
      <c r="D170" s="11">
        <v>262585858</v>
      </c>
      <c r="E170" s="11">
        <v>2528566597</v>
      </c>
      <c r="F170" s="1" t="s">
        <v>15</v>
      </c>
      <c r="G170" s="4">
        <f>34972+(364+182)</f>
        <v>35518</v>
      </c>
      <c r="H170" s="67" t="str">
        <f t="shared" si="6"/>
        <v>Mar</v>
      </c>
      <c r="I170" s="9">
        <f t="shared" ca="1" si="7"/>
        <v>19</v>
      </c>
      <c r="J170" s="8" t="s">
        <v>34</v>
      </c>
      <c r="K170" s="7">
        <v>13690</v>
      </c>
      <c r="L170" s="6">
        <v>5</v>
      </c>
      <c r="M170" s="31">
        <f t="shared" si="8"/>
        <v>13690</v>
      </c>
      <c r="N170" s="65"/>
      <c r="O170" s="14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25">
      <c r="A171" s="1" t="s">
        <v>610</v>
      </c>
      <c r="B171" s="12" t="s">
        <v>17</v>
      </c>
      <c r="C171" s="1" t="s">
        <v>20</v>
      </c>
      <c r="D171" s="11">
        <v>501523688</v>
      </c>
      <c r="E171" s="11">
        <v>2528560698</v>
      </c>
      <c r="F171" s="1" t="s">
        <v>5</v>
      </c>
      <c r="G171" s="4">
        <f>34974+(364+182)</f>
        <v>35520</v>
      </c>
      <c r="H171" s="67" t="str">
        <f t="shared" si="6"/>
        <v>Mar</v>
      </c>
      <c r="I171" s="9">
        <f t="shared" ca="1" si="7"/>
        <v>19</v>
      </c>
      <c r="J171" s="8" t="s">
        <v>32</v>
      </c>
      <c r="K171" s="7">
        <v>79730</v>
      </c>
      <c r="L171" s="6">
        <v>2</v>
      </c>
      <c r="M171" s="31">
        <f t="shared" si="8"/>
        <v>79730</v>
      </c>
      <c r="N171" s="65"/>
      <c r="O171" s="14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25">
      <c r="A172" s="1" t="s">
        <v>609</v>
      </c>
      <c r="B172" s="12" t="s">
        <v>39</v>
      </c>
      <c r="C172" s="1" t="s">
        <v>60</v>
      </c>
      <c r="D172" s="11">
        <v>261920277</v>
      </c>
      <c r="E172" s="11">
        <v>2524272773</v>
      </c>
      <c r="F172" s="1" t="s">
        <v>5</v>
      </c>
      <c r="G172" s="4">
        <f>35310+(364+182)</f>
        <v>35856</v>
      </c>
      <c r="H172" s="67" t="str">
        <f t="shared" si="6"/>
        <v>Mar</v>
      </c>
      <c r="I172" s="9">
        <f t="shared" ca="1" si="7"/>
        <v>18</v>
      </c>
      <c r="J172" s="8" t="s">
        <v>8</v>
      </c>
      <c r="K172" s="7">
        <v>86830</v>
      </c>
      <c r="L172" s="6">
        <v>3</v>
      </c>
      <c r="M172" s="31">
        <f t="shared" si="8"/>
        <v>86830</v>
      </c>
      <c r="N172" s="65"/>
      <c r="O172" s="14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25">
      <c r="A173" s="1" t="s">
        <v>608</v>
      </c>
      <c r="B173" s="12" t="s">
        <v>17</v>
      </c>
      <c r="C173" s="1" t="s">
        <v>60</v>
      </c>
      <c r="D173" s="11">
        <v>597641409</v>
      </c>
      <c r="E173" s="11">
        <v>9196201509</v>
      </c>
      <c r="F173" s="1" t="s">
        <v>5</v>
      </c>
      <c r="G173" s="4">
        <f>35311+(364+182)</f>
        <v>35857</v>
      </c>
      <c r="H173" s="67" t="str">
        <f t="shared" si="6"/>
        <v>Mar</v>
      </c>
      <c r="I173" s="9">
        <f t="shared" ca="1" si="7"/>
        <v>18</v>
      </c>
      <c r="J173" s="8" t="s">
        <v>4</v>
      </c>
      <c r="K173" s="7">
        <v>82110</v>
      </c>
      <c r="L173" s="6">
        <v>3</v>
      </c>
      <c r="M173" s="31">
        <f t="shared" si="8"/>
        <v>82110</v>
      </c>
      <c r="N173" s="65"/>
      <c r="O173" s="14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25">
      <c r="A174" s="1" t="s">
        <v>607</v>
      </c>
      <c r="B174" s="12" t="s">
        <v>17</v>
      </c>
      <c r="C174" s="1" t="s">
        <v>52</v>
      </c>
      <c r="D174" s="11">
        <v>843632637</v>
      </c>
      <c r="E174" s="11">
        <v>9198545681</v>
      </c>
      <c r="F174" s="1" t="s">
        <v>0</v>
      </c>
      <c r="G174" s="4">
        <f>35315+(364+182)</f>
        <v>35861</v>
      </c>
      <c r="H174" s="67" t="str">
        <f t="shared" si="6"/>
        <v>Mar</v>
      </c>
      <c r="I174" s="9">
        <f t="shared" ca="1" si="7"/>
        <v>18</v>
      </c>
      <c r="J174" s="8"/>
      <c r="K174" s="7">
        <v>12836</v>
      </c>
      <c r="L174" s="6">
        <v>5</v>
      </c>
      <c r="M174" s="31">
        <f t="shared" si="8"/>
        <v>12836</v>
      </c>
      <c r="N174" s="65"/>
      <c r="O174" s="14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25">
      <c r="A175" s="1" t="s">
        <v>606</v>
      </c>
      <c r="B175" s="12" t="s">
        <v>39</v>
      </c>
      <c r="C175" s="1" t="s">
        <v>52</v>
      </c>
      <c r="D175" s="11">
        <v>518009092</v>
      </c>
      <c r="E175" s="11">
        <v>2528792521</v>
      </c>
      <c r="F175" s="1" t="s">
        <v>0</v>
      </c>
      <c r="G175" s="4">
        <f>35323+(364+182)</f>
        <v>35869</v>
      </c>
      <c r="H175" s="67" t="str">
        <f t="shared" si="6"/>
        <v>Mar</v>
      </c>
      <c r="I175" s="9">
        <f t="shared" ca="1" si="7"/>
        <v>18</v>
      </c>
      <c r="J175" s="8"/>
      <c r="K175" s="7">
        <v>17912</v>
      </c>
      <c r="L175" s="6">
        <v>5</v>
      </c>
      <c r="M175" s="31">
        <f t="shared" si="8"/>
        <v>17912</v>
      </c>
      <c r="N175" s="65"/>
      <c r="O175" s="14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25">
      <c r="A176" s="1" t="s">
        <v>605</v>
      </c>
      <c r="B176" s="12" t="s">
        <v>10</v>
      </c>
      <c r="C176" s="1" t="s">
        <v>6</v>
      </c>
      <c r="D176" s="11">
        <v>311309049</v>
      </c>
      <c r="E176" s="11">
        <v>2527560634</v>
      </c>
      <c r="F176" s="1" t="s">
        <v>5</v>
      </c>
      <c r="G176" s="4">
        <f>35697+(364+182)</f>
        <v>36243</v>
      </c>
      <c r="H176" s="67" t="str">
        <f t="shared" si="6"/>
        <v>Mar</v>
      </c>
      <c r="I176" s="9">
        <f t="shared" ca="1" si="7"/>
        <v>17</v>
      </c>
      <c r="J176" s="8" t="s">
        <v>8</v>
      </c>
      <c r="K176" s="7">
        <v>77680</v>
      </c>
      <c r="L176" s="6">
        <v>3</v>
      </c>
      <c r="M176" s="31">
        <f t="shared" si="8"/>
        <v>77680</v>
      </c>
      <c r="N176" s="65"/>
      <c r="O176" s="14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25">
      <c r="A177" s="1" t="s">
        <v>604</v>
      </c>
      <c r="B177" s="12" t="s">
        <v>13</v>
      </c>
      <c r="C177" s="1" t="s">
        <v>52</v>
      </c>
      <c r="D177" s="11">
        <v>125540405</v>
      </c>
      <c r="E177" s="11">
        <v>2524589262</v>
      </c>
      <c r="F177" s="1" t="s">
        <v>5</v>
      </c>
      <c r="G177" s="4">
        <f>35699+(364+182)</f>
        <v>36245</v>
      </c>
      <c r="H177" s="67" t="str">
        <f t="shared" si="6"/>
        <v>Mar</v>
      </c>
      <c r="I177" s="9">
        <f t="shared" ca="1" si="7"/>
        <v>17</v>
      </c>
      <c r="J177" s="8" t="s">
        <v>32</v>
      </c>
      <c r="K177" s="7">
        <v>58410</v>
      </c>
      <c r="L177" s="6">
        <v>5</v>
      </c>
      <c r="M177" s="31">
        <f t="shared" si="8"/>
        <v>58410</v>
      </c>
      <c r="N177" s="65"/>
      <c r="O177" s="14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25">
      <c r="A178" s="1" t="s">
        <v>603</v>
      </c>
      <c r="B178" s="12" t="s">
        <v>17</v>
      </c>
      <c r="C178" s="1" t="s">
        <v>16</v>
      </c>
      <c r="D178" s="11">
        <v>925049144</v>
      </c>
      <c r="E178" s="11">
        <v>2524752921</v>
      </c>
      <c r="F178" s="1" t="s">
        <v>5</v>
      </c>
      <c r="G178" s="4">
        <f>35703+(364+182)</f>
        <v>36249</v>
      </c>
      <c r="H178" s="67" t="str">
        <f t="shared" si="6"/>
        <v>Mar</v>
      </c>
      <c r="I178" s="9">
        <f t="shared" ca="1" si="7"/>
        <v>17</v>
      </c>
      <c r="J178" s="8" t="s">
        <v>32</v>
      </c>
      <c r="K178" s="7">
        <v>49860</v>
      </c>
      <c r="L178" s="6">
        <v>2</v>
      </c>
      <c r="M178" s="31">
        <f t="shared" si="8"/>
        <v>49860</v>
      </c>
      <c r="N178" s="65"/>
      <c r="O178" s="14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25">
      <c r="A179" s="1" t="s">
        <v>602</v>
      </c>
      <c r="B179" s="12" t="s">
        <v>10</v>
      </c>
      <c r="C179" s="1" t="s">
        <v>20</v>
      </c>
      <c r="D179" s="11">
        <v>396727504</v>
      </c>
      <c r="E179" s="11">
        <v>9193204992</v>
      </c>
      <c r="F179" s="1" t="s">
        <v>12</v>
      </c>
      <c r="G179" s="4">
        <f>36054+(364+182)</f>
        <v>36600</v>
      </c>
      <c r="H179" s="67" t="str">
        <f t="shared" si="6"/>
        <v>Mar</v>
      </c>
      <c r="I179" s="9">
        <f t="shared" ca="1" si="7"/>
        <v>16</v>
      </c>
      <c r="J179" s="8"/>
      <c r="K179" s="7">
        <v>41840</v>
      </c>
      <c r="L179" s="6">
        <v>2</v>
      </c>
      <c r="M179" s="31">
        <f t="shared" si="8"/>
        <v>41840</v>
      </c>
      <c r="N179" s="65"/>
      <c r="O179" s="14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25">
      <c r="A180" s="1" t="s">
        <v>601</v>
      </c>
      <c r="B180" s="12" t="s">
        <v>13</v>
      </c>
      <c r="C180" s="1" t="s">
        <v>26</v>
      </c>
      <c r="D180" s="11">
        <v>856215418</v>
      </c>
      <c r="E180" s="11">
        <v>2526168483</v>
      </c>
      <c r="F180" s="1" t="s">
        <v>0</v>
      </c>
      <c r="G180" s="4">
        <f>36056+(364+182)</f>
        <v>36602</v>
      </c>
      <c r="H180" s="67" t="str">
        <f t="shared" si="6"/>
        <v>Mar</v>
      </c>
      <c r="I180" s="9">
        <f t="shared" ca="1" si="7"/>
        <v>16</v>
      </c>
      <c r="J180" s="8"/>
      <c r="K180" s="7">
        <v>30080</v>
      </c>
      <c r="L180" s="6">
        <v>3</v>
      </c>
      <c r="M180" s="31">
        <f t="shared" si="8"/>
        <v>30080</v>
      </c>
      <c r="N180" s="65"/>
      <c r="O180" s="14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25">
      <c r="A181" s="1" t="s">
        <v>600</v>
      </c>
      <c r="B181" s="12" t="s">
        <v>13</v>
      </c>
      <c r="C181" s="1" t="s">
        <v>20</v>
      </c>
      <c r="D181" s="11">
        <v>356242235</v>
      </c>
      <c r="E181" s="11">
        <v>2521667727</v>
      </c>
      <c r="F181" s="1" t="s">
        <v>15</v>
      </c>
      <c r="G181" s="4">
        <f>36058+(364+182)</f>
        <v>36604</v>
      </c>
      <c r="H181" s="67" t="str">
        <f t="shared" si="6"/>
        <v>Mar</v>
      </c>
      <c r="I181" s="9">
        <f t="shared" ca="1" si="7"/>
        <v>16</v>
      </c>
      <c r="J181" s="8" t="s">
        <v>4</v>
      </c>
      <c r="K181" s="7">
        <v>46710</v>
      </c>
      <c r="L181" s="6">
        <v>3</v>
      </c>
      <c r="M181" s="31">
        <f t="shared" si="8"/>
        <v>46710</v>
      </c>
      <c r="N181" s="65"/>
      <c r="O181" s="14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25">
      <c r="A182" s="1" t="s">
        <v>599</v>
      </c>
      <c r="B182" s="12" t="s">
        <v>13</v>
      </c>
      <c r="C182" s="1" t="s">
        <v>6</v>
      </c>
      <c r="D182" s="11">
        <v>800685434</v>
      </c>
      <c r="E182" s="11">
        <v>2525821616</v>
      </c>
      <c r="F182" s="1" t="s">
        <v>5</v>
      </c>
      <c r="G182" s="4">
        <f>36410+(364+182)</f>
        <v>36956</v>
      </c>
      <c r="H182" s="67" t="str">
        <f t="shared" si="6"/>
        <v>Mar</v>
      </c>
      <c r="I182" s="9">
        <f t="shared" ca="1" si="7"/>
        <v>15</v>
      </c>
      <c r="J182" s="8" t="s">
        <v>8</v>
      </c>
      <c r="K182" s="7">
        <v>49930</v>
      </c>
      <c r="L182" s="6">
        <v>1</v>
      </c>
      <c r="M182" s="31">
        <f t="shared" si="8"/>
        <v>49930</v>
      </c>
      <c r="N182" s="65"/>
      <c r="O182" s="14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 t="s">
        <v>598</v>
      </c>
      <c r="B183" s="12" t="s">
        <v>13</v>
      </c>
      <c r="C183" s="1" t="s">
        <v>6</v>
      </c>
      <c r="D183" s="11">
        <v>212558012</v>
      </c>
      <c r="E183" s="11">
        <v>2526860208</v>
      </c>
      <c r="F183" s="1" t="s">
        <v>5</v>
      </c>
      <c r="G183" s="4">
        <f>36421+(364+182)</f>
        <v>36967</v>
      </c>
      <c r="H183" s="67" t="str">
        <f t="shared" si="6"/>
        <v>Mar</v>
      </c>
      <c r="I183" s="9">
        <f t="shared" ca="1" si="7"/>
        <v>15</v>
      </c>
      <c r="J183" s="8" t="s">
        <v>32</v>
      </c>
      <c r="K183" s="7">
        <v>63060</v>
      </c>
      <c r="L183" s="6">
        <v>4</v>
      </c>
      <c r="M183" s="31">
        <f t="shared" si="8"/>
        <v>63060</v>
      </c>
      <c r="N183" s="65"/>
      <c r="O183" s="14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 t="s">
        <v>597</v>
      </c>
      <c r="B184" s="12" t="s">
        <v>13</v>
      </c>
      <c r="C184" s="1" t="s">
        <v>20</v>
      </c>
      <c r="D184" s="11">
        <v>635767088</v>
      </c>
      <c r="E184" s="11">
        <v>2522153322</v>
      </c>
      <c r="F184" s="1" t="s">
        <v>12</v>
      </c>
      <c r="G184" s="4">
        <f>36431+(364+182)</f>
        <v>36977</v>
      </c>
      <c r="H184" s="67" t="str">
        <f t="shared" si="6"/>
        <v>Mar</v>
      </c>
      <c r="I184" s="9">
        <f t="shared" ca="1" si="7"/>
        <v>15</v>
      </c>
      <c r="J184" s="8"/>
      <c r="K184" s="7">
        <v>68510</v>
      </c>
      <c r="L184" s="6">
        <v>5</v>
      </c>
      <c r="M184" s="31">
        <f t="shared" si="8"/>
        <v>68510</v>
      </c>
      <c r="N184" s="65"/>
      <c r="O184" s="14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 t="s">
        <v>596</v>
      </c>
      <c r="B185" s="12" t="s">
        <v>56</v>
      </c>
      <c r="C185" s="1" t="s">
        <v>20</v>
      </c>
      <c r="D185" s="11">
        <v>311883362</v>
      </c>
      <c r="E185" s="11">
        <v>2526505454</v>
      </c>
      <c r="F185" s="1" t="s">
        <v>12</v>
      </c>
      <c r="G185" s="4">
        <f>36780+(364+182)</f>
        <v>37326</v>
      </c>
      <c r="H185" s="67" t="str">
        <f t="shared" si="6"/>
        <v>Mar</v>
      </c>
      <c r="I185" s="9">
        <f t="shared" ca="1" si="7"/>
        <v>14</v>
      </c>
      <c r="J185" s="8"/>
      <c r="K185" s="7">
        <v>52770</v>
      </c>
      <c r="L185" s="6">
        <v>2</v>
      </c>
      <c r="M185" s="31">
        <f t="shared" si="8"/>
        <v>52770</v>
      </c>
      <c r="N185" s="65"/>
      <c r="O185" s="14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 t="s">
        <v>595</v>
      </c>
      <c r="B186" s="12" t="s">
        <v>17</v>
      </c>
      <c r="C186" s="1" t="s">
        <v>20</v>
      </c>
      <c r="D186" s="11">
        <v>213584397</v>
      </c>
      <c r="E186" s="11">
        <v>2524138160</v>
      </c>
      <c r="F186" s="1" t="s">
        <v>5</v>
      </c>
      <c r="G186" s="4">
        <f>36785+(364+182)</f>
        <v>37331</v>
      </c>
      <c r="H186" s="67" t="str">
        <f t="shared" si="6"/>
        <v>Mar</v>
      </c>
      <c r="I186" s="9">
        <f t="shared" ca="1" si="7"/>
        <v>14</v>
      </c>
      <c r="J186" s="8" t="s">
        <v>4</v>
      </c>
      <c r="K186" s="7">
        <v>62750</v>
      </c>
      <c r="L186" s="6">
        <v>3</v>
      </c>
      <c r="M186" s="31">
        <f t="shared" si="8"/>
        <v>62750</v>
      </c>
      <c r="N186" s="65"/>
      <c r="O186" s="14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 t="s">
        <v>594</v>
      </c>
      <c r="B187" s="12" t="s">
        <v>2</v>
      </c>
      <c r="C187" s="1" t="s">
        <v>343</v>
      </c>
      <c r="D187" s="11">
        <v>443926890</v>
      </c>
      <c r="E187" s="11">
        <v>2524411859</v>
      </c>
      <c r="F187" s="1" t="s">
        <v>5</v>
      </c>
      <c r="G187" s="4">
        <f>37138+(364+182)</f>
        <v>37684</v>
      </c>
      <c r="H187" s="67" t="str">
        <f t="shared" si="6"/>
        <v>Mar</v>
      </c>
      <c r="I187" s="9">
        <f t="shared" ca="1" si="7"/>
        <v>13</v>
      </c>
      <c r="J187" s="8" t="s">
        <v>4</v>
      </c>
      <c r="K187" s="7">
        <v>42800</v>
      </c>
      <c r="L187" s="6">
        <v>5</v>
      </c>
      <c r="M187" s="31">
        <f t="shared" si="8"/>
        <v>42800</v>
      </c>
      <c r="N187" s="65"/>
      <c r="O187" s="14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 t="s">
        <v>593</v>
      </c>
      <c r="B188" s="12" t="s">
        <v>13</v>
      </c>
      <c r="C188" s="1" t="s">
        <v>22</v>
      </c>
      <c r="D188" s="11">
        <v>945160038</v>
      </c>
      <c r="E188" s="11">
        <v>2527909707</v>
      </c>
      <c r="F188" s="1" t="s">
        <v>5</v>
      </c>
      <c r="G188" s="4">
        <f>37155+(364+182)</f>
        <v>37701</v>
      </c>
      <c r="H188" s="67" t="str">
        <f t="shared" si="6"/>
        <v>Mar</v>
      </c>
      <c r="I188" s="9">
        <f t="shared" ca="1" si="7"/>
        <v>13</v>
      </c>
      <c r="J188" s="8" t="s">
        <v>34</v>
      </c>
      <c r="K188" s="7">
        <v>23560</v>
      </c>
      <c r="L188" s="6">
        <v>3</v>
      </c>
      <c r="M188" s="31">
        <f t="shared" si="8"/>
        <v>23560</v>
      </c>
      <c r="N188" s="65"/>
      <c r="O188" s="14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 t="s">
        <v>592</v>
      </c>
      <c r="B189" s="12" t="s">
        <v>17</v>
      </c>
      <c r="C189" s="1" t="s">
        <v>28</v>
      </c>
      <c r="D189" s="11">
        <v>272714784</v>
      </c>
      <c r="E189" s="11">
        <v>9191162663</v>
      </c>
      <c r="F189" s="1" t="s">
        <v>0</v>
      </c>
      <c r="G189" s="4">
        <f>37165+(364+182)</f>
        <v>37711</v>
      </c>
      <c r="H189" s="67" t="str">
        <f t="shared" si="6"/>
        <v>Mar</v>
      </c>
      <c r="I189" s="9">
        <f t="shared" ca="1" si="7"/>
        <v>13</v>
      </c>
      <c r="J189" s="8"/>
      <c r="K189" s="7">
        <v>21648</v>
      </c>
      <c r="L189" s="6">
        <v>2</v>
      </c>
      <c r="M189" s="31">
        <f t="shared" si="8"/>
        <v>21648</v>
      </c>
      <c r="N189" s="65"/>
      <c r="O189" s="14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 t="s">
        <v>591</v>
      </c>
      <c r="B190" s="12" t="s">
        <v>56</v>
      </c>
      <c r="C190" s="1" t="s">
        <v>125</v>
      </c>
      <c r="D190" s="11">
        <v>764375259</v>
      </c>
      <c r="E190" s="11">
        <v>2527515181</v>
      </c>
      <c r="F190" s="1" t="s">
        <v>5</v>
      </c>
      <c r="G190" s="4">
        <f>37505+(364+182)</f>
        <v>38051</v>
      </c>
      <c r="H190" s="67" t="str">
        <f t="shared" si="6"/>
        <v>Mar</v>
      </c>
      <c r="I190" s="9">
        <f t="shared" ca="1" si="7"/>
        <v>12</v>
      </c>
      <c r="J190" s="8" t="s">
        <v>32</v>
      </c>
      <c r="K190" s="7">
        <v>30350</v>
      </c>
      <c r="L190" s="6">
        <v>1</v>
      </c>
      <c r="M190" s="31">
        <f t="shared" si="8"/>
        <v>30350</v>
      </c>
      <c r="N190" s="65"/>
      <c r="O190" s="14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 t="s">
        <v>590</v>
      </c>
      <c r="B191" s="12" t="s">
        <v>13</v>
      </c>
      <c r="C191" s="1" t="s">
        <v>20</v>
      </c>
      <c r="D191" s="11">
        <v>378281658</v>
      </c>
      <c r="E191" s="11">
        <v>9196705508</v>
      </c>
      <c r="F191" s="1" t="s">
        <v>12</v>
      </c>
      <c r="G191" s="4">
        <f>37527+(364+182)</f>
        <v>38073</v>
      </c>
      <c r="H191" s="67" t="str">
        <f t="shared" si="6"/>
        <v>Mar</v>
      </c>
      <c r="I191" s="9">
        <f t="shared" ca="1" si="7"/>
        <v>12</v>
      </c>
      <c r="J191" s="8"/>
      <c r="K191" s="7">
        <v>39300</v>
      </c>
      <c r="L191" s="6">
        <v>2</v>
      </c>
      <c r="M191" s="31">
        <f t="shared" si="8"/>
        <v>39300</v>
      </c>
      <c r="N191" s="65"/>
      <c r="O191" s="14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 t="s">
        <v>589</v>
      </c>
      <c r="B192" s="12" t="s">
        <v>2</v>
      </c>
      <c r="C192" s="1" t="s">
        <v>22</v>
      </c>
      <c r="D192" s="11">
        <v>546159785</v>
      </c>
      <c r="E192" s="11">
        <v>2522924678</v>
      </c>
      <c r="F192" s="1" t="s">
        <v>5</v>
      </c>
      <c r="G192" s="4">
        <f>37877+(364+182)</f>
        <v>38423</v>
      </c>
      <c r="H192" s="67" t="str">
        <f t="shared" si="6"/>
        <v>Mar</v>
      </c>
      <c r="I192" s="9">
        <f t="shared" ca="1" si="7"/>
        <v>11</v>
      </c>
      <c r="J192" s="8" t="s">
        <v>8</v>
      </c>
      <c r="K192" s="7">
        <v>61330</v>
      </c>
      <c r="L192" s="6">
        <v>2</v>
      </c>
      <c r="M192" s="31">
        <f t="shared" si="8"/>
        <v>61330</v>
      </c>
      <c r="N192" s="65"/>
      <c r="O192" s="14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 t="s">
        <v>588</v>
      </c>
      <c r="B193" s="12" t="s">
        <v>10</v>
      </c>
      <c r="C193" s="1" t="s">
        <v>6</v>
      </c>
      <c r="D193" s="11">
        <v>723066626</v>
      </c>
      <c r="E193" s="11">
        <v>2525399385</v>
      </c>
      <c r="F193" s="1" t="s">
        <v>12</v>
      </c>
      <c r="G193" s="4">
        <f>37892+(364+182)</f>
        <v>38438</v>
      </c>
      <c r="H193" s="67" t="str">
        <f t="shared" si="6"/>
        <v>Mar</v>
      </c>
      <c r="I193" s="9">
        <f t="shared" ca="1" si="7"/>
        <v>11</v>
      </c>
      <c r="J193" s="8"/>
      <c r="K193" s="7">
        <v>32880</v>
      </c>
      <c r="L193" s="6">
        <v>3</v>
      </c>
      <c r="M193" s="31">
        <f t="shared" si="8"/>
        <v>32880</v>
      </c>
      <c r="N193" s="65"/>
      <c r="O193" s="14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 t="s">
        <v>587</v>
      </c>
      <c r="B194" s="12" t="s">
        <v>2</v>
      </c>
      <c r="C194" s="1" t="s">
        <v>22</v>
      </c>
      <c r="D194" s="11">
        <v>920265140</v>
      </c>
      <c r="E194" s="11">
        <v>2524078104</v>
      </c>
      <c r="F194" s="1" t="s">
        <v>5</v>
      </c>
      <c r="G194" s="4">
        <f>38244+(364+182)</f>
        <v>38790</v>
      </c>
      <c r="H194" s="67" t="str">
        <f t="shared" si="6"/>
        <v>Mar</v>
      </c>
      <c r="I194" s="9">
        <f t="shared" ca="1" si="7"/>
        <v>10</v>
      </c>
      <c r="J194" s="8" t="s">
        <v>34</v>
      </c>
      <c r="K194" s="7">
        <v>62688</v>
      </c>
      <c r="L194" s="6">
        <v>3</v>
      </c>
      <c r="M194" s="31">
        <f t="shared" si="8"/>
        <v>62688</v>
      </c>
      <c r="N194" s="65"/>
      <c r="O194" s="14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 t="s">
        <v>586</v>
      </c>
      <c r="B195" s="12" t="s">
        <v>13</v>
      </c>
      <c r="C195" s="1" t="s">
        <v>52</v>
      </c>
      <c r="D195" s="11">
        <v>983047016</v>
      </c>
      <c r="E195" s="11">
        <v>9198451642</v>
      </c>
      <c r="F195" s="1" t="s">
        <v>12</v>
      </c>
      <c r="G195" s="4">
        <f>38247+(364+182)</f>
        <v>38793</v>
      </c>
      <c r="H195" s="67" t="str">
        <f t="shared" ref="H195:H258" si="9">CHOOSE(MONTH(G195),"Jan","Feb","Mar","Apr","May","Jun","Jul","Aug","Sep","Oct","Nov","Dec")</f>
        <v>Mar</v>
      </c>
      <c r="I195" s="9">
        <f t="shared" ref="I195:I258" ca="1" si="10">DATEDIF(G195,TODAY(),"Y")</f>
        <v>10</v>
      </c>
      <c r="J195" s="8"/>
      <c r="K195" s="7">
        <v>85930</v>
      </c>
      <c r="L195" s="6">
        <v>2</v>
      </c>
      <c r="M195" s="31">
        <f t="shared" ref="M195:M258" si="11">ROUND(K195*P193+K195,0)</f>
        <v>85930</v>
      </c>
      <c r="N195" s="65"/>
      <c r="O195" s="14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 t="s">
        <v>585</v>
      </c>
      <c r="B196" s="12" t="s">
        <v>13</v>
      </c>
      <c r="C196" s="1" t="s">
        <v>28</v>
      </c>
      <c r="D196" s="11">
        <v>365499498</v>
      </c>
      <c r="E196" s="11">
        <v>2523575849</v>
      </c>
      <c r="F196" s="1" t="s">
        <v>5</v>
      </c>
      <c r="G196" s="4">
        <f>38261+(364+182)</f>
        <v>38807</v>
      </c>
      <c r="H196" s="67" t="str">
        <f t="shared" si="9"/>
        <v>Mar</v>
      </c>
      <c r="I196" s="9">
        <f t="shared" ca="1" si="10"/>
        <v>10</v>
      </c>
      <c r="J196" s="8" t="s">
        <v>32</v>
      </c>
      <c r="K196" s="7">
        <v>47060</v>
      </c>
      <c r="L196" s="6">
        <v>4</v>
      </c>
      <c r="M196" s="31">
        <f t="shared" si="11"/>
        <v>47060</v>
      </c>
      <c r="N196" s="65"/>
      <c r="O196" s="14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4" t="s">
        <v>584</v>
      </c>
      <c r="B197" s="12" t="s">
        <v>39</v>
      </c>
      <c r="C197" s="14" t="s">
        <v>30</v>
      </c>
      <c r="D197" s="15">
        <v>948195711</v>
      </c>
      <c r="E197" s="15">
        <v>2523539786</v>
      </c>
      <c r="F197" s="14" t="s">
        <v>12</v>
      </c>
      <c r="G197" s="10">
        <f>38601+(364+182)</f>
        <v>39147</v>
      </c>
      <c r="H197" s="67" t="str">
        <f t="shared" si="9"/>
        <v>Mar</v>
      </c>
      <c r="I197" s="9">
        <f t="shared" ca="1" si="10"/>
        <v>9</v>
      </c>
      <c r="J197" s="8"/>
      <c r="K197" s="7">
        <v>42540</v>
      </c>
      <c r="L197" s="6">
        <v>5</v>
      </c>
      <c r="M197" s="31">
        <f t="shared" si="11"/>
        <v>42540</v>
      </c>
      <c r="N197" s="65"/>
      <c r="O197" s="14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 t="s">
        <v>583</v>
      </c>
      <c r="B198" s="12" t="s">
        <v>13</v>
      </c>
      <c r="C198" s="1" t="s">
        <v>16</v>
      </c>
      <c r="D198" s="11">
        <v>510190628</v>
      </c>
      <c r="E198" s="11">
        <v>2527405629</v>
      </c>
      <c r="F198" s="1" t="s">
        <v>5</v>
      </c>
      <c r="G198" s="4">
        <f>38601+(364+182)</f>
        <v>39147</v>
      </c>
      <c r="H198" s="67" t="str">
        <f t="shared" si="9"/>
        <v>Mar</v>
      </c>
      <c r="I198" s="9">
        <f t="shared" ca="1" si="10"/>
        <v>9</v>
      </c>
      <c r="J198" s="8" t="s">
        <v>4</v>
      </c>
      <c r="K198" s="7">
        <v>43680</v>
      </c>
      <c r="L198" s="6">
        <v>5</v>
      </c>
      <c r="M198" s="31">
        <f t="shared" si="11"/>
        <v>43680</v>
      </c>
      <c r="N198" s="65"/>
      <c r="O198" s="14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 t="s">
        <v>582</v>
      </c>
      <c r="B199" s="12" t="s">
        <v>39</v>
      </c>
      <c r="C199" s="1" t="s">
        <v>52</v>
      </c>
      <c r="D199" s="11">
        <v>765836666</v>
      </c>
      <c r="E199" s="11">
        <v>2525013435</v>
      </c>
      <c r="F199" s="1" t="s">
        <v>5</v>
      </c>
      <c r="G199" s="4">
        <f>38607+(364+182)</f>
        <v>39153</v>
      </c>
      <c r="H199" s="67" t="str">
        <f t="shared" si="9"/>
        <v>Mar</v>
      </c>
      <c r="I199" s="9">
        <f t="shared" ca="1" si="10"/>
        <v>9</v>
      </c>
      <c r="J199" s="8" t="s">
        <v>4</v>
      </c>
      <c r="K199" s="7">
        <v>43600</v>
      </c>
      <c r="L199" s="6">
        <v>5</v>
      </c>
      <c r="M199" s="31">
        <f t="shared" si="11"/>
        <v>43600</v>
      </c>
      <c r="N199" s="65"/>
      <c r="O199" s="14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 t="s">
        <v>581</v>
      </c>
      <c r="B200" s="12" t="s">
        <v>39</v>
      </c>
      <c r="C200" s="1" t="s">
        <v>60</v>
      </c>
      <c r="D200" s="11">
        <v>895408697</v>
      </c>
      <c r="E200" s="11">
        <v>2523383207</v>
      </c>
      <c r="F200" s="1" t="s">
        <v>5</v>
      </c>
      <c r="G200" s="4">
        <f>38611+(364+182)</f>
        <v>39157</v>
      </c>
      <c r="H200" s="67" t="str">
        <f t="shared" si="9"/>
        <v>Mar</v>
      </c>
      <c r="I200" s="9">
        <f t="shared" ca="1" si="10"/>
        <v>9</v>
      </c>
      <c r="J200" s="8" t="s">
        <v>4</v>
      </c>
      <c r="K200" s="7">
        <v>47610</v>
      </c>
      <c r="L200" s="6">
        <v>4</v>
      </c>
      <c r="M200" s="31">
        <f t="shared" si="11"/>
        <v>47610</v>
      </c>
      <c r="N200" s="65"/>
      <c r="O200" s="14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 t="s">
        <v>580</v>
      </c>
      <c r="B201" s="12" t="s">
        <v>10</v>
      </c>
      <c r="C201" s="1" t="s">
        <v>6</v>
      </c>
      <c r="D201" s="11">
        <v>276873359</v>
      </c>
      <c r="E201" s="11">
        <v>2522304625</v>
      </c>
      <c r="F201" s="1" t="s">
        <v>5</v>
      </c>
      <c r="G201" s="4">
        <f>38625+(364+182)</f>
        <v>39171</v>
      </c>
      <c r="H201" s="67" t="str">
        <f t="shared" si="9"/>
        <v>Mar</v>
      </c>
      <c r="I201" s="9">
        <f t="shared" ca="1" si="10"/>
        <v>9</v>
      </c>
      <c r="J201" s="8" t="s">
        <v>19</v>
      </c>
      <c r="K201" s="7">
        <v>25690</v>
      </c>
      <c r="L201" s="6">
        <v>2</v>
      </c>
      <c r="M201" s="31">
        <f t="shared" si="11"/>
        <v>25690</v>
      </c>
      <c r="N201" s="65"/>
      <c r="O201" s="14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 t="s">
        <v>579</v>
      </c>
      <c r="B202" s="12" t="s">
        <v>17</v>
      </c>
      <c r="C202" s="1" t="s">
        <v>84</v>
      </c>
      <c r="D202" s="11">
        <v>106966222</v>
      </c>
      <c r="E202" s="11">
        <v>9198310129</v>
      </c>
      <c r="F202" s="1" t="s">
        <v>12</v>
      </c>
      <c r="G202" s="4">
        <f>38983+(364+182)</f>
        <v>39529</v>
      </c>
      <c r="H202" s="67" t="str">
        <f t="shared" si="9"/>
        <v>Mar</v>
      </c>
      <c r="I202" s="9">
        <f t="shared" ca="1" si="10"/>
        <v>8</v>
      </c>
      <c r="J202" s="8"/>
      <c r="K202" s="7">
        <v>35620</v>
      </c>
      <c r="L202" s="6">
        <v>4</v>
      </c>
      <c r="M202" s="31">
        <f t="shared" si="11"/>
        <v>35620</v>
      </c>
      <c r="N202" s="65"/>
      <c r="O202" s="14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 t="s">
        <v>578</v>
      </c>
      <c r="B203" s="12" t="s">
        <v>10</v>
      </c>
      <c r="C203" s="1" t="s">
        <v>6</v>
      </c>
      <c r="D203" s="11">
        <v>843299208</v>
      </c>
      <c r="E203" s="11">
        <v>9198631557</v>
      </c>
      <c r="F203" s="1" t="s">
        <v>15</v>
      </c>
      <c r="G203" s="4">
        <f>38989+(364+182)</f>
        <v>39535</v>
      </c>
      <c r="H203" s="67" t="str">
        <f t="shared" si="9"/>
        <v>Mar</v>
      </c>
      <c r="I203" s="9">
        <f t="shared" ca="1" si="10"/>
        <v>8</v>
      </c>
      <c r="J203" s="8" t="s">
        <v>8</v>
      </c>
      <c r="K203" s="7">
        <v>49080</v>
      </c>
      <c r="L203" s="6">
        <v>5</v>
      </c>
      <c r="M203" s="31">
        <f t="shared" si="11"/>
        <v>49080</v>
      </c>
      <c r="N203" s="65"/>
      <c r="O203" s="14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 t="s">
        <v>577</v>
      </c>
      <c r="B204" s="12" t="s">
        <v>39</v>
      </c>
      <c r="C204" s="1" t="s">
        <v>20</v>
      </c>
      <c r="D204" s="11">
        <v>318068637</v>
      </c>
      <c r="E204" s="11">
        <v>9193709408</v>
      </c>
      <c r="F204" s="1" t="s">
        <v>12</v>
      </c>
      <c r="G204" s="4">
        <f>38992+(364+182)</f>
        <v>39538</v>
      </c>
      <c r="H204" s="67" t="str">
        <f t="shared" si="9"/>
        <v>Mar</v>
      </c>
      <c r="I204" s="9">
        <f t="shared" ca="1" si="10"/>
        <v>8</v>
      </c>
      <c r="J204" s="8"/>
      <c r="K204" s="7">
        <v>62780</v>
      </c>
      <c r="L204" s="6">
        <v>4</v>
      </c>
      <c r="M204" s="31">
        <f t="shared" si="11"/>
        <v>62780</v>
      </c>
      <c r="N204" s="65"/>
      <c r="O204" s="14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 t="s">
        <v>576</v>
      </c>
      <c r="B205" s="12" t="s">
        <v>17</v>
      </c>
      <c r="C205" s="1" t="s">
        <v>72</v>
      </c>
      <c r="D205" s="11">
        <v>407299017</v>
      </c>
      <c r="E205" s="11">
        <v>9195968632</v>
      </c>
      <c r="F205" s="1" t="s">
        <v>0</v>
      </c>
      <c r="G205" s="4">
        <f>39347+(364+182)</f>
        <v>39893</v>
      </c>
      <c r="H205" s="67" t="str">
        <f t="shared" si="9"/>
        <v>Mar</v>
      </c>
      <c r="I205" s="9">
        <f t="shared" ca="1" si="10"/>
        <v>7</v>
      </c>
      <c r="J205" s="8"/>
      <c r="K205" s="7">
        <v>15744</v>
      </c>
      <c r="L205" s="6">
        <v>3</v>
      </c>
      <c r="M205" s="31">
        <f t="shared" si="11"/>
        <v>15744</v>
      </c>
      <c r="N205" s="65"/>
      <c r="O205" s="14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 t="s">
        <v>575</v>
      </c>
      <c r="B206" s="12" t="s">
        <v>39</v>
      </c>
      <c r="C206" s="1" t="s">
        <v>22</v>
      </c>
      <c r="D206" s="11">
        <v>151277827</v>
      </c>
      <c r="E206" s="11">
        <v>9197179128</v>
      </c>
      <c r="F206" s="1" t="s">
        <v>5</v>
      </c>
      <c r="G206" s="4">
        <f>39353+(364+182)</f>
        <v>39899</v>
      </c>
      <c r="H206" s="67" t="str">
        <f t="shared" si="9"/>
        <v>Mar</v>
      </c>
      <c r="I206" s="9">
        <f t="shared" ca="1" si="10"/>
        <v>7</v>
      </c>
      <c r="J206" s="8" t="s">
        <v>32</v>
      </c>
      <c r="K206" s="7">
        <v>24790</v>
      </c>
      <c r="L206" s="6">
        <v>3</v>
      </c>
      <c r="M206" s="31">
        <f t="shared" si="11"/>
        <v>24790</v>
      </c>
      <c r="N206" s="65"/>
      <c r="O206" s="14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 t="s">
        <v>574</v>
      </c>
      <c r="B207" s="12" t="s">
        <v>13</v>
      </c>
      <c r="C207" s="1" t="s">
        <v>84</v>
      </c>
      <c r="D207" s="11">
        <v>495042805</v>
      </c>
      <c r="E207" s="11">
        <v>9197146686</v>
      </c>
      <c r="F207" s="1" t="s">
        <v>12</v>
      </c>
      <c r="G207" s="13">
        <f>39707+(364+182)</f>
        <v>40253</v>
      </c>
      <c r="H207" s="67" t="str">
        <f t="shared" si="9"/>
        <v>Mar</v>
      </c>
      <c r="I207" s="9">
        <f t="shared" ca="1" si="10"/>
        <v>6</v>
      </c>
      <c r="J207" s="8"/>
      <c r="K207" s="7">
        <v>59350</v>
      </c>
      <c r="L207" s="6">
        <v>5</v>
      </c>
      <c r="M207" s="31">
        <f t="shared" si="11"/>
        <v>59350</v>
      </c>
      <c r="N207" s="65"/>
      <c r="O207" s="14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 t="s">
        <v>573</v>
      </c>
      <c r="B208" s="12" t="s">
        <v>56</v>
      </c>
      <c r="C208" s="1" t="s">
        <v>22</v>
      </c>
      <c r="D208" s="11">
        <v>618775364</v>
      </c>
      <c r="E208" s="11">
        <v>9193182167</v>
      </c>
      <c r="F208" s="1" t="s">
        <v>15</v>
      </c>
      <c r="G208" s="13">
        <f>39708+(364+182)</f>
        <v>40254</v>
      </c>
      <c r="H208" s="67" t="str">
        <f t="shared" si="9"/>
        <v>Mar</v>
      </c>
      <c r="I208" s="9">
        <f t="shared" ca="1" si="10"/>
        <v>6</v>
      </c>
      <c r="J208" s="8" t="s">
        <v>4</v>
      </c>
      <c r="K208" s="7">
        <v>48700</v>
      </c>
      <c r="L208" s="6">
        <v>3</v>
      </c>
      <c r="M208" s="31">
        <f t="shared" si="11"/>
        <v>48700</v>
      </c>
      <c r="N208" s="65"/>
      <c r="O208" s="14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 t="s">
        <v>572</v>
      </c>
      <c r="B209" s="12" t="s">
        <v>2</v>
      </c>
      <c r="C209" s="1" t="s">
        <v>72</v>
      </c>
      <c r="D209" s="11">
        <v>956291859</v>
      </c>
      <c r="E209" s="11">
        <v>2521156902</v>
      </c>
      <c r="F209" s="1" t="s">
        <v>12</v>
      </c>
      <c r="G209" s="4">
        <f>39713+(364+182)</f>
        <v>40259</v>
      </c>
      <c r="H209" s="67" t="str">
        <f t="shared" si="9"/>
        <v>Mar</v>
      </c>
      <c r="I209" s="9">
        <f t="shared" ca="1" si="10"/>
        <v>6</v>
      </c>
      <c r="J209" s="8"/>
      <c r="K209" s="7">
        <v>45710</v>
      </c>
      <c r="L209" s="6">
        <v>3</v>
      </c>
      <c r="M209" s="31">
        <f t="shared" si="11"/>
        <v>45710</v>
      </c>
      <c r="N209" s="65"/>
      <c r="O209" s="14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 t="s">
        <v>571</v>
      </c>
      <c r="B210" s="12" t="s">
        <v>56</v>
      </c>
      <c r="C210" s="1" t="s">
        <v>50</v>
      </c>
      <c r="D210" s="11">
        <v>117896630</v>
      </c>
      <c r="E210" s="11">
        <v>9197173558</v>
      </c>
      <c r="F210" s="1" t="s">
        <v>12</v>
      </c>
      <c r="G210" s="4">
        <f>39717+(364+182)</f>
        <v>40263</v>
      </c>
      <c r="H210" s="67" t="str">
        <f t="shared" si="9"/>
        <v>Mar</v>
      </c>
      <c r="I210" s="9">
        <f t="shared" ca="1" si="10"/>
        <v>6</v>
      </c>
      <c r="J210" s="8" t="s">
        <v>19</v>
      </c>
      <c r="K210" s="7">
        <v>71190</v>
      </c>
      <c r="L210" s="6">
        <v>4</v>
      </c>
      <c r="M210" s="31">
        <f t="shared" si="11"/>
        <v>71190</v>
      </c>
      <c r="N210" s="65"/>
      <c r="O210" s="14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 t="s">
        <v>570</v>
      </c>
      <c r="B211" s="12" t="s">
        <v>13</v>
      </c>
      <c r="C211" s="1" t="s">
        <v>20</v>
      </c>
      <c r="D211" s="11">
        <v>377194926</v>
      </c>
      <c r="E211" s="11">
        <v>9197362525</v>
      </c>
      <c r="F211" s="1" t="s">
        <v>5</v>
      </c>
      <c r="G211" s="13">
        <f>40057+(364+182)</f>
        <v>40603</v>
      </c>
      <c r="H211" s="67" t="str">
        <f t="shared" si="9"/>
        <v>Mar</v>
      </c>
      <c r="I211" s="9">
        <f t="shared" ca="1" si="10"/>
        <v>5</v>
      </c>
      <c r="J211" s="8" t="s">
        <v>19</v>
      </c>
      <c r="K211" s="7">
        <v>44260</v>
      </c>
      <c r="L211" s="6">
        <v>1</v>
      </c>
      <c r="M211" s="31">
        <f t="shared" si="11"/>
        <v>44260</v>
      </c>
      <c r="N211" s="65"/>
      <c r="O211" s="14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 t="s">
        <v>569</v>
      </c>
      <c r="B212" s="12" t="s">
        <v>56</v>
      </c>
      <c r="C212" s="1" t="s">
        <v>28</v>
      </c>
      <c r="D212" s="11">
        <v>711445298</v>
      </c>
      <c r="E212" s="11">
        <v>2528359862</v>
      </c>
      <c r="F212" s="1" t="s">
        <v>12</v>
      </c>
      <c r="G212" s="18">
        <f>40074+(364+182)</f>
        <v>40620</v>
      </c>
      <c r="H212" s="67" t="str">
        <f t="shared" si="9"/>
        <v>Mar</v>
      </c>
      <c r="I212" s="9">
        <f t="shared" ca="1" si="10"/>
        <v>5</v>
      </c>
      <c r="J212" s="8"/>
      <c r="K212" s="7">
        <v>84300</v>
      </c>
      <c r="L212" s="6">
        <v>1</v>
      </c>
      <c r="M212" s="31">
        <f t="shared" si="11"/>
        <v>84300</v>
      </c>
      <c r="N212" s="65"/>
      <c r="O212" s="14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 t="s">
        <v>568</v>
      </c>
      <c r="B213" s="12" t="s">
        <v>17</v>
      </c>
      <c r="C213" s="1" t="s">
        <v>22</v>
      </c>
      <c r="D213" s="11">
        <v>728567428</v>
      </c>
      <c r="E213" s="11">
        <v>2521957923</v>
      </c>
      <c r="F213" s="1" t="s">
        <v>5</v>
      </c>
      <c r="G213" s="4">
        <f>40078+(364+182)</f>
        <v>40624</v>
      </c>
      <c r="H213" s="67" t="str">
        <f t="shared" si="9"/>
        <v>Mar</v>
      </c>
      <c r="I213" s="9">
        <f t="shared" ca="1" si="10"/>
        <v>5</v>
      </c>
      <c r="J213" s="8" t="s">
        <v>8</v>
      </c>
      <c r="K213" s="7">
        <v>86500</v>
      </c>
      <c r="L213" s="6">
        <v>1</v>
      </c>
      <c r="M213" s="31">
        <f t="shared" si="11"/>
        <v>86500</v>
      </c>
      <c r="N213" s="65"/>
      <c r="O213" s="14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 t="s">
        <v>567</v>
      </c>
      <c r="B214" s="12" t="s">
        <v>39</v>
      </c>
      <c r="C214" s="1" t="s">
        <v>26</v>
      </c>
      <c r="D214" s="11">
        <v>787156286</v>
      </c>
      <c r="E214" s="11">
        <v>2524588703</v>
      </c>
      <c r="F214" s="1" t="s">
        <v>5</v>
      </c>
      <c r="G214" s="4">
        <f>32802+(364+182)</f>
        <v>33348</v>
      </c>
      <c r="H214" s="67" t="str">
        <f t="shared" si="9"/>
        <v>Apr</v>
      </c>
      <c r="I214" s="9">
        <f t="shared" ca="1" si="10"/>
        <v>25</v>
      </c>
      <c r="J214" s="8" t="s">
        <v>8</v>
      </c>
      <c r="K214" s="7">
        <v>49810</v>
      </c>
      <c r="L214" s="6">
        <v>2</v>
      </c>
      <c r="M214" s="31">
        <f t="shared" si="11"/>
        <v>49810</v>
      </c>
      <c r="N214" s="65"/>
      <c r="O214" s="14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 t="s">
        <v>566</v>
      </c>
      <c r="B215" s="12" t="s">
        <v>13</v>
      </c>
      <c r="C215" s="1" t="s">
        <v>74</v>
      </c>
      <c r="D215" s="11">
        <v>219740602</v>
      </c>
      <c r="E215" s="11">
        <v>9197429525</v>
      </c>
      <c r="F215" s="1" t="s">
        <v>15</v>
      </c>
      <c r="G215" s="4">
        <f>32803+(364+182)</f>
        <v>33349</v>
      </c>
      <c r="H215" s="67" t="str">
        <f t="shared" si="9"/>
        <v>Apr</v>
      </c>
      <c r="I215" s="9">
        <f t="shared" ca="1" si="10"/>
        <v>25</v>
      </c>
      <c r="J215" s="8" t="s">
        <v>8</v>
      </c>
      <c r="K215" s="7">
        <v>16015</v>
      </c>
      <c r="L215" s="6">
        <v>3</v>
      </c>
      <c r="M215" s="31">
        <f t="shared" si="11"/>
        <v>16015</v>
      </c>
      <c r="N215" s="65"/>
      <c r="O215" s="14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 t="s">
        <v>565</v>
      </c>
      <c r="B216" s="12" t="s">
        <v>13</v>
      </c>
      <c r="C216" s="1" t="s">
        <v>60</v>
      </c>
      <c r="D216" s="11">
        <v>275102740</v>
      </c>
      <c r="E216" s="11">
        <v>2521620909</v>
      </c>
      <c r="F216" s="1" t="s">
        <v>5</v>
      </c>
      <c r="G216" s="4">
        <f>33149+(364+182)</f>
        <v>33695</v>
      </c>
      <c r="H216" s="67" t="str">
        <f t="shared" si="9"/>
        <v>Apr</v>
      </c>
      <c r="I216" s="9">
        <f t="shared" ca="1" si="10"/>
        <v>24</v>
      </c>
      <c r="J216" s="8" t="s">
        <v>34</v>
      </c>
      <c r="K216" s="7">
        <v>60560</v>
      </c>
      <c r="L216" s="6">
        <v>4</v>
      </c>
      <c r="M216" s="31">
        <f t="shared" si="11"/>
        <v>60560</v>
      </c>
      <c r="N216" s="65"/>
      <c r="O216" s="14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 t="s">
        <v>564</v>
      </c>
      <c r="B217" s="12" t="s">
        <v>39</v>
      </c>
      <c r="C217" s="1" t="s">
        <v>60</v>
      </c>
      <c r="D217" s="11">
        <v>948189231</v>
      </c>
      <c r="E217" s="11">
        <v>2527687161</v>
      </c>
      <c r="F217" s="1" t="s">
        <v>5</v>
      </c>
      <c r="G217" s="4">
        <f>33156+(364+182)</f>
        <v>33702</v>
      </c>
      <c r="H217" s="67" t="str">
        <f t="shared" si="9"/>
        <v>Apr</v>
      </c>
      <c r="I217" s="9">
        <f t="shared" ca="1" si="10"/>
        <v>24</v>
      </c>
      <c r="J217" s="8" t="s">
        <v>32</v>
      </c>
      <c r="K217" s="7">
        <v>37020</v>
      </c>
      <c r="L217" s="6">
        <v>2</v>
      </c>
      <c r="M217" s="31">
        <f t="shared" si="11"/>
        <v>37020</v>
      </c>
      <c r="N217" s="65"/>
      <c r="O217" s="14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 t="s">
        <v>563</v>
      </c>
      <c r="B218" s="12" t="s">
        <v>39</v>
      </c>
      <c r="C218" s="1" t="s">
        <v>72</v>
      </c>
      <c r="D218" s="11">
        <v>304068732</v>
      </c>
      <c r="E218" s="11">
        <v>2523919445</v>
      </c>
      <c r="F218" s="1" t="s">
        <v>15</v>
      </c>
      <c r="G218" s="4">
        <f>33163+(364+182)</f>
        <v>33709</v>
      </c>
      <c r="H218" s="67" t="str">
        <f t="shared" si="9"/>
        <v>Apr</v>
      </c>
      <c r="I218" s="9">
        <f t="shared" ca="1" si="10"/>
        <v>24</v>
      </c>
      <c r="J218" s="8" t="s">
        <v>32</v>
      </c>
      <c r="K218" s="7">
        <v>34110</v>
      </c>
      <c r="L218" s="6">
        <v>4</v>
      </c>
      <c r="M218" s="31">
        <f t="shared" si="11"/>
        <v>34110</v>
      </c>
      <c r="N218" s="69"/>
      <c r="O218" s="14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 t="s">
        <v>562</v>
      </c>
      <c r="B219" s="12" t="s">
        <v>13</v>
      </c>
      <c r="C219" s="1" t="s">
        <v>52</v>
      </c>
      <c r="D219" s="11">
        <v>693965055</v>
      </c>
      <c r="E219" s="11">
        <v>2527853314</v>
      </c>
      <c r="F219" s="1" t="s">
        <v>5</v>
      </c>
      <c r="G219" s="4">
        <f>33165+(364+182)</f>
        <v>33711</v>
      </c>
      <c r="H219" s="67" t="str">
        <f t="shared" si="9"/>
        <v>Apr</v>
      </c>
      <c r="I219" s="9">
        <f t="shared" ca="1" si="10"/>
        <v>24</v>
      </c>
      <c r="J219" s="8" t="s">
        <v>32</v>
      </c>
      <c r="K219" s="7">
        <v>68470</v>
      </c>
      <c r="L219" s="6">
        <v>4</v>
      </c>
      <c r="M219" s="31">
        <f t="shared" si="11"/>
        <v>68470</v>
      </c>
      <c r="N219" s="65"/>
      <c r="O219" s="14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 t="s">
        <v>561</v>
      </c>
      <c r="B220" s="12" t="s">
        <v>13</v>
      </c>
      <c r="C220" s="1" t="s">
        <v>24</v>
      </c>
      <c r="D220" s="11">
        <v>682791418</v>
      </c>
      <c r="E220" s="11">
        <v>9194603155</v>
      </c>
      <c r="F220" s="1" t="s">
        <v>5</v>
      </c>
      <c r="G220" s="4">
        <f>33167+(364+182)</f>
        <v>33713</v>
      </c>
      <c r="H220" s="67" t="str">
        <f t="shared" si="9"/>
        <v>Apr</v>
      </c>
      <c r="I220" s="9">
        <f t="shared" ca="1" si="10"/>
        <v>24</v>
      </c>
      <c r="J220" s="8" t="s">
        <v>32</v>
      </c>
      <c r="K220" s="7">
        <v>46220</v>
      </c>
      <c r="L220" s="6">
        <v>3</v>
      </c>
      <c r="M220" s="31">
        <f t="shared" si="11"/>
        <v>46220</v>
      </c>
      <c r="N220" s="69"/>
      <c r="O220" s="6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 t="s">
        <v>560</v>
      </c>
      <c r="B221" s="12" t="s">
        <v>39</v>
      </c>
      <c r="C221" s="1" t="s">
        <v>20</v>
      </c>
      <c r="D221" s="11">
        <v>467030396</v>
      </c>
      <c r="E221" s="11">
        <v>2526213620</v>
      </c>
      <c r="F221" s="1" t="s">
        <v>5</v>
      </c>
      <c r="G221" s="4">
        <f>33174+(364+182)</f>
        <v>33720</v>
      </c>
      <c r="H221" s="67" t="str">
        <f t="shared" si="9"/>
        <v>Apr</v>
      </c>
      <c r="I221" s="9">
        <f t="shared" ca="1" si="10"/>
        <v>24</v>
      </c>
      <c r="J221" s="8" t="s">
        <v>4</v>
      </c>
      <c r="K221" s="7">
        <v>58910</v>
      </c>
      <c r="L221" s="6">
        <v>1</v>
      </c>
      <c r="M221" s="31">
        <f t="shared" si="11"/>
        <v>58910</v>
      </c>
      <c r="N221" s="65"/>
      <c r="O221" s="14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 t="s">
        <v>559</v>
      </c>
      <c r="B222" s="12" t="s">
        <v>17</v>
      </c>
      <c r="C222" s="1" t="s">
        <v>20</v>
      </c>
      <c r="D222" s="11">
        <v>854806695</v>
      </c>
      <c r="E222" s="11">
        <v>9192672603</v>
      </c>
      <c r="F222" s="1" t="s">
        <v>5</v>
      </c>
      <c r="G222" s="4">
        <f>33175+(364+182)</f>
        <v>33721</v>
      </c>
      <c r="H222" s="67" t="str">
        <f t="shared" si="9"/>
        <v>Apr</v>
      </c>
      <c r="I222" s="9">
        <f t="shared" ca="1" si="10"/>
        <v>24</v>
      </c>
      <c r="J222" s="8" t="s">
        <v>4</v>
      </c>
      <c r="K222" s="7">
        <v>26190</v>
      </c>
      <c r="L222" s="6">
        <v>5</v>
      </c>
      <c r="M222" s="31">
        <f t="shared" si="11"/>
        <v>26190</v>
      </c>
      <c r="N222" s="65"/>
      <c r="O222" s="14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25">
      <c r="A223" s="1" t="s">
        <v>558</v>
      </c>
      <c r="B223" s="12" t="s">
        <v>17</v>
      </c>
      <c r="C223" s="1" t="s">
        <v>22</v>
      </c>
      <c r="D223" s="11">
        <v>558903229</v>
      </c>
      <c r="E223" s="11">
        <v>9195699651</v>
      </c>
      <c r="F223" s="1" t="s">
        <v>5</v>
      </c>
      <c r="G223" s="4">
        <f>33515+(364+182)</f>
        <v>34061</v>
      </c>
      <c r="H223" s="67" t="str">
        <f t="shared" si="9"/>
        <v>Apr</v>
      </c>
      <c r="I223" s="9">
        <f t="shared" ca="1" si="10"/>
        <v>23</v>
      </c>
      <c r="J223" s="8" t="s">
        <v>32</v>
      </c>
      <c r="K223" s="7">
        <v>23320</v>
      </c>
      <c r="L223" s="6">
        <v>4</v>
      </c>
      <c r="M223" s="31">
        <f t="shared" si="11"/>
        <v>23320</v>
      </c>
      <c r="N223" s="65"/>
      <c r="O223" s="14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25">
      <c r="A224" s="1" t="s">
        <v>557</v>
      </c>
      <c r="B224" s="12" t="s">
        <v>13</v>
      </c>
      <c r="C224" s="1" t="s">
        <v>60</v>
      </c>
      <c r="D224" s="11">
        <v>443476169</v>
      </c>
      <c r="E224" s="11">
        <v>9195085809</v>
      </c>
      <c r="F224" s="1" t="s">
        <v>5</v>
      </c>
      <c r="G224" s="4">
        <f>33521+(364+182)</f>
        <v>34067</v>
      </c>
      <c r="H224" s="67" t="str">
        <f t="shared" si="9"/>
        <v>Apr</v>
      </c>
      <c r="I224" s="9">
        <f t="shared" ca="1" si="10"/>
        <v>23</v>
      </c>
      <c r="J224" s="8" t="s">
        <v>19</v>
      </c>
      <c r="K224" s="7">
        <v>86540</v>
      </c>
      <c r="L224" s="6">
        <v>4</v>
      </c>
      <c r="M224" s="31">
        <f t="shared" si="11"/>
        <v>86540</v>
      </c>
      <c r="N224" s="65"/>
      <c r="O224" s="14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25">
      <c r="A225" s="1" t="s">
        <v>556</v>
      </c>
      <c r="B225" s="12" t="s">
        <v>10</v>
      </c>
      <c r="C225" s="1" t="s">
        <v>20</v>
      </c>
      <c r="D225" s="11">
        <v>487810878</v>
      </c>
      <c r="E225" s="11">
        <v>9194555389</v>
      </c>
      <c r="F225" s="1" t="s">
        <v>5</v>
      </c>
      <c r="G225" s="4">
        <f>33522+(364+182)</f>
        <v>34068</v>
      </c>
      <c r="H225" s="67" t="str">
        <f t="shared" si="9"/>
        <v>Apr</v>
      </c>
      <c r="I225" s="9">
        <f t="shared" ca="1" si="10"/>
        <v>23</v>
      </c>
      <c r="J225" s="8" t="s">
        <v>4</v>
      </c>
      <c r="K225" s="7">
        <v>23330</v>
      </c>
      <c r="L225" s="6">
        <v>4</v>
      </c>
      <c r="M225" s="31">
        <f t="shared" si="11"/>
        <v>23330</v>
      </c>
      <c r="N225" s="65"/>
      <c r="O225" s="14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25">
      <c r="A226" s="1" t="s">
        <v>555</v>
      </c>
      <c r="B226" s="12" t="s">
        <v>17</v>
      </c>
      <c r="C226" s="1" t="s">
        <v>37</v>
      </c>
      <c r="D226" s="11">
        <v>202815919</v>
      </c>
      <c r="E226" s="11">
        <v>2528467597</v>
      </c>
      <c r="F226" s="1" t="s">
        <v>12</v>
      </c>
      <c r="G226" s="4">
        <f>33530+(364+182)</f>
        <v>34076</v>
      </c>
      <c r="H226" s="67" t="str">
        <f t="shared" si="9"/>
        <v>Apr</v>
      </c>
      <c r="I226" s="9">
        <f t="shared" ca="1" si="10"/>
        <v>23</v>
      </c>
      <c r="J226" s="8"/>
      <c r="K226" s="7">
        <v>66580</v>
      </c>
      <c r="L226" s="6">
        <v>5</v>
      </c>
      <c r="M226" s="31">
        <f t="shared" si="11"/>
        <v>66580</v>
      </c>
      <c r="N226" s="69"/>
      <c r="O226" s="68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25">
      <c r="A227" s="1" t="s">
        <v>554</v>
      </c>
      <c r="B227" s="12" t="s">
        <v>13</v>
      </c>
      <c r="C227" s="1" t="s">
        <v>72</v>
      </c>
      <c r="D227" s="11">
        <v>302598687</v>
      </c>
      <c r="E227" s="11">
        <v>9195394899</v>
      </c>
      <c r="F227" s="1" t="s">
        <v>5</v>
      </c>
      <c r="G227" s="4">
        <f>33540+(364+182)</f>
        <v>34086</v>
      </c>
      <c r="H227" s="67" t="str">
        <f t="shared" si="9"/>
        <v>Apr</v>
      </c>
      <c r="I227" s="9">
        <f t="shared" ca="1" si="10"/>
        <v>23</v>
      </c>
      <c r="J227" s="8" t="s">
        <v>32</v>
      </c>
      <c r="K227" s="7">
        <v>31840</v>
      </c>
      <c r="L227" s="6">
        <v>1</v>
      </c>
      <c r="M227" s="31">
        <f t="shared" si="11"/>
        <v>31840</v>
      </c>
      <c r="N227" s="65"/>
      <c r="O227" s="14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25">
      <c r="A228" s="1" t="s">
        <v>553</v>
      </c>
      <c r="B228" s="12" t="s">
        <v>17</v>
      </c>
      <c r="C228" s="1" t="s">
        <v>20</v>
      </c>
      <c r="D228" s="11">
        <v>219245495</v>
      </c>
      <c r="E228" s="11">
        <v>9198256039</v>
      </c>
      <c r="F228" s="1" t="s">
        <v>12</v>
      </c>
      <c r="G228" s="4">
        <f>33879+(364+182)</f>
        <v>34425</v>
      </c>
      <c r="H228" s="67" t="str">
        <f t="shared" si="9"/>
        <v>Apr</v>
      </c>
      <c r="I228" s="9">
        <f t="shared" ca="1" si="10"/>
        <v>22</v>
      </c>
      <c r="J228" s="8"/>
      <c r="K228" s="7">
        <v>63310</v>
      </c>
      <c r="L228" s="6">
        <v>3</v>
      </c>
      <c r="M228" s="31">
        <f t="shared" si="11"/>
        <v>63310</v>
      </c>
      <c r="N228" s="65"/>
      <c r="O228" s="14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25">
      <c r="A229" s="1" t="s">
        <v>552</v>
      </c>
      <c r="B229" s="12" t="s">
        <v>17</v>
      </c>
      <c r="C229" s="1" t="s">
        <v>6</v>
      </c>
      <c r="D229" s="11">
        <v>318723704</v>
      </c>
      <c r="E229" s="11">
        <v>9196526117</v>
      </c>
      <c r="F229" s="1" t="s">
        <v>5</v>
      </c>
      <c r="G229" s="4">
        <f>33879+(364+182)</f>
        <v>34425</v>
      </c>
      <c r="H229" s="67" t="str">
        <f t="shared" si="9"/>
        <v>Apr</v>
      </c>
      <c r="I229" s="9">
        <f t="shared" ca="1" si="10"/>
        <v>22</v>
      </c>
      <c r="J229" s="8" t="s">
        <v>4</v>
      </c>
      <c r="K229" s="7">
        <v>73850</v>
      </c>
      <c r="L229" s="6">
        <v>2</v>
      </c>
      <c r="M229" s="31">
        <f t="shared" si="11"/>
        <v>73850</v>
      </c>
      <c r="N229" s="65"/>
      <c r="O229" s="14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25">
      <c r="A230" s="1" t="s">
        <v>551</v>
      </c>
      <c r="B230" s="12" t="s">
        <v>39</v>
      </c>
      <c r="C230" s="1" t="s">
        <v>22</v>
      </c>
      <c r="D230" s="11">
        <v>160184934</v>
      </c>
      <c r="E230" s="11">
        <v>9191191599</v>
      </c>
      <c r="F230" s="1" t="s">
        <v>15</v>
      </c>
      <c r="G230" s="4">
        <f>34247+(364+182)</f>
        <v>34793</v>
      </c>
      <c r="H230" s="67" t="str">
        <f t="shared" si="9"/>
        <v>Apr</v>
      </c>
      <c r="I230" s="9">
        <f t="shared" ca="1" si="10"/>
        <v>21</v>
      </c>
      <c r="J230" s="8" t="s">
        <v>4</v>
      </c>
      <c r="K230" s="7">
        <v>10700</v>
      </c>
      <c r="L230" s="6">
        <v>4</v>
      </c>
      <c r="M230" s="31">
        <f t="shared" si="11"/>
        <v>10700</v>
      </c>
      <c r="N230" s="65"/>
      <c r="O230" s="14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25">
      <c r="A231" s="1" t="s">
        <v>550</v>
      </c>
      <c r="B231" s="12" t="s">
        <v>13</v>
      </c>
      <c r="C231" s="1" t="s">
        <v>52</v>
      </c>
      <c r="D231" s="11">
        <v>744830329</v>
      </c>
      <c r="E231" s="11">
        <v>9196098293</v>
      </c>
      <c r="F231" s="1" t="s">
        <v>5</v>
      </c>
      <c r="G231" s="4">
        <f>34254+(364+182)</f>
        <v>34800</v>
      </c>
      <c r="H231" s="67" t="str">
        <f t="shared" si="9"/>
        <v>Apr</v>
      </c>
      <c r="I231" s="9">
        <f t="shared" ca="1" si="10"/>
        <v>21</v>
      </c>
      <c r="J231" s="8" t="s">
        <v>34</v>
      </c>
      <c r="K231" s="7">
        <v>82700</v>
      </c>
      <c r="L231" s="6">
        <v>3</v>
      </c>
      <c r="M231" s="31">
        <f t="shared" si="11"/>
        <v>82700</v>
      </c>
      <c r="N231" s="65"/>
      <c r="O231" s="14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25">
      <c r="A232" s="1" t="s">
        <v>549</v>
      </c>
      <c r="B232" s="12" t="s">
        <v>13</v>
      </c>
      <c r="C232" s="1" t="s">
        <v>485</v>
      </c>
      <c r="D232" s="11">
        <v>974912089</v>
      </c>
      <c r="E232" s="11">
        <v>9192601200</v>
      </c>
      <c r="F232" s="1" t="s">
        <v>5</v>
      </c>
      <c r="G232" s="4">
        <f>34268+(364+182)</f>
        <v>34814</v>
      </c>
      <c r="H232" s="67" t="str">
        <f t="shared" si="9"/>
        <v>Apr</v>
      </c>
      <c r="I232" s="9">
        <f t="shared" ca="1" si="10"/>
        <v>21</v>
      </c>
      <c r="J232" s="8" t="s">
        <v>32</v>
      </c>
      <c r="K232" s="7">
        <v>63190</v>
      </c>
      <c r="L232" s="6">
        <v>1</v>
      </c>
      <c r="M232" s="31">
        <f t="shared" si="11"/>
        <v>63190</v>
      </c>
      <c r="N232" s="65"/>
      <c r="O232" s="14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25">
      <c r="A233" s="1" t="s">
        <v>548</v>
      </c>
      <c r="B233" s="12" t="s">
        <v>17</v>
      </c>
      <c r="C233" s="1" t="s">
        <v>20</v>
      </c>
      <c r="D233" s="11">
        <v>962553692</v>
      </c>
      <c r="E233" s="11">
        <v>9196689962</v>
      </c>
      <c r="F233" s="1" t="s">
        <v>5</v>
      </c>
      <c r="G233" s="4">
        <f>34610+(364+182)</f>
        <v>35156</v>
      </c>
      <c r="H233" s="67" t="str">
        <f t="shared" si="9"/>
        <v>Apr</v>
      </c>
      <c r="I233" s="9">
        <f t="shared" ca="1" si="10"/>
        <v>20</v>
      </c>
      <c r="J233" s="8" t="s">
        <v>4</v>
      </c>
      <c r="K233" s="7">
        <v>86260</v>
      </c>
      <c r="L233" s="6">
        <v>3</v>
      </c>
      <c r="M233" s="31">
        <f t="shared" si="11"/>
        <v>86260</v>
      </c>
      <c r="N233" s="65"/>
      <c r="O233" s="14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25">
      <c r="A234" s="1" t="s">
        <v>547</v>
      </c>
      <c r="B234" s="12" t="s">
        <v>39</v>
      </c>
      <c r="C234" s="1" t="s">
        <v>26</v>
      </c>
      <c r="D234" s="11">
        <v>841913875</v>
      </c>
      <c r="E234" s="11">
        <v>2522511732</v>
      </c>
      <c r="F234" s="1" t="s">
        <v>12</v>
      </c>
      <c r="G234" s="4">
        <f>34614+(364+182)</f>
        <v>35160</v>
      </c>
      <c r="H234" s="67" t="str">
        <f t="shared" si="9"/>
        <v>Apr</v>
      </c>
      <c r="I234" s="9">
        <f t="shared" ca="1" si="10"/>
        <v>20</v>
      </c>
      <c r="J234" s="8"/>
      <c r="K234" s="7">
        <v>50550</v>
      </c>
      <c r="L234" s="6">
        <v>2</v>
      </c>
      <c r="M234" s="31">
        <f t="shared" si="11"/>
        <v>50550</v>
      </c>
      <c r="N234" s="65"/>
      <c r="O234" s="14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25">
      <c r="A235" s="1" t="s">
        <v>546</v>
      </c>
      <c r="B235" s="12" t="s">
        <v>13</v>
      </c>
      <c r="C235" s="1" t="s">
        <v>22</v>
      </c>
      <c r="D235" s="11">
        <v>468234190</v>
      </c>
      <c r="E235" s="11">
        <v>2521569304</v>
      </c>
      <c r="F235" s="1" t="s">
        <v>5</v>
      </c>
      <c r="G235" s="4">
        <f>34623+(364+182)</f>
        <v>35169</v>
      </c>
      <c r="H235" s="67" t="str">
        <f t="shared" si="9"/>
        <v>Apr</v>
      </c>
      <c r="I235" s="9">
        <f t="shared" ca="1" si="10"/>
        <v>20</v>
      </c>
      <c r="J235" s="8" t="s">
        <v>8</v>
      </c>
      <c r="K235" s="7">
        <v>72640</v>
      </c>
      <c r="L235" s="6">
        <v>3</v>
      </c>
      <c r="M235" s="31">
        <f t="shared" si="11"/>
        <v>72640</v>
      </c>
      <c r="N235" s="65"/>
      <c r="O235" s="14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25">
      <c r="A236" s="1" t="s">
        <v>545</v>
      </c>
      <c r="B236" s="12" t="s">
        <v>13</v>
      </c>
      <c r="C236" s="1" t="s">
        <v>20</v>
      </c>
      <c r="D236" s="11">
        <v>920477476</v>
      </c>
      <c r="E236" s="11">
        <v>2523162442</v>
      </c>
      <c r="F236" s="1" t="s">
        <v>12</v>
      </c>
      <c r="G236" s="4">
        <f>34639+(364+182)</f>
        <v>35185</v>
      </c>
      <c r="H236" s="67" t="str">
        <f t="shared" si="9"/>
        <v>Apr</v>
      </c>
      <c r="I236" s="9">
        <f t="shared" ca="1" si="10"/>
        <v>20</v>
      </c>
      <c r="J236" s="8"/>
      <c r="K236" s="7">
        <v>24410</v>
      </c>
      <c r="L236" s="6">
        <v>3</v>
      </c>
      <c r="M236" s="31">
        <f t="shared" si="11"/>
        <v>24410</v>
      </c>
      <c r="N236" s="65"/>
      <c r="O236" s="14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25">
      <c r="A237" s="1" t="s">
        <v>544</v>
      </c>
      <c r="B237" s="12" t="s">
        <v>13</v>
      </c>
      <c r="C237" s="1" t="s">
        <v>20</v>
      </c>
      <c r="D237" s="11">
        <v>482927373</v>
      </c>
      <c r="E237" s="11">
        <v>9198413271</v>
      </c>
      <c r="F237" s="1" t="s">
        <v>5</v>
      </c>
      <c r="G237" s="4">
        <f>34980+(364+182)</f>
        <v>35526</v>
      </c>
      <c r="H237" s="67" t="str">
        <f t="shared" si="9"/>
        <v>Apr</v>
      </c>
      <c r="I237" s="9">
        <f t="shared" ca="1" si="10"/>
        <v>19</v>
      </c>
      <c r="J237" s="8" t="s">
        <v>4</v>
      </c>
      <c r="K237" s="7">
        <v>32390</v>
      </c>
      <c r="L237" s="6">
        <v>2</v>
      </c>
      <c r="M237" s="31">
        <f t="shared" si="11"/>
        <v>32390</v>
      </c>
      <c r="N237" s="65"/>
      <c r="O237" s="14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25">
      <c r="A238" s="1" t="s">
        <v>543</v>
      </c>
      <c r="B238" s="12" t="s">
        <v>13</v>
      </c>
      <c r="C238" s="1" t="s">
        <v>22</v>
      </c>
      <c r="D238" s="11">
        <v>302170290</v>
      </c>
      <c r="E238" s="11">
        <v>9191971988</v>
      </c>
      <c r="F238" s="1" t="s">
        <v>5</v>
      </c>
      <c r="G238" s="4">
        <f>34982+(364+182)</f>
        <v>35528</v>
      </c>
      <c r="H238" s="67" t="str">
        <f t="shared" si="9"/>
        <v>Apr</v>
      </c>
      <c r="I238" s="9">
        <f t="shared" ca="1" si="10"/>
        <v>19</v>
      </c>
      <c r="J238" s="8" t="s">
        <v>32</v>
      </c>
      <c r="K238" s="7">
        <v>63270</v>
      </c>
      <c r="L238" s="6">
        <v>1</v>
      </c>
      <c r="M238" s="31">
        <f t="shared" si="11"/>
        <v>63270</v>
      </c>
      <c r="N238" s="65"/>
      <c r="O238" s="14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25">
      <c r="A239" s="1" t="s">
        <v>542</v>
      </c>
      <c r="B239" s="12" t="s">
        <v>10</v>
      </c>
      <c r="C239" s="1" t="s">
        <v>20</v>
      </c>
      <c r="D239" s="11">
        <v>350104448</v>
      </c>
      <c r="E239" s="11">
        <v>9193883356</v>
      </c>
      <c r="F239" s="1" t="s">
        <v>5</v>
      </c>
      <c r="G239" s="4">
        <f>34983+(364+182)</f>
        <v>35529</v>
      </c>
      <c r="H239" s="67" t="str">
        <f t="shared" si="9"/>
        <v>Apr</v>
      </c>
      <c r="I239" s="9">
        <f t="shared" ca="1" si="10"/>
        <v>19</v>
      </c>
      <c r="J239" s="8" t="s">
        <v>19</v>
      </c>
      <c r="K239" s="7">
        <v>44920</v>
      </c>
      <c r="L239" s="6">
        <v>1</v>
      </c>
      <c r="M239" s="31">
        <f t="shared" si="11"/>
        <v>44920</v>
      </c>
      <c r="N239" s="65"/>
      <c r="O239" s="14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25">
      <c r="A240" s="1" t="s">
        <v>541</v>
      </c>
      <c r="B240" s="12" t="s">
        <v>39</v>
      </c>
      <c r="C240" s="1" t="s">
        <v>22</v>
      </c>
      <c r="D240" s="11">
        <v>643979374</v>
      </c>
      <c r="E240" s="11">
        <v>2521230519</v>
      </c>
      <c r="F240" s="1" t="s">
        <v>12</v>
      </c>
      <c r="G240" s="4">
        <f>34995+(364+182)</f>
        <v>35541</v>
      </c>
      <c r="H240" s="67" t="str">
        <f t="shared" si="9"/>
        <v>Apr</v>
      </c>
      <c r="I240" s="9">
        <f t="shared" ca="1" si="10"/>
        <v>19</v>
      </c>
      <c r="J240" s="8"/>
      <c r="K240" s="7">
        <v>49530</v>
      </c>
      <c r="L240" s="6">
        <v>4</v>
      </c>
      <c r="M240" s="31">
        <f t="shared" si="11"/>
        <v>49530</v>
      </c>
      <c r="N240" s="65"/>
      <c r="O240" s="1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25">
      <c r="A241" s="1" t="s">
        <v>540</v>
      </c>
      <c r="B241" s="12" t="s">
        <v>13</v>
      </c>
      <c r="C241" s="1" t="s">
        <v>60</v>
      </c>
      <c r="D241" s="11">
        <v>983891302</v>
      </c>
      <c r="E241" s="11">
        <v>9191462245</v>
      </c>
      <c r="F241" s="1" t="s">
        <v>5</v>
      </c>
      <c r="G241" s="4">
        <f>35001+(364+182)</f>
        <v>35547</v>
      </c>
      <c r="H241" s="67" t="str">
        <f t="shared" si="9"/>
        <v>Apr</v>
      </c>
      <c r="I241" s="9">
        <f t="shared" ca="1" si="10"/>
        <v>19</v>
      </c>
      <c r="J241" s="8" t="s">
        <v>32</v>
      </c>
      <c r="K241" s="7">
        <v>81640</v>
      </c>
      <c r="L241" s="6">
        <v>4</v>
      </c>
      <c r="M241" s="31">
        <f t="shared" si="11"/>
        <v>81640</v>
      </c>
      <c r="N241" s="65"/>
      <c r="O241" s="14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25">
      <c r="A242" s="1" t="s">
        <v>539</v>
      </c>
      <c r="B242" s="12" t="s">
        <v>13</v>
      </c>
      <c r="C242" s="1" t="s">
        <v>52</v>
      </c>
      <c r="D242" s="11">
        <v>331251341</v>
      </c>
      <c r="E242" s="11">
        <v>2528678875</v>
      </c>
      <c r="F242" s="1" t="s">
        <v>5</v>
      </c>
      <c r="G242" s="4">
        <f>35350+(364+182)</f>
        <v>35896</v>
      </c>
      <c r="H242" s="67" t="str">
        <f t="shared" si="9"/>
        <v>Apr</v>
      </c>
      <c r="I242" s="9">
        <f t="shared" ca="1" si="10"/>
        <v>18</v>
      </c>
      <c r="J242" s="8" t="s">
        <v>4</v>
      </c>
      <c r="K242" s="7">
        <v>70280</v>
      </c>
      <c r="L242" s="6">
        <v>3</v>
      </c>
      <c r="M242" s="31">
        <f t="shared" si="11"/>
        <v>70280</v>
      </c>
      <c r="N242" s="65"/>
      <c r="O242" s="14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25">
      <c r="A243" s="1" t="s">
        <v>538</v>
      </c>
      <c r="B243" s="12" t="s">
        <v>17</v>
      </c>
      <c r="C243" s="1" t="s">
        <v>26</v>
      </c>
      <c r="D243" s="11">
        <v>504735443</v>
      </c>
      <c r="E243" s="11">
        <v>9191629556</v>
      </c>
      <c r="F243" s="1" t="s">
        <v>12</v>
      </c>
      <c r="G243" s="4">
        <f>35356+(364+182)</f>
        <v>35902</v>
      </c>
      <c r="H243" s="67" t="str">
        <f t="shared" si="9"/>
        <v>Apr</v>
      </c>
      <c r="I243" s="9">
        <f t="shared" ca="1" si="10"/>
        <v>18</v>
      </c>
      <c r="J243" s="8"/>
      <c r="K243" s="7">
        <v>63340</v>
      </c>
      <c r="L243" s="6">
        <v>3</v>
      </c>
      <c r="M243" s="31">
        <f t="shared" si="11"/>
        <v>63340</v>
      </c>
      <c r="N243" s="65"/>
      <c r="O243" s="14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25">
      <c r="A244" s="1" t="s">
        <v>537</v>
      </c>
      <c r="B244" s="12" t="s">
        <v>13</v>
      </c>
      <c r="C244" s="1" t="s">
        <v>28</v>
      </c>
      <c r="D244" s="11">
        <v>248820119</v>
      </c>
      <c r="E244" s="11">
        <v>2521711684</v>
      </c>
      <c r="F244" s="1" t="s">
        <v>5</v>
      </c>
      <c r="G244" s="4">
        <f>35357+(364+182)</f>
        <v>35903</v>
      </c>
      <c r="H244" s="67" t="str">
        <f t="shared" si="9"/>
        <v>Apr</v>
      </c>
      <c r="I244" s="9">
        <f t="shared" ca="1" si="10"/>
        <v>18</v>
      </c>
      <c r="J244" s="8" t="s">
        <v>32</v>
      </c>
      <c r="K244" s="7">
        <v>68520</v>
      </c>
      <c r="L244" s="6">
        <v>5</v>
      </c>
      <c r="M244" s="31">
        <f t="shared" si="11"/>
        <v>68520</v>
      </c>
      <c r="N244" s="65"/>
      <c r="O244" s="14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25">
      <c r="A245" s="1" t="s">
        <v>536</v>
      </c>
      <c r="B245" s="12" t="s">
        <v>13</v>
      </c>
      <c r="C245" s="1" t="s">
        <v>37</v>
      </c>
      <c r="D245" s="11">
        <v>542051793</v>
      </c>
      <c r="E245" s="11">
        <v>2527317354</v>
      </c>
      <c r="F245" s="1" t="s">
        <v>5</v>
      </c>
      <c r="G245" s="4">
        <f>35714+(364+182)</f>
        <v>36260</v>
      </c>
      <c r="H245" s="67" t="str">
        <f t="shared" si="9"/>
        <v>Apr</v>
      </c>
      <c r="I245" s="9">
        <f t="shared" ca="1" si="10"/>
        <v>17</v>
      </c>
      <c r="J245" s="8" t="s">
        <v>32</v>
      </c>
      <c r="K245" s="7">
        <v>75150</v>
      </c>
      <c r="L245" s="6">
        <v>1</v>
      </c>
      <c r="M245" s="31">
        <f t="shared" si="11"/>
        <v>75150</v>
      </c>
      <c r="N245" s="65"/>
      <c r="O245" s="14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25">
      <c r="A246" s="1" t="s">
        <v>535</v>
      </c>
      <c r="B246" s="12" t="s">
        <v>10</v>
      </c>
      <c r="C246" s="1" t="s">
        <v>72</v>
      </c>
      <c r="D246" s="11">
        <v>279591317</v>
      </c>
      <c r="E246" s="11">
        <v>2522381391</v>
      </c>
      <c r="F246" s="1" t="s">
        <v>0</v>
      </c>
      <c r="G246" s="4">
        <f>35717+(364+182)</f>
        <v>36263</v>
      </c>
      <c r="H246" s="67" t="str">
        <f t="shared" si="9"/>
        <v>Apr</v>
      </c>
      <c r="I246" s="9">
        <f t="shared" ca="1" si="10"/>
        <v>17</v>
      </c>
      <c r="J246" s="8"/>
      <c r="K246" s="7">
        <v>38768</v>
      </c>
      <c r="L246" s="6">
        <v>4</v>
      </c>
      <c r="M246" s="31">
        <f t="shared" si="11"/>
        <v>38768</v>
      </c>
      <c r="N246" s="65"/>
      <c r="O246" s="14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25">
      <c r="A247" s="1" t="s">
        <v>534</v>
      </c>
      <c r="B247" s="12" t="s">
        <v>13</v>
      </c>
      <c r="C247" s="1" t="s">
        <v>44</v>
      </c>
      <c r="D247" s="11">
        <v>694800128</v>
      </c>
      <c r="E247" s="11">
        <v>9197111802</v>
      </c>
      <c r="F247" s="1" t="s">
        <v>5</v>
      </c>
      <c r="G247" s="4">
        <f>35723+(364+182)</f>
        <v>36269</v>
      </c>
      <c r="H247" s="67" t="str">
        <f t="shared" si="9"/>
        <v>Apr</v>
      </c>
      <c r="I247" s="9">
        <f t="shared" ca="1" si="10"/>
        <v>17</v>
      </c>
      <c r="J247" s="8" t="s">
        <v>4</v>
      </c>
      <c r="K247" s="7">
        <v>61330</v>
      </c>
      <c r="L247" s="6">
        <v>1</v>
      </c>
      <c r="M247" s="31">
        <f t="shared" si="11"/>
        <v>61330</v>
      </c>
      <c r="N247" s="65"/>
      <c r="O247" s="14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25">
      <c r="A248" s="1" t="s">
        <v>533</v>
      </c>
      <c r="B248" s="12" t="s">
        <v>17</v>
      </c>
      <c r="C248" s="1" t="s">
        <v>20</v>
      </c>
      <c r="D248" s="11">
        <v>984570981</v>
      </c>
      <c r="E248" s="11">
        <v>2528155179</v>
      </c>
      <c r="F248" s="1" t="s">
        <v>15</v>
      </c>
      <c r="G248" s="4">
        <f>35723+(364+182)</f>
        <v>36269</v>
      </c>
      <c r="H248" s="67" t="str">
        <f t="shared" si="9"/>
        <v>Apr</v>
      </c>
      <c r="I248" s="9">
        <f t="shared" ca="1" si="10"/>
        <v>17</v>
      </c>
      <c r="J248" s="8" t="s">
        <v>4</v>
      </c>
      <c r="K248" s="7">
        <v>48190</v>
      </c>
      <c r="L248" s="6">
        <v>1</v>
      </c>
      <c r="M248" s="31">
        <f t="shared" si="11"/>
        <v>48190</v>
      </c>
      <c r="N248" s="65"/>
      <c r="O248" s="14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25">
      <c r="A249" s="1" t="s">
        <v>532</v>
      </c>
      <c r="B249" s="12" t="s">
        <v>17</v>
      </c>
      <c r="C249" s="1" t="s">
        <v>20</v>
      </c>
      <c r="D249" s="11">
        <v>931105030</v>
      </c>
      <c r="E249" s="11">
        <v>9191397811</v>
      </c>
      <c r="F249" s="1" t="s">
        <v>5</v>
      </c>
      <c r="G249" s="4">
        <f>35727+(364+182)</f>
        <v>36273</v>
      </c>
      <c r="H249" s="67" t="str">
        <f t="shared" si="9"/>
        <v>Apr</v>
      </c>
      <c r="I249" s="9">
        <f t="shared" ca="1" si="10"/>
        <v>17</v>
      </c>
      <c r="J249" s="8" t="s">
        <v>4</v>
      </c>
      <c r="K249" s="7">
        <v>61330</v>
      </c>
      <c r="L249" s="6">
        <v>4</v>
      </c>
      <c r="M249" s="31">
        <f t="shared" si="11"/>
        <v>61330</v>
      </c>
      <c r="N249" s="65"/>
      <c r="O249" s="14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25">
      <c r="A250" s="1" t="s">
        <v>531</v>
      </c>
      <c r="B250" s="12" t="s">
        <v>39</v>
      </c>
      <c r="C250" s="1" t="s">
        <v>125</v>
      </c>
      <c r="D250" s="11">
        <v>515543972</v>
      </c>
      <c r="E250" s="11">
        <v>9193539483</v>
      </c>
      <c r="F250" s="1" t="s">
        <v>5</v>
      </c>
      <c r="G250" s="4">
        <f>36073+(364+182)</f>
        <v>36619</v>
      </c>
      <c r="H250" s="67" t="str">
        <f t="shared" si="9"/>
        <v>Apr</v>
      </c>
      <c r="I250" s="9">
        <f t="shared" ca="1" si="10"/>
        <v>16</v>
      </c>
      <c r="J250" s="8" t="s">
        <v>19</v>
      </c>
      <c r="K250" s="7">
        <v>56440</v>
      </c>
      <c r="L250" s="6">
        <v>1</v>
      </c>
      <c r="M250" s="31">
        <f t="shared" si="11"/>
        <v>56440</v>
      </c>
      <c r="N250" s="65"/>
      <c r="O250" s="14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25">
      <c r="A251" s="1" t="s">
        <v>530</v>
      </c>
      <c r="B251" s="12" t="s">
        <v>13</v>
      </c>
      <c r="C251" s="1" t="s">
        <v>6</v>
      </c>
      <c r="D251" s="11">
        <v>186346711</v>
      </c>
      <c r="E251" s="11">
        <v>9194900514</v>
      </c>
      <c r="F251" s="1" t="s">
        <v>5</v>
      </c>
      <c r="G251" s="4">
        <f>36073+(364+182)</f>
        <v>36619</v>
      </c>
      <c r="H251" s="67" t="str">
        <f t="shared" si="9"/>
        <v>Apr</v>
      </c>
      <c r="I251" s="9">
        <f t="shared" ca="1" si="10"/>
        <v>16</v>
      </c>
      <c r="J251" s="8" t="s">
        <v>34</v>
      </c>
      <c r="K251" s="7">
        <v>71970</v>
      </c>
      <c r="L251" s="6">
        <v>4</v>
      </c>
      <c r="M251" s="31">
        <f t="shared" si="11"/>
        <v>71970</v>
      </c>
      <c r="N251" s="65"/>
      <c r="O251" s="14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25">
      <c r="A252" s="1" t="s">
        <v>529</v>
      </c>
      <c r="B252" s="12" t="s">
        <v>17</v>
      </c>
      <c r="C252" s="1" t="s">
        <v>28</v>
      </c>
      <c r="D252" s="11">
        <v>960967007</v>
      </c>
      <c r="E252" s="11">
        <v>9194694995</v>
      </c>
      <c r="F252" s="1" t="s">
        <v>12</v>
      </c>
      <c r="G252" s="4">
        <f>36077+(364+182)</f>
        <v>36623</v>
      </c>
      <c r="H252" s="67" t="str">
        <f t="shared" si="9"/>
        <v>Apr</v>
      </c>
      <c r="I252" s="9">
        <f t="shared" ca="1" si="10"/>
        <v>16</v>
      </c>
      <c r="J252" s="8"/>
      <c r="K252" s="7">
        <v>30300</v>
      </c>
      <c r="L252" s="6">
        <v>1</v>
      </c>
      <c r="M252" s="31">
        <f t="shared" si="11"/>
        <v>30300</v>
      </c>
      <c r="N252" s="65"/>
      <c r="O252" s="14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25">
      <c r="A253" s="1" t="s">
        <v>528</v>
      </c>
      <c r="B253" s="12" t="s">
        <v>17</v>
      </c>
      <c r="C253" s="1" t="s">
        <v>20</v>
      </c>
      <c r="D253" s="11">
        <v>257249459</v>
      </c>
      <c r="E253" s="11">
        <v>9197775023</v>
      </c>
      <c r="F253" s="1" t="s">
        <v>12</v>
      </c>
      <c r="G253" s="4">
        <f>36091+(364+182)</f>
        <v>36637</v>
      </c>
      <c r="H253" s="67" t="str">
        <f t="shared" si="9"/>
        <v>Apr</v>
      </c>
      <c r="I253" s="9">
        <f t="shared" ca="1" si="10"/>
        <v>16</v>
      </c>
      <c r="J253" s="8"/>
      <c r="K253" s="7">
        <v>57600</v>
      </c>
      <c r="L253" s="6">
        <v>3</v>
      </c>
      <c r="M253" s="31">
        <f t="shared" si="11"/>
        <v>57600</v>
      </c>
      <c r="N253" s="65"/>
      <c r="O253" s="14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25">
      <c r="A254" s="1" t="s">
        <v>527</v>
      </c>
      <c r="B254" s="12" t="s">
        <v>17</v>
      </c>
      <c r="C254" s="1" t="s">
        <v>52</v>
      </c>
      <c r="D254" s="11">
        <v>975857784</v>
      </c>
      <c r="E254" s="11">
        <v>9192390604</v>
      </c>
      <c r="F254" s="1" t="s">
        <v>12</v>
      </c>
      <c r="G254" s="4">
        <f>36096+(364+182)</f>
        <v>36642</v>
      </c>
      <c r="H254" s="67" t="str">
        <f t="shared" si="9"/>
        <v>Apr</v>
      </c>
      <c r="I254" s="9">
        <f t="shared" ca="1" si="10"/>
        <v>16</v>
      </c>
      <c r="J254" s="8"/>
      <c r="K254" s="7">
        <v>77760</v>
      </c>
      <c r="L254" s="6">
        <v>3</v>
      </c>
      <c r="M254" s="31">
        <f t="shared" si="11"/>
        <v>77760</v>
      </c>
      <c r="N254" s="65"/>
      <c r="O254" s="14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25">
      <c r="A255" s="1" t="s">
        <v>526</v>
      </c>
      <c r="B255" s="12" t="s">
        <v>39</v>
      </c>
      <c r="C255" s="1" t="s">
        <v>72</v>
      </c>
      <c r="D255" s="11">
        <v>429283827</v>
      </c>
      <c r="E255" s="11">
        <v>9195508095</v>
      </c>
      <c r="F255" s="1" t="s">
        <v>5</v>
      </c>
      <c r="G255" s="4">
        <f>36097+(364+182)</f>
        <v>36643</v>
      </c>
      <c r="H255" s="67" t="str">
        <f t="shared" si="9"/>
        <v>Apr</v>
      </c>
      <c r="I255" s="9">
        <f t="shared" ca="1" si="10"/>
        <v>16</v>
      </c>
      <c r="J255" s="8" t="s">
        <v>4</v>
      </c>
      <c r="K255" s="7">
        <v>71380</v>
      </c>
      <c r="L255" s="6">
        <v>2</v>
      </c>
      <c r="M255" s="31">
        <f t="shared" si="11"/>
        <v>71380</v>
      </c>
      <c r="N255" s="65"/>
      <c r="O255" s="14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25">
      <c r="A256" s="1" t="s">
        <v>525</v>
      </c>
      <c r="B256" s="12" t="s">
        <v>17</v>
      </c>
      <c r="C256" s="1" t="s">
        <v>343</v>
      </c>
      <c r="D256" s="11">
        <v>510700395</v>
      </c>
      <c r="E256" s="11">
        <v>9196690862</v>
      </c>
      <c r="F256" s="1" t="s">
        <v>5</v>
      </c>
      <c r="G256" s="4">
        <f>36445+(364+182)</f>
        <v>36991</v>
      </c>
      <c r="H256" s="67" t="str">
        <f t="shared" si="9"/>
        <v>Apr</v>
      </c>
      <c r="I256" s="9">
        <f t="shared" ca="1" si="10"/>
        <v>15</v>
      </c>
      <c r="J256" s="8" t="s">
        <v>32</v>
      </c>
      <c r="K256" s="7">
        <v>63670</v>
      </c>
      <c r="L256" s="6">
        <v>5</v>
      </c>
      <c r="M256" s="31">
        <f t="shared" si="11"/>
        <v>63670</v>
      </c>
      <c r="N256" s="65"/>
      <c r="O256" s="14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25">
      <c r="A257" s="1" t="s">
        <v>524</v>
      </c>
      <c r="B257" s="12" t="s">
        <v>13</v>
      </c>
      <c r="C257" s="1" t="s">
        <v>26</v>
      </c>
      <c r="D257" s="11">
        <v>411058865</v>
      </c>
      <c r="E257" s="11">
        <v>2523883919</v>
      </c>
      <c r="F257" s="1" t="s">
        <v>5</v>
      </c>
      <c r="G257" s="4">
        <f>36462+(364+182)</f>
        <v>37008</v>
      </c>
      <c r="H257" s="67" t="str">
        <f t="shared" si="9"/>
        <v>Apr</v>
      </c>
      <c r="I257" s="9">
        <f t="shared" ca="1" si="10"/>
        <v>15</v>
      </c>
      <c r="J257" s="8" t="s">
        <v>32</v>
      </c>
      <c r="K257" s="7">
        <v>27180</v>
      </c>
      <c r="L257" s="6">
        <v>4</v>
      </c>
      <c r="M257" s="31">
        <f t="shared" si="11"/>
        <v>27180</v>
      </c>
      <c r="N257" s="65"/>
      <c r="O257" s="14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25">
      <c r="A258" s="1" t="s">
        <v>523</v>
      </c>
      <c r="B258" s="12" t="s">
        <v>56</v>
      </c>
      <c r="C258" s="1" t="s">
        <v>6</v>
      </c>
      <c r="D258" s="11">
        <v>759471070</v>
      </c>
      <c r="E258" s="11">
        <v>2525402828</v>
      </c>
      <c r="F258" s="1" t="s">
        <v>5</v>
      </c>
      <c r="G258" s="4">
        <f>36463+(364+182)</f>
        <v>37009</v>
      </c>
      <c r="H258" s="67" t="str">
        <f t="shared" si="9"/>
        <v>Apr</v>
      </c>
      <c r="I258" s="9">
        <f t="shared" ca="1" si="10"/>
        <v>15</v>
      </c>
      <c r="J258" s="8" t="s">
        <v>4</v>
      </c>
      <c r="K258" s="7">
        <v>78710</v>
      </c>
      <c r="L258" s="6">
        <v>2</v>
      </c>
      <c r="M258" s="31">
        <f t="shared" si="11"/>
        <v>78710</v>
      </c>
      <c r="N258" s="65"/>
      <c r="O258" s="14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25">
      <c r="A259" s="1" t="s">
        <v>522</v>
      </c>
      <c r="B259" s="12" t="s">
        <v>13</v>
      </c>
      <c r="C259" s="1" t="s">
        <v>26</v>
      </c>
      <c r="D259" s="11">
        <v>333947685</v>
      </c>
      <c r="E259" s="11">
        <v>9198314799</v>
      </c>
      <c r="F259" s="1" t="s">
        <v>5</v>
      </c>
      <c r="G259" s="4">
        <f>36802+(364+182)</f>
        <v>37348</v>
      </c>
      <c r="H259" s="67" t="str">
        <f t="shared" ref="H259:H322" si="12">CHOOSE(MONTH(G259),"Jan","Feb","Mar","Apr","May","Jun","Jul","Aug","Sep","Oct","Nov","Dec")</f>
        <v>Apr</v>
      </c>
      <c r="I259" s="9">
        <f t="shared" ref="I259:I322" ca="1" si="13">DATEDIF(G259,TODAY(),"Y")</f>
        <v>14</v>
      </c>
      <c r="J259" s="8" t="s">
        <v>34</v>
      </c>
      <c r="K259" s="7">
        <v>85880</v>
      </c>
      <c r="L259" s="6">
        <v>3</v>
      </c>
      <c r="M259" s="31">
        <f t="shared" ref="M259:M322" si="14">ROUND(K259*P257+K259,0)</f>
        <v>85880</v>
      </c>
      <c r="N259" s="65"/>
      <c r="O259" s="14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25">
      <c r="A260" s="1" t="s">
        <v>521</v>
      </c>
      <c r="B260" s="12" t="s">
        <v>13</v>
      </c>
      <c r="C260" s="1" t="s">
        <v>20</v>
      </c>
      <c r="D260" s="11">
        <v>167058119</v>
      </c>
      <c r="E260" s="11">
        <v>2527237007</v>
      </c>
      <c r="F260" s="1" t="s">
        <v>0</v>
      </c>
      <c r="G260" s="4">
        <f>37184+(364+182)</f>
        <v>37730</v>
      </c>
      <c r="H260" s="67" t="str">
        <f t="shared" si="12"/>
        <v>Apr</v>
      </c>
      <c r="I260" s="9">
        <f t="shared" ca="1" si="13"/>
        <v>13</v>
      </c>
      <c r="J260" s="8"/>
      <c r="K260" s="7">
        <v>8892</v>
      </c>
      <c r="L260" s="6">
        <v>1</v>
      </c>
      <c r="M260" s="31">
        <f t="shared" si="14"/>
        <v>8892</v>
      </c>
      <c r="N260" s="65"/>
      <c r="O260" s="14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25">
      <c r="A261" s="1" t="s">
        <v>520</v>
      </c>
      <c r="B261" s="12" t="s">
        <v>39</v>
      </c>
      <c r="C261" s="1" t="s">
        <v>20</v>
      </c>
      <c r="D261" s="11">
        <v>561968668</v>
      </c>
      <c r="E261" s="11">
        <v>2522433774</v>
      </c>
      <c r="F261" s="1" t="s">
        <v>5</v>
      </c>
      <c r="G261" s="4">
        <f>38263+(364+182)</f>
        <v>38809</v>
      </c>
      <c r="H261" s="67" t="str">
        <f t="shared" si="12"/>
        <v>Apr</v>
      </c>
      <c r="I261" s="9">
        <f t="shared" ca="1" si="13"/>
        <v>10</v>
      </c>
      <c r="J261" s="8" t="s">
        <v>34</v>
      </c>
      <c r="K261" s="7">
        <v>76584</v>
      </c>
      <c r="L261" s="6">
        <v>1</v>
      </c>
      <c r="M261" s="31">
        <f t="shared" si="14"/>
        <v>76584</v>
      </c>
      <c r="N261" s="65"/>
      <c r="O261" s="14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25">
      <c r="A262" s="1" t="s">
        <v>519</v>
      </c>
      <c r="B262" s="12" t="s">
        <v>13</v>
      </c>
      <c r="C262" s="1" t="s">
        <v>20</v>
      </c>
      <c r="D262" s="11">
        <v>914330398</v>
      </c>
      <c r="E262" s="11">
        <v>9193498222</v>
      </c>
      <c r="F262" s="1" t="s">
        <v>5</v>
      </c>
      <c r="G262" s="4">
        <f>38275+(364+182)</f>
        <v>38821</v>
      </c>
      <c r="H262" s="67" t="str">
        <f t="shared" si="12"/>
        <v>Apr</v>
      </c>
      <c r="I262" s="9">
        <f t="shared" ca="1" si="13"/>
        <v>10</v>
      </c>
      <c r="J262" s="8" t="s">
        <v>4</v>
      </c>
      <c r="K262" s="7">
        <v>65720</v>
      </c>
      <c r="L262" s="6">
        <v>1</v>
      </c>
      <c r="M262" s="31">
        <f t="shared" si="14"/>
        <v>65720</v>
      </c>
      <c r="N262" s="65"/>
      <c r="O262" s="14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25">
      <c r="A263" s="1" t="s">
        <v>518</v>
      </c>
      <c r="B263" s="12" t="s">
        <v>13</v>
      </c>
      <c r="C263" s="1" t="s">
        <v>20</v>
      </c>
      <c r="D263" s="11">
        <v>276980518</v>
      </c>
      <c r="E263" s="11">
        <v>9195267252</v>
      </c>
      <c r="F263" s="1" t="s">
        <v>5</v>
      </c>
      <c r="G263" s="4">
        <f>38286+(364+182)</f>
        <v>38832</v>
      </c>
      <c r="H263" s="67" t="str">
        <f t="shared" si="12"/>
        <v>Apr</v>
      </c>
      <c r="I263" s="9">
        <f t="shared" ca="1" si="13"/>
        <v>10</v>
      </c>
      <c r="J263" s="8" t="s">
        <v>8</v>
      </c>
      <c r="K263" s="7">
        <v>29420</v>
      </c>
      <c r="L263" s="6">
        <v>5</v>
      </c>
      <c r="M263" s="31">
        <f t="shared" si="14"/>
        <v>29420</v>
      </c>
      <c r="N263" s="65"/>
      <c r="O263" s="14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25">
      <c r="A264" s="1" t="s">
        <v>517</v>
      </c>
      <c r="B264" s="12" t="s">
        <v>13</v>
      </c>
      <c r="C264" s="1" t="s">
        <v>20</v>
      </c>
      <c r="D264" s="11">
        <v>114005397</v>
      </c>
      <c r="E264" s="11">
        <v>2524694617</v>
      </c>
      <c r="F264" s="1" t="s">
        <v>12</v>
      </c>
      <c r="G264" s="4">
        <f>38643+(364+182)</f>
        <v>39189</v>
      </c>
      <c r="H264" s="67" t="str">
        <f t="shared" si="12"/>
        <v>Apr</v>
      </c>
      <c r="I264" s="9">
        <f t="shared" ca="1" si="13"/>
        <v>9</v>
      </c>
      <c r="J264" s="8"/>
      <c r="K264" s="7">
        <v>63850</v>
      </c>
      <c r="L264" s="6">
        <v>2</v>
      </c>
      <c r="M264" s="31">
        <f t="shared" si="14"/>
        <v>63850</v>
      </c>
      <c r="N264" s="65"/>
      <c r="O264" s="14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25">
      <c r="A265" s="1" t="s">
        <v>516</v>
      </c>
      <c r="B265" s="12" t="s">
        <v>17</v>
      </c>
      <c r="C265" s="1" t="s">
        <v>20</v>
      </c>
      <c r="D265" s="11">
        <v>829216164</v>
      </c>
      <c r="E265" s="11">
        <v>2524982487</v>
      </c>
      <c r="F265" s="1" t="s">
        <v>12</v>
      </c>
      <c r="G265" s="4">
        <f>38999+(364+182)</f>
        <v>39545</v>
      </c>
      <c r="H265" s="67" t="str">
        <f t="shared" si="12"/>
        <v>Apr</v>
      </c>
      <c r="I265" s="9">
        <f t="shared" ca="1" si="13"/>
        <v>8</v>
      </c>
      <c r="J265" s="8"/>
      <c r="K265" s="7">
        <v>84170</v>
      </c>
      <c r="L265" s="6">
        <v>2</v>
      </c>
      <c r="M265" s="31">
        <f t="shared" si="14"/>
        <v>84170</v>
      </c>
      <c r="N265" s="65"/>
      <c r="O265" s="14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25">
      <c r="A266" s="1" t="s">
        <v>515</v>
      </c>
      <c r="B266" s="12" t="s">
        <v>10</v>
      </c>
      <c r="C266" s="1" t="s">
        <v>26</v>
      </c>
      <c r="D266" s="11">
        <v>683222853</v>
      </c>
      <c r="E266" s="11">
        <v>9196224056</v>
      </c>
      <c r="F266" s="1" t="s">
        <v>12</v>
      </c>
      <c r="G266" s="4">
        <f>39376+(364+182)</f>
        <v>39922</v>
      </c>
      <c r="H266" s="67" t="str">
        <f t="shared" si="12"/>
        <v>Apr</v>
      </c>
      <c r="I266" s="9">
        <f t="shared" ca="1" si="13"/>
        <v>7</v>
      </c>
      <c r="J266" s="8"/>
      <c r="K266" s="7">
        <v>25790</v>
      </c>
      <c r="L266" s="6">
        <v>3</v>
      </c>
      <c r="M266" s="31">
        <f t="shared" si="14"/>
        <v>25790</v>
      </c>
      <c r="N266" s="65"/>
      <c r="O266" s="14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25">
      <c r="A267" s="1" t="s">
        <v>514</v>
      </c>
      <c r="B267" s="12" t="s">
        <v>13</v>
      </c>
      <c r="C267" s="1" t="s">
        <v>84</v>
      </c>
      <c r="D267" s="11">
        <v>207506781</v>
      </c>
      <c r="E267" s="11">
        <v>9194125294</v>
      </c>
      <c r="F267" s="1" t="s">
        <v>5</v>
      </c>
      <c r="G267" s="4">
        <f>39377+(364+182)</f>
        <v>39923</v>
      </c>
      <c r="H267" s="67" t="str">
        <f t="shared" si="12"/>
        <v>Apr</v>
      </c>
      <c r="I267" s="9">
        <f t="shared" ca="1" si="13"/>
        <v>7</v>
      </c>
      <c r="J267" s="8" t="s">
        <v>32</v>
      </c>
      <c r="K267" s="7">
        <v>76440</v>
      </c>
      <c r="L267" s="6">
        <v>3</v>
      </c>
      <c r="M267" s="31">
        <f t="shared" si="14"/>
        <v>76440</v>
      </c>
      <c r="N267" s="65"/>
      <c r="O267" s="14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25">
      <c r="A268" s="1" t="s">
        <v>513</v>
      </c>
      <c r="B268" s="12" t="s">
        <v>17</v>
      </c>
      <c r="C268" s="1" t="s">
        <v>20</v>
      </c>
      <c r="D268" s="11">
        <v>527185620</v>
      </c>
      <c r="E268" s="11">
        <v>2524627771</v>
      </c>
      <c r="F268" s="1" t="s">
        <v>5</v>
      </c>
      <c r="G268" s="4">
        <f>39724+(364+182)</f>
        <v>40270</v>
      </c>
      <c r="H268" s="67" t="str">
        <f t="shared" si="12"/>
        <v>Apr</v>
      </c>
      <c r="I268" s="9">
        <f t="shared" ca="1" si="13"/>
        <v>6</v>
      </c>
      <c r="J268" s="8" t="s">
        <v>4</v>
      </c>
      <c r="K268" s="7">
        <v>35300</v>
      </c>
      <c r="L268" s="6">
        <v>5</v>
      </c>
      <c r="M268" s="31">
        <f t="shared" si="14"/>
        <v>35300</v>
      </c>
      <c r="N268" s="65"/>
      <c r="O268" s="14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25">
      <c r="A269" s="1" t="s">
        <v>512</v>
      </c>
      <c r="B269" s="12" t="s">
        <v>17</v>
      </c>
      <c r="C269" s="1" t="s">
        <v>26</v>
      </c>
      <c r="D269" s="11">
        <v>721169660</v>
      </c>
      <c r="E269" s="11">
        <v>2526711140</v>
      </c>
      <c r="F269" s="1" t="s">
        <v>5</v>
      </c>
      <c r="G269" s="4">
        <f>39728+(364+182)</f>
        <v>40274</v>
      </c>
      <c r="H269" s="67" t="str">
        <f t="shared" si="12"/>
        <v>Apr</v>
      </c>
      <c r="I269" s="9">
        <f t="shared" ca="1" si="13"/>
        <v>6</v>
      </c>
      <c r="J269" s="8" t="s">
        <v>34</v>
      </c>
      <c r="K269" s="7">
        <v>38730</v>
      </c>
      <c r="L269" s="6">
        <v>1</v>
      </c>
      <c r="M269" s="31">
        <f t="shared" si="14"/>
        <v>38730</v>
      </c>
      <c r="N269" s="65"/>
      <c r="O269" s="14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25">
      <c r="A270" s="1" t="s">
        <v>511</v>
      </c>
      <c r="B270" s="12" t="s">
        <v>39</v>
      </c>
      <c r="C270" s="1" t="s">
        <v>26</v>
      </c>
      <c r="D270" s="11">
        <v>676534152</v>
      </c>
      <c r="E270" s="11">
        <v>9194416232</v>
      </c>
      <c r="F270" s="1" t="s">
        <v>5</v>
      </c>
      <c r="G270" s="13">
        <f>39746+(364+182)</f>
        <v>40292</v>
      </c>
      <c r="H270" s="67" t="str">
        <f t="shared" si="12"/>
        <v>Apr</v>
      </c>
      <c r="I270" s="9">
        <f t="shared" ca="1" si="13"/>
        <v>6</v>
      </c>
      <c r="J270" s="8" t="s">
        <v>32</v>
      </c>
      <c r="K270" s="7">
        <v>23280</v>
      </c>
      <c r="L270" s="6">
        <v>1</v>
      </c>
      <c r="M270" s="31">
        <f t="shared" si="14"/>
        <v>23280</v>
      </c>
      <c r="N270" s="65"/>
      <c r="O270" s="14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25">
      <c r="A271" s="1" t="s">
        <v>510</v>
      </c>
      <c r="B271" s="12" t="s">
        <v>2</v>
      </c>
      <c r="C271" s="1" t="s">
        <v>95</v>
      </c>
      <c r="D271" s="11">
        <v>380343690</v>
      </c>
      <c r="E271" s="11">
        <v>2523906310</v>
      </c>
      <c r="F271" s="1" t="s">
        <v>12</v>
      </c>
      <c r="G271" s="13">
        <f>39746+(364+182)</f>
        <v>40292</v>
      </c>
      <c r="H271" s="67" t="str">
        <f t="shared" si="12"/>
        <v>Apr</v>
      </c>
      <c r="I271" s="9">
        <f t="shared" ca="1" si="13"/>
        <v>6</v>
      </c>
      <c r="J271" s="8"/>
      <c r="K271" s="7">
        <v>61890</v>
      </c>
      <c r="L271" s="6">
        <v>2</v>
      </c>
      <c r="M271" s="31">
        <f t="shared" si="14"/>
        <v>61890</v>
      </c>
      <c r="N271" s="65"/>
      <c r="O271" s="14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25">
      <c r="A272" s="1" t="s">
        <v>509</v>
      </c>
      <c r="B272" s="12" t="s">
        <v>2</v>
      </c>
      <c r="C272" s="1" t="s">
        <v>22</v>
      </c>
      <c r="D272" s="11">
        <v>868364739</v>
      </c>
      <c r="E272" s="11">
        <v>9195255121</v>
      </c>
      <c r="F272" s="1" t="s">
        <v>15</v>
      </c>
      <c r="G272" s="4">
        <f>39747+(364+182)</f>
        <v>40293</v>
      </c>
      <c r="H272" s="67" t="str">
        <f t="shared" si="12"/>
        <v>Apr</v>
      </c>
      <c r="I272" s="9">
        <f t="shared" ca="1" si="13"/>
        <v>6</v>
      </c>
      <c r="J272" s="8" t="s">
        <v>32</v>
      </c>
      <c r="K272" s="7">
        <v>11810</v>
      </c>
      <c r="L272" s="6">
        <v>1</v>
      </c>
      <c r="M272" s="31">
        <f t="shared" si="14"/>
        <v>11810</v>
      </c>
      <c r="N272" s="65"/>
      <c r="O272" s="14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25">
      <c r="A273" s="1" t="s">
        <v>508</v>
      </c>
      <c r="B273" s="12" t="s">
        <v>17</v>
      </c>
      <c r="C273" s="1" t="s">
        <v>20</v>
      </c>
      <c r="D273" s="11">
        <v>387517948</v>
      </c>
      <c r="E273" s="11">
        <v>9198213594</v>
      </c>
      <c r="F273" s="1" t="s">
        <v>5</v>
      </c>
      <c r="G273" s="4">
        <f>40088+(364+182)</f>
        <v>40634</v>
      </c>
      <c r="H273" s="67" t="str">
        <f t="shared" si="12"/>
        <v>Apr</v>
      </c>
      <c r="I273" s="9">
        <f t="shared" ca="1" si="13"/>
        <v>5</v>
      </c>
      <c r="J273" s="8" t="s">
        <v>32</v>
      </c>
      <c r="K273" s="7">
        <v>47440</v>
      </c>
      <c r="L273" s="6">
        <v>3</v>
      </c>
      <c r="M273" s="31">
        <f t="shared" si="14"/>
        <v>47440</v>
      </c>
      <c r="N273" s="65"/>
      <c r="O273" s="14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25">
      <c r="A274" s="1" t="s">
        <v>507</v>
      </c>
      <c r="B274" s="12" t="s">
        <v>17</v>
      </c>
      <c r="C274" s="1" t="s">
        <v>6</v>
      </c>
      <c r="D274" s="11">
        <v>671823263</v>
      </c>
      <c r="E274" s="11">
        <v>2526718651</v>
      </c>
      <c r="F274" s="1" t="s">
        <v>5</v>
      </c>
      <c r="G274" s="4">
        <f>40091+(364+182)</f>
        <v>40637</v>
      </c>
      <c r="H274" s="67" t="str">
        <f t="shared" si="12"/>
        <v>Apr</v>
      </c>
      <c r="I274" s="9">
        <f t="shared" ca="1" si="13"/>
        <v>5</v>
      </c>
      <c r="J274" s="8" t="s">
        <v>32</v>
      </c>
      <c r="K274" s="7">
        <v>86640</v>
      </c>
      <c r="L274" s="6">
        <v>3</v>
      </c>
      <c r="M274" s="31">
        <f t="shared" si="14"/>
        <v>86640</v>
      </c>
      <c r="N274" s="65"/>
      <c r="O274" s="14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25">
      <c r="A275" s="1" t="s">
        <v>506</v>
      </c>
      <c r="B275" s="12" t="s">
        <v>56</v>
      </c>
      <c r="C275" s="1" t="s">
        <v>6</v>
      </c>
      <c r="D275" s="11">
        <v>995590510</v>
      </c>
      <c r="E275" s="11">
        <v>9191838930</v>
      </c>
      <c r="F275" s="1" t="s">
        <v>12</v>
      </c>
      <c r="G275" s="13">
        <f>40092+(364+182)</f>
        <v>40638</v>
      </c>
      <c r="H275" s="67" t="str">
        <f t="shared" si="12"/>
        <v>Apr</v>
      </c>
      <c r="I275" s="9">
        <f t="shared" ca="1" si="13"/>
        <v>5</v>
      </c>
      <c r="J275" s="8"/>
      <c r="K275" s="7">
        <v>42990</v>
      </c>
      <c r="L275" s="6">
        <v>4</v>
      </c>
      <c r="M275" s="31">
        <f t="shared" si="14"/>
        <v>42990</v>
      </c>
      <c r="N275" s="65"/>
      <c r="O275" s="14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25">
      <c r="A276" s="1" t="s">
        <v>505</v>
      </c>
      <c r="B276" s="12" t="s">
        <v>17</v>
      </c>
      <c r="C276" s="1" t="s">
        <v>22</v>
      </c>
      <c r="D276" s="11">
        <v>191359642</v>
      </c>
      <c r="E276" s="11">
        <v>2528687353</v>
      </c>
      <c r="F276" s="1" t="s">
        <v>5</v>
      </c>
      <c r="G276" s="4">
        <f>32815+(364+182)</f>
        <v>33361</v>
      </c>
      <c r="H276" s="67" t="str">
        <f t="shared" si="12"/>
        <v>May</v>
      </c>
      <c r="I276" s="9">
        <f t="shared" ca="1" si="13"/>
        <v>25</v>
      </c>
      <c r="J276" s="8" t="s">
        <v>32</v>
      </c>
      <c r="K276" s="7">
        <v>24090</v>
      </c>
      <c r="L276" s="6">
        <v>4</v>
      </c>
      <c r="M276" s="31">
        <f t="shared" si="14"/>
        <v>24090</v>
      </c>
      <c r="N276" s="65"/>
      <c r="O276" s="14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25">
      <c r="A277" s="1" t="s">
        <v>504</v>
      </c>
      <c r="B277" s="12" t="s">
        <v>17</v>
      </c>
      <c r="C277" s="1" t="s">
        <v>50</v>
      </c>
      <c r="D277" s="11">
        <v>861884260</v>
      </c>
      <c r="E277" s="11">
        <v>9196632360</v>
      </c>
      <c r="F277" s="1" t="s">
        <v>5</v>
      </c>
      <c r="G277" s="4">
        <f>32839+(364+182)</f>
        <v>33385</v>
      </c>
      <c r="H277" s="67" t="str">
        <f t="shared" si="12"/>
        <v>May</v>
      </c>
      <c r="I277" s="9">
        <f t="shared" ca="1" si="13"/>
        <v>25</v>
      </c>
      <c r="J277" s="8" t="s">
        <v>32</v>
      </c>
      <c r="K277" s="7">
        <v>89140</v>
      </c>
      <c r="L277" s="6">
        <v>1</v>
      </c>
      <c r="M277" s="31">
        <f t="shared" si="14"/>
        <v>89140</v>
      </c>
      <c r="N277" s="65"/>
      <c r="O277" s="14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25">
      <c r="A278" s="1" t="s">
        <v>503</v>
      </c>
      <c r="B278" s="12" t="s">
        <v>39</v>
      </c>
      <c r="C278" s="1" t="s">
        <v>343</v>
      </c>
      <c r="D278" s="11">
        <v>776823797</v>
      </c>
      <c r="E278" s="11">
        <v>9193482736</v>
      </c>
      <c r="F278" s="1" t="s">
        <v>12</v>
      </c>
      <c r="G278" s="4">
        <f>32841+(364+182)</f>
        <v>33387</v>
      </c>
      <c r="H278" s="67" t="str">
        <f t="shared" si="12"/>
        <v>May</v>
      </c>
      <c r="I278" s="9">
        <f t="shared" ca="1" si="13"/>
        <v>25</v>
      </c>
      <c r="J278" s="8"/>
      <c r="K278" s="7">
        <v>85510</v>
      </c>
      <c r="L278" s="6">
        <v>4</v>
      </c>
      <c r="M278" s="31">
        <f t="shared" si="14"/>
        <v>85510</v>
      </c>
      <c r="N278" s="65"/>
      <c r="O278" s="14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25">
      <c r="A279" s="1" t="s">
        <v>502</v>
      </c>
      <c r="B279" s="12" t="s">
        <v>13</v>
      </c>
      <c r="C279" s="1" t="s">
        <v>9</v>
      </c>
      <c r="D279" s="11">
        <v>468953266</v>
      </c>
      <c r="E279" s="11">
        <v>9192126707</v>
      </c>
      <c r="F279" s="1" t="s">
        <v>5</v>
      </c>
      <c r="G279" s="4">
        <f>33195+(364+182)</f>
        <v>33741</v>
      </c>
      <c r="H279" s="67" t="str">
        <f t="shared" si="12"/>
        <v>May</v>
      </c>
      <c r="I279" s="9">
        <f t="shared" ca="1" si="13"/>
        <v>24</v>
      </c>
      <c r="J279" s="8" t="s">
        <v>32</v>
      </c>
      <c r="K279" s="7">
        <v>48550</v>
      </c>
      <c r="L279" s="6">
        <v>5</v>
      </c>
      <c r="M279" s="31">
        <f t="shared" si="14"/>
        <v>48550</v>
      </c>
      <c r="N279" s="65"/>
      <c r="O279" s="14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25">
      <c r="A280" s="1" t="s">
        <v>501</v>
      </c>
      <c r="B280" s="12" t="s">
        <v>13</v>
      </c>
      <c r="C280" s="1" t="s">
        <v>26</v>
      </c>
      <c r="D280" s="11">
        <v>667812117</v>
      </c>
      <c r="E280" s="11">
        <v>2526396432</v>
      </c>
      <c r="F280" s="1" t="s">
        <v>5</v>
      </c>
      <c r="G280" s="4">
        <f>33200+(364+182)</f>
        <v>33746</v>
      </c>
      <c r="H280" s="67" t="str">
        <f t="shared" si="12"/>
        <v>May</v>
      </c>
      <c r="I280" s="9">
        <f t="shared" ca="1" si="13"/>
        <v>24</v>
      </c>
      <c r="J280" s="8" t="s">
        <v>34</v>
      </c>
      <c r="K280" s="7">
        <v>31830</v>
      </c>
      <c r="L280" s="6">
        <v>3</v>
      </c>
      <c r="M280" s="31">
        <f t="shared" si="14"/>
        <v>31830</v>
      </c>
      <c r="N280" s="65"/>
      <c r="O280" s="14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25">
      <c r="A281" s="1" t="s">
        <v>500</v>
      </c>
      <c r="B281" s="12" t="s">
        <v>10</v>
      </c>
      <c r="C281" s="1" t="s">
        <v>20</v>
      </c>
      <c r="D281" s="11">
        <v>466293520</v>
      </c>
      <c r="E281" s="11">
        <v>2524442142</v>
      </c>
      <c r="F281" s="1" t="s">
        <v>0</v>
      </c>
      <c r="G281" s="4">
        <f>33205+(364+182)</f>
        <v>33751</v>
      </c>
      <c r="H281" s="67" t="str">
        <f t="shared" si="12"/>
        <v>May</v>
      </c>
      <c r="I281" s="9">
        <f t="shared" ca="1" si="13"/>
        <v>24</v>
      </c>
      <c r="J281" s="8"/>
      <c r="K281" s="7">
        <v>22344</v>
      </c>
      <c r="L281" s="6">
        <v>4</v>
      </c>
      <c r="M281" s="31">
        <f t="shared" si="14"/>
        <v>22344</v>
      </c>
      <c r="N281" s="65"/>
      <c r="O281" s="14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25">
      <c r="A282" s="1" t="s">
        <v>499</v>
      </c>
      <c r="B282" s="12" t="s">
        <v>17</v>
      </c>
      <c r="C282" s="1" t="s">
        <v>28</v>
      </c>
      <c r="D282" s="11">
        <v>934447306</v>
      </c>
      <c r="E282" s="11">
        <v>2525981242</v>
      </c>
      <c r="F282" s="1" t="s">
        <v>5</v>
      </c>
      <c r="G282" s="4">
        <f>33565+(364+182)</f>
        <v>34111</v>
      </c>
      <c r="H282" s="67" t="str">
        <f t="shared" si="12"/>
        <v>May</v>
      </c>
      <c r="I282" s="9">
        <f t="shared" ca="1" si="13"/>
        <v>23</v>
      </c>
      <c r="J282" s="8" t="s">
        <v>4</v>
      </c>
      <c r="K282" s="7">
        <v>73030</v>
      </c>
      <c r="L282" s="6">
        <v>5</v>
      </c>
      <c r="M282" s="31">
        <f t="shared" si="14"/>
        <v>73030</v>
      </c>
      <c r="N282" s="65"/>
      <c r="O282" s="14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25">
      <c r="A283" s="1" t="s">
        <v>498</v>
      </c>
      <c r="B283" s="12" t="s">
        <v>13</v>
      </c>
      <c r="C283" s="1" t="s">
        <v>26</v>
      </c>
      <c r="D283" s="11">
        <v>496260023</v>
      </c>
      <c r="E283" s="11">
        <v>2523962015</v>
      </c>
      <c r="F283" s="1" t="s">
        <v>5</v>
      </c>
      <c r="G283" s="4">
        <f>33928+(364+182)</f>
        <v>34474</v>
      </c>
      <c r="H283" s="67" t="str">
        <f t="shared" si="12"/>
        <v>May</v>
      </c>
      <c r="I283" s="9">
        <f t="shared" ca="1" si="13"/>
        <v>22</v>
      </c>
      <c r="J283" s="8" t="s">
        <v>34</v>
      </c>
      <c r="K283" s="7">
        <v>74670</v>
      </c>
      <c r="L283" s="6">
        <v>5</v>
      </c>
      <c r="M283" s="31">
        <f t="shared" si="14"/>
        <v>74670</v>
      </c>
      <c r="N283" s="65"/>
      <c r="O283" s="14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25">
      <c r="A284" s="1" t="s">
        <v>497</v>
      </c>
      <c r="B284" s="12" t="s">
        <v>17</v>
      </c>
      <c r="C284" s="1" t="s">
        <v>22</v>
      </c>
      <c r="D284" s="11">
        <v>336025451</v>
      </c>
      <c r="E284" s="11">
        <v>2522344526</v>
      </c>
      <c r="F284" s="1" t="s">
        <v>12</v>
      </c>
      <c r="G284" s="4">
        <f>33932+(364+182)</f>
        <v>34478</v>
      </c>
      <c r="H284" s="67" t="str">
        <f t="shared" si="12"/>
        <v>May</v>
      </c>
      <c r="I284" s="9">
        <f t="shared" ca="1" si="13"/>
        <v>22</v>
      </c>
      <c r="J284" s="8"/>
      <c r="K284" s="7">
        <v>56650</v>
      </c>
      <c r="L284" s="6">
        <v>1</v>
      </c>
      <c r="M284" s="31">
        <f t="shared" si="14"/>
        <v>56650</v>
      </c>
      <c r="N284" s="65"/>
      <c r="O284" s="14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25">
      <c r="A285" s="1" t="s">
        <v>496</v>
      </c>
      <c r="B285" s="12" t="s">
        <v>56</v>
      </c>
      <c r="C285" s="1" t="s">
        <v>20</v>
      </c>
      <c r="D285" s="11">
        <v>720538680</v>
      </c>
      <c r="E285" s="11">
        <v>2522126686</v>
      </c>
      <c r="F285" s="1" t="s">
        <v>5</v>
      </c>
      <c r="G285" s="4">
        <f>33937+(364+182)</f>
        <v>34483</v>
      </c>
      <c r="H285" s="67" t="str">
        <f t="shared" si="12"/>
        <v>May</v>
      </c>
      <c r="I285" s="9">
        <f t="shared" ca="1" si="13"/>
        <v>22</v>
      </c>
      <c r="J285" s="8" t="s">
        <v>32</v>
      </c>
      <c r="K285" s="7">
        <v>81010</v>
      </c>
      <c r="L285" s="6">
        <v>4</v>
      </c>
      <c r="M285" s="31">
        <f t="shared" si="14"/>
        <v>81010</v>
      </c>
      <c r="N285" s="65"/>
      <c r="O285" s="14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25">
      <c r="A286" s="1" t="s">
        <v>495</v>
      </c>
      <c r="B286" s="12" t="s">
        <v>13</v>
      </c>
      <c r="C286" s="1" t="s">
        <v>6</v>
      </c>
      <c r="D286" s="11">
        <v>471064761</v>
      </c>
      <c r="E286" s="11">
        <v>9191800673</v>
      </c>
      <c r="F286" s="1" t="s">
        <v>0</v>
      </c>
      <c r="G286" s="4">
        <f>34279+(364+182)</f>
        <v>34825</v>
      </c>
      <c r="H286" s="67" t="str">
        <f t="shared" si="12"/>
        <v>May</v>
      </c>
      <c r="I286" s="9">
        <f t="shared" ca="1" si="13"/>
        <v>21</v>
      </c>
      <c r="J286" s="8"/>
      <c r="K286" s="7">
        <v>26944</v>
      </c>
      <c r="L286" s="6">
        <v>4</v>
      </c>
      <c r="M286" s="31">
        <f t="shared" si="14"/>
        <v>26944</v>
      </c>
      <c r="N286" s="65"/>
      <c r="O286" s="14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25">
      <c r="A287" s="1" t="s">
        <v>494</v>
      </c>
      <c r="B287" s="12" t="s">
        <v>17</v>
      </c>
      <c r="C287" s="1" t="s">
        <v>26</v>
      </c>
      <c r="D287" s="11">
        <v>147261161</v>
      </c>
      <c r="E287" s="11">
        <v>9197692593</v>
      </c>
      <c r="F287" s="1" t="s">
        <v>5</v>
      </c>
      <c r="G287" s="4">
        <f>34286+(364+182)</f>
        <v>34832</v>
      </c>
      <c r="H287" s="67" t="str">
        <f t="shared" si="12"/>
        <v>May</v>
      </c>
      <c r="I287" s="9">
        <f t="shared" ca="1" si="13"/>
        <v>21</v>
      </c>
      <c r="J287" s="8" t="s">
        <v>32</v>
      </c>
      <c r="K287" s="7">
        <v>31910</v>
      </c>
      <c r="L287" s="6">
        <v>5</v>
      </c>
      <c r="M287" s="31">
        <f t="shared" si="14"/>
        <v>31910</v>
      </c>
      <c r="N287" s="65"/>
      <c r="O287" s="14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25">
      <c r="A288" s="1" t="s">
        <v>493</v>
      </c>
      <c r="B288" s="12" t="s">
        <v>13</v>
      </c>
      <c r="C288" s="1" t="s">
        <v>72</v>
      </c>
      <c r="D288" s="11">
        <v>393051351</v>
      </c>
      <c r="E288" s="11">
        <v>9197508998</v>
      </c>
      <c r="F288" s="1" t="s">
        <v>15</v>
      </c>
      <c r="G288" s="4">
        <f>34640+(364+182)</f>
        <v>35186</v>
      </c>
      <c r="H288" s="67" t="str">
        <f t="shared" si="12"/>
        <v>May</v>
      </c>
      <c r="I288" s="9">
        <f t="shared" ca="1" si="13"/>
        <v>20</v>
      </c>
      <c r="J288" s="8" t="s">
        <v>8</v>
      </c>
      <c r="K288" s="7">
        <v>32835</v>
      </c>
      <c r="L288" s="6">
        <v>2</v>
      </c>
      <c r="M288" s="31">
        <f t="shared" si="14"/>
        <v>32835</v>
      </c>
      <c r="N288" s="65"/>
      <c r="O288" s="14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25">
      <c r="A289" s="1" t="s">
        <v>492</v>
      </c>
      <c r="B289" s="12" t="s">
        <v>17</v>
      </c>
      <c r="C289" s="1" t="s">
        <v>20</v>
      </c>
      <c r="D289" s="11">
        <v>147724014</v>
      </c>
      <c r="E289" s="11">
        <v>9192212512</v>
      </c>
      <c r="F289" s="1" t="s">
        <v>5</v>
      </c>
      <c r="G289" s="4">
        <f>34642+(364+182)</f>
        <v>35188</v>
      </c>
      <c r="H289" s="67" t="str">
        <f t="shared" si="12"/>
        <v>May</v>
      </c>
      <c r="I289" s="9">
        <f t="shared" ca="1" si="13"/>
        <v>20</v>
      </c>
      <c r="J289" s="8" t="s">
        <v>4</v>
      </c>
      <c r="K289" s="7">
        <v>44270</v>
      </c>
      <c r="L289" s="6">
        <v>2</v>
      </c>
      <c r="M289" s="31">
        <f t="shared" si="14"/>
        <v>44270</v>
      </c>
      <c r="N289" s="65"/>
      <c r="O289" s="14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25">
      <c r="A290" s="1" t="s">
        <v>491</v>
      </c>
      <c r="B290" s="12" t="s">
        <v>13</v>
      </c>
      <c r="C290" s="1" t="s">
        <v>20</v>
      </c>
      <c r="D290" s="11">
        <v>930282755</v>
      </c>
      <c r="E290" s="11">
        <v>9192380636</v>
      </c>
      <c r="F290" s="1" t="s">
        <v>15</v>
      </c>
      <c r="G290" s="4">
        <f>34643+(364+182)</f>
        <v>35189</v>
      </c>
      <c r="H290" s="67" t="str">
        <f t="shared" si="12"/>
        <v>May</v>
      </c>
      <c r="I290" s="9">
        <f t="shared" ca="1" si="13"/>
        <v>20</v>
      </c>
      <c r="J290" s="8" t="s">
        <v>32</v>
      </c>
      <c r="K290" s="7">
        <v>46285</v>
      </c>
      <c r="L290" s="6">
        <v>5</v>
      </c>
      <c r="M290" s="31">
        <f t="shared" si="14"/>
        <v>46285</v>
      </c>
      <c r="N290" s="65"/>
      <c r="O290" s="14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25">
      <c r="A291" s="1" t="s">
        <v>490</v>
      </c>
      <c r="B291" s="12" t="s">
        <v>56</v>
      </c>
      <c r="C291" s="1" t="s">
        <v>26</v>
      </c>
      <c r="D291" s="11">
        <v>344090854</v>
      </c>
      <c r="E291" s="11">
        <v>2523542524</v>
      </c>
      <c r="F291" s="1" t="s">
        <v>5</v>
      </c>
      <c r="G291" s="4">
        <f>34651+(364+182)</f>
        <v>35197</v>
      </c>
      <c r="H291" s="67" t="str">
        <f t="shared" si="12"/>
        <v>May</v>
      </c>
      <c r="I291" s="9">
        <f t="shared" ca="1" si="13"/>
        <v>20</v>
      </c>
      <c r="J291" s="8" t="s">
        <v>8</v>
      </c>
      <c r="K291" s="7">
        <v>82120</v>
      </c>
      <c r="L291" s="6">
        <v>5</v>
      </c>
      <c r="M291" s="31">
        <f t="shared" si="14"/>
        <v>82120</v>
      </c>
      <c r="N291" s="65"/>
      <c r="O291" s="14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25">
      <c r="A292" s="1" t="s">
        <v>489</v>
      </c>
      <c r="B292" s="12" t="s">
        <v>13</v>
      </c>
      <c r="C292" s="1" t="s">
        <v>20</v>
      </c>
      <c r="D292" s="11">
        <v>243062914</v>
      </c>
      <c r="E292" s="11">
        <v>9194018412</v>
      </c>
      <c r="F292" s="1" t="s">
        <v>5</v>
      </c>
      <c r="G292" s="4">
        <f>34653+(364+182)</f>
        <v>35199</v>
      </c>
      <c r="H292" s="67" t="str">
        <f t="shared" si="12"/>
        <v>May</v>
      </c>
      <c r="I292" s="9">
        <f t="shared" ca="1" si="13"/>
        <v>20</v>
      </c>
      <c r="J292" s="8" t="s">
        <v>32</v>
      </c>
      <c r="K292" s="7">
        <v>73450</v>
      </c>
      <c r="L292" s="6">
        <v>3</v>
      </c>
      <c r="M292" s="31">
        <f t="shared" si="14"/>
        <v>73450</v>
      </c>
      <c r="N292" s="65"/>
      <c r="O292" s="14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25">
      <c r="A293" s="1" t="s">
        <v>488</v>
      </c>
      <c r="B293" s="12" t="s">
        <v>13</v>
      </c>
      <c r="C293" s="1" t="s">
        <v>26</v>
      </c>
      <c r="D293" s="11">
        <v>905675120</v>
      </c>
      <c r="E293" s="11">
        <v>9192526124</v>
      </c>
      <c r="F293" s="1" t="s">
        <v>5</v>
      </c>
      <c r="G293" s="4">
        <f>34661+(364+182)</f>
        <v>35207</v>
      </c>
      <c r="H293" s="67" t="str">
        <f t="shared" si="12"/>
        <v>May</v>
      </c>
      <c r="I293" s="9">
        <f t="shared" ca="1" si="13"/>
        <v>20</v>
      </c>
      <c r="J293" s="8" t="s">
        <v>19</v>
      </c>
      <c r="K293" s="7">
        <v>77580</v>
      </c>
      <c r="L293" s="6">
        <v>3</v>
      </c>
      <c r="M293" s="31">
        <f t="shared" si="14"/>
        <v>77580</v>
      </c>
      <c r="N293" s="65"/>
      <c r="O293" s="14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25">
      <c r="A294" s="1" t="s">
        <v>487</v>
      </c>
      <c r="B294" s="12" t="s">
        <v>39</v>
      </c>
      <c r="C294" s="1" t="s">
        <v>125</v>
      </c>
      <c r="D294" s="11">
        <v>796079833</v>
      </c>
      <c r="E294" s="11">
        <v>2525327906</v>
      </c>
      <c r="F294" s="1" t="s">
        <v>15</v>
      </c>
      <c r="G294" s="4">
        <f>35018+(364+182)</f>
        <v>35564</v>
      </c>
      <c r="H294" s="67" t="str">
        <f t="shared" si="12"/>
        <v>May</v>
      </c>
      <c r="I294" s="9">
        <f t="shared" ca="1" si="13"/>
        <v>19</v>
      </c>
      <c r="J294" s="8" t="s">
        <v>32</v>
      </c>
      <c r="K294" s="7">
        <v>11025</v>
      </c>
      <c r="L294" s="6">
        <v>1</v>
      </c>
      <c r="M294" s="31">
        <f t="shared" si="14"/>
        <v>11025</v>
      </c>
      <c r="N294" s="65"/>
      <c r="O294" s="14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25">
      <c r="A295" s="1" t="s">
        <v>486</v>
      </c>
      <c r="B295" s="12" t="s">
        <v>17</v>
      </c>
      <c r="C295" s="1" t="s">
        <v>485</v>
      </c>
      <c r="D295" s="11">
        <v>121688720</v>
      </c>
      <c r="E295" s="11">
        <v>9194794769</v>
      </c>
      <c r="F295" s="1" t="s">
        <v>12</v>
      </c>
      <c r="G295" s="4">
        <f>35021+(364+182)</f>
        <v>35567</v>
      </c>
      <c r="H295" s="67" t="str">
        <f t="shared" si="12"/>
        <v>May</v>
      </c>
      <c r="I295" s="9">
        <f t="shared" ca="1" si="13"/>
        <v>19</v>
      </c>
      <c r="J295" s="8"/>
      <c r="K295" s="7">
        <v>44820</v>
      </c>
      <c r="L295" s="6">
        <v>4</v>
      </c>
      <c r="M295" s="31">
        <f t="shared" si="14"/>
        <v>44820</v>
      </c>
      <c r="N295" s="65"/>
      <c r="O295" s="14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25">
      <c r="A296" s="1" t="s">
        <v>484</v>
      </c>
      <c r="B296" s="12" t="s">
        <v>13</v>
      </c>
      <c r="C296" s="1" t="s">
        <v>26</v>
      </c>
      <c r="D296" s="11">
        <v>164904130</v>
      </c>
      <c r="E296" s="11">
        <v>2528046670</v>
      </c>
      <c r="F296" s="1" t="s">
        <v>12</v>
      </c>
      <c r="G296" s="4">
        <f>35023+(364+182)</f>
        <v>35569</v>
      </c>
      <c r="H296" s="67" t="str">
        <f t="shared" si="12"/>
        <v>May</v>
      </c>
      <c r="I296" s="9">
        <f t="shared" ca="1" si="13"/>
        <v>19</v>
      </c>
      <c r="J296" s="8"/>
      <c r="K296" s="7">
        <v>84200</v>
      </c>
      <c r="L296" s="6">
        <v>2</v>
      </c>
      <c r="M296" s="31">
        <f t="shared" si="14"/>
        <v>84200</v>
      </c>
      <c r="N296" s="69"/>
      <c r="O296" s="6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25">
      <c r="A297" s="1" t="s">
        <v>483</v>
      </c>
      <c r="B297" s="12" t="s">
        <v>13</v>
      </c>
      <c r="C297" s="1" t="s">
        <v>52</v>
      </c>
      <c r="D297" s="11">
        <v>750722934</v>
      </c>
      <c r="E297" s="11">
        <v>2523631883</v>
      </c>
      <c r="F297" s="1" t="s">
        <v>5</v>
      </c>
      <c r="G297" s="4">
        <f>35023+(364+182)</f>
        <v>35569</v>
      </c>
      <c r="H297" s="67" t="str">
        <f t="shared" si="12"/>
        <v>May</v>
      </c>
      <c r="I297" s="9">
        <f t="shared" ca="1" si="13"/>
        <v>19</v>
      </c>
      <c r="J297" s="8" t="s">
        <v>4</v>
      </c>
      <c r="K297" s="7">
        <v>37770</v>
      </c>
      <c r="L297" s="6">
        <v>5</v>
      </c>
      <c r="M297" s="31">
        <f t="shared" si="14"/>
        <v>37770</v>
      </c>
      <c r="N297" s="65"/>
      <c r="O297" s="14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25">
      <c r="A298" s="1" t="s">
        <v>482</v>
      </c>
      <c r="B298" s="12" t="s">
        <v>13</v>
      </c>
      <c r="C298" s="1" t="s">
        <v>6</v>
      </c>
      <c r="D298" s="11">
        <v>240241467</v>
      </c>
      <c r="E298" s="11">
        <v>2524914916</v>
      </c>
      <c r="F298" s="1" t="s">
        <v>0</v>
      </c>
      <c r="G298" s="4">
        <f>35030+(364+182)</f>
        <v>35576</v>
      </c>
      <c r="H298" s="67" t="str">
        <f t="shared" si="12"/>
        <v>May</v>
      </c>
      <c r="I298" s="9">
        <f t="shared" ca="1" si="13"/>
        <v>19</v>
      </c>
      <c r="J298" s="8"/>
      <c r="K298" s="7">
        <v>28768</v>
      </c>
      <c r="L298" s="6">
        <v>3</v>
      </c>
      <c r="M298" s="31">
        <f t="shared" si="14"/>
        <v>28768</v>
      </c>
      <c r="N298" s="65"/>
      <c r="O298" s="14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25">
      <c r="A299" s="1" t="s">
        <v>481</v>
      </c>
      <c r="B299" s="12" t="s">
        <v>56</v>
      </c>
      <c r="C299" s="1" t="s">
        <v>22</v>
      </c>
      <c r="D299" s="11">
        <v>343185481</v>
      </c>
      <c r="E299" s="11">
        <v>9196446519</v>
      </c>
      <c r="F299" s="1" t="s">
        <v>5</v>
      </c>
      <c r="G299" s="4">
        <f>35372+(364+182)</f>
        <v>35918</v>
      </c>
      <c r="H299" s="67" t="str">
        <f t="shared" si="12"/>
        <v>May</v>
      </c>
      <c r="I299" s="9">
        <f t="shared" ca="1" si="13"/>
        <v>18</v>
      </c>
      <c r="J299" s="8" t="s">
        <v>34</v>
      </c>
      <c r="K299" s="7">
        <v>73740</v>
      </c>
      <c r="L299" s="6">
        <v>4</v>
      </c>
      <c r="M299" s="31">
        <f t="shared" si="14"/>
        <v>73740</v>
      </c>
      <c r="N299" s="65"/>
      <c r="O299" s="14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25">
      <c r="A300" s="1" t="s">
        <v>480</v>
      </c>
      <c r="B300" s="12" t="s">
        <v>10</v>
      </c>
      <c r="C300" s="1" t="s">
        <v>28</v>
      </c>
      <c r="D300" s="11">
        <v>213741822</v>
      </c>
      <c r="E300" s="11">
        <v>2521780498</v>
      </c>
      <c r="F300" s="1" t="s">
        <v>12</v>
      </c>
      <c r="G300" s="4">
        <f>35375+(364+182)</f>
        <v>35921</v>
      </c>
      <c r="H300" s="67" t="str">
        <f t="shared" si="12"/>
        <v>May</v>
      </c>
      <c r="I300" s="9">
        <f t="shared" ca="1" si="13"/>
        <v>18</v>
      </c>
      <c r="J300" s="8"/>
      <c r="K300" s="7">
        <v>63330</v>
      </c>
      <c r="L300" s="6">
        <v>4</v>
      </c>
      <c r="M300" s="31">
        <f t="shared" si="14"/>
        <v>63330</v>
      </c>
      <c r="N300" s="65"/>
      <c r="O300" s="14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25">
      <c r="A301" s="1" t="s">
        <v>479</v>
      </c>
      <c r="B301" s="12" t="s">
        <v>56</v>
      </c>
      <c r="C301" s="1" t="s">
        <v>20</v>
      </c>
      <c r="D301" s="11">
        <v>317844971</v>
      </c>
      <c r="E301" s="11">
        <v>9193557946</v>
      </c>
      <c r="F301" s="1" t="s">
        <v>12</v>
      </c>
      <c r="G301" s="4">
        <f>35381+(364+182)</f>
        <v>35927</v>
      </c>
      <c r="H301" s="67" t="str">
        <f t="shared" si="12"/>
        <v>May</v>
      </c>
      <c r="I301" s="9">
        <f t="shared" ca="1" si="13"/>
        <v>18</v>
      </c>
      <c r="J301" s="8"/>
      <c r="K301" s="7">
        <v>76910</v>
      </c>
      <c r="L301" s="6">
        <v>1</v>
      </c>
      <c r="M301" s="31">
        <f t="shared" si="14"/>
        <v>76910</v>
      </c>
      <c r="N301" s="65"/>
      <c r="O301" s="14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25">
      <c r="A302" s="1" t="s">
        <v>478</v>
      </c>
      <c r="B302" s="12" t="s">
        <v>13</v>
      </c>
      <c r="C302" s="1" t="s">
        <v>20</v>
      </c>
      <c r="D302" s="11">
        <v>618535019</v>
      </c>
      <c r="E302" s="11">
        <v>9193695179</v>
      </c>
      <c r="F302" s="1" t="s">
        <v>5</v>
      </c>
      <c r="G302" s="4">
        <f>35386+(364+182)</f>
        <v>35932</v>
      </c>
      <c r="H302" s="67" t="str">
        <f t="shared" si="12"/>
        <v>May</v>
      </c>
      <c r="I302" s="9">
        <f t="shared" ca="1" si="13"/>
        <v>18</v>
      </c>
      <c r="J302" s="8" t="s">
        <v>4</v>
      </c>
      <c r="K302" s="7">
        <v>89740</v>
      </c>
      <c r="L302" s="6">
        <v>5</v>
      </c>
      <c r="M302" s="31">
        <f t="shared" si="14"/>
        <v>89740</v>
      </c>
      <c r="N302" s="65"/>
      <c r="O302" s="14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25">
      <c r="A303" s="1" t="s">
        <v>477</v>
      </c>
      <c r="B303" s="12" t="s">
        <v>39</v>
      </c>
      <c r="C303" s="1" t="s">
        <v>20</v>
      </c>
      <c r="D303" s="11">
        <v>416394493</v>
      </c>
      <c r="E303" s="11">
        <v>2525228252</v>
      </c>
      <c r="F303" s="1" t="s">
        <v>5</v>
      </c>
      <c r="G303" s="4">
        <f>35392+(364+182)</f>
        <v>35938</v>
      </c>
      <c r="H303" s="67" t="str">
        <f t="shared" si="12"/>
        <v>May</v>
      </c>
      <c r="I303" s="9">
        <f t="shared" ca="1" si="13"/>
        <v>18</v>
      </c>
      <c r="J303" s="8" t="s">
        <v>19</v>
      </c>
      <c r="K303" s="7">
        <v>55450</v>
      </c>
      <c r="L303" s="6">
        <v>5</v>
      </c>
      <c r="M303" s="31">
        <f t="shared" si="14"/>
        <v>55450</v>
      </c>
      <c r="N303" s="65"/>
      <c r="O303" s="14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25">
      <c r="A304" s="1" t="s">
        <v>476</v>
      </c>
      <c r="B304" s="12" t="s">
        <v>17</v>
      </c>
      <c r="C304" s="1" t="s">
        <v>72</v>
      </c>
      <c r="D304" s="11">
        <v>282972141</v>
      </c>
      <c r="E304" s="11">
        <v>2527135797</v>
      </c>
      <c r="F304" s="1" t="s">
        <v>12</v>
      </c>
      <c r="G304" s="4">
        <f>35393+(364+182)</f>
        <v>35939</v>
      </c>
      <c r="H304" s="67" t="str">
        <f t="shared" si="12"/>
        <v>May</v>
      </c>
      <c r="I304" s="9">
        <f t="shared" ca="1" si="13"/>
        <v>18</v>
      </c>
      <c r="J304" s="8"/>
      <c r="K304" s="7">
        <v>25120</v>
      </c>
      <c r="L304" s="6">
        <v>5</v>
      </c>
      <c r="M304" s="31">
        <f t="shared" si="14"/>
        <v>25120</v>
      </c>
      <c r="N304" s="65"/>
      <c r="O304" s="14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25">
      <c r="A305" s="1" t="s">
        <v>475</v>
      </c>
      <c r="B305" s="12" t="s">
        <v>2</v>
      </c>
      <c r="C305" s="1" t="s">
        <v>26</v>
      </c>
      <c r="D305" s="11">
        <v>267218084</v>
      </c>
      <c r="E305" s="11">
        <v>9193825834</v>
      </c>
      <c r="F305" s="1" t="s">
        <v>12</v>
      </c>
      <c r="G305" s="4">
        <f>35394+(364+182)</f>
        <v>35940</v>
      </c>
      <c r="H305" s="67" t="str">
        <f t="shared" si="12"/>
        <v>May</v>
      </c>
      <c r="I305" s="9">
        <f t="shared" ca="1" si="13"/>
        <v>18</v>
      </c>
      <c r="J305" s="8"/>
      <c r="K305" s="7">
        <v>88000</v>
      </c>
      <c r="L305" s="6">
        <v>5</v>
      </c>
      <c r="M305" s="31">
        <f t="shared" si="14"/>
        <v>88000</v>
      </c>
      <c r="N305" s="65"/>
      <c r="O305" s="14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25">
      <c r="A306" s="1" t="s">
        <v>474</v>
      </c>
      <c r="B306" s="12" t="s">
        <v>39</v>
      </c>
      <c r="C306" s="1" t="s">
        <v>22</v>
      </c>
      <c r="D306" s="11">
        <v>525699951</v>
      </c>
      <c r="E306" s="11">
        <v>9198400261</v>
      </c>
      <c r="F306" s="1" t="s">
        <v>0</v>
      </c>
      <c r="G306" s="4">
        <f>35400+(364+182)</f>
        <v>35946</v>
      </c>
      <c r="H306" s="67" t="str">
        <f t="shared" si="12"/>
        <v>May</v>
      </c>
      <c r="I306" s="9">
        <f t="shared" ca="1" si="13"/>
        <v>18</v>
      </c>
      <c r="J306" s="8"/>
      <c r="K306" s="7">
        <v>14332</v>
      </c>
      <c r="L306" s="6">
        <v>5</v>
      </c>
      <c r="M306" s="31">
        <f t="shared" si="14"/>
        <v>14332</v>
      </c>
      <c r="N306" s="65"/>
      <c r="O306" s="14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25">
      <c r="A307" s="1" t="s">
        <v>473</v>
      </c>
      <c r="B307" s="12" t="s">
        <v>10</v>
      </c>
      <c r="C307" s="1" t="s">
        <v>20</v>
      </c>
      <c r="D307" s="11">
        <v>969216994</v>
      </c>
      <c r="E307" s="11">
        <v>2528973095</v>
      </c>
      <c r="F307" s="1" t="s">
        <v>12</v>
      </c>
      <c r="G307" s="4">
        <f>35737+(364+182)</f>
        <v>36283</v>
      </c>
      <c r="H307" s="67" t="str">
        <f t="shared" si="12"/>
        <v>May</v>
      </c>
      <c r="I307" s="9">
        <f t="shared" ca="1" si="13"/>
        <v>17</v>
      </c>
      <c r="J307" s="8"/>
      <c r="K307" s="7">
        <v>25130</v>
      </c>
      <c r="L307" s="6">
        <v>5</v>
      </c>
      <c r="M307" s="31">
        <f t="shared" si="14"/>
        <v>25130</v>
      </c>
      <c r="N307" s="65"/>
      <c r="O307" s="14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25">
      <c r="A308" s="1" t="s">
        <v>472</v>
      </c>
      <c r="B308" s="12" t="s">
        <v>39</v>
      </c>
      <c r="C308" s="1" t="s">
        <v>52</v>
      </c>
      <c r="D308" s="11">
        <v>512404764</v>
      </c>
      <c r="E308" s="11">
        <v>9193976775</v>
      </c>
      <c r="F308" s="1" t="s">
        <v>5</v>
      </c>
      <c r="G308" s="4">
        <f>35744+(364+182)</f>
        <v>36290</v>
      </c>
      <c r="H308" s="67" t="str">
        <f t="shared" si="12"/>
        <v>May</v>
      </c>
      <c r="I308" s="9">
        <f t="shared" ca="1" si="13"/>
        <v>17</v>
      </c>
      <c r="J308" s="8" t="s">
        <v>4</v>
      </c>
      <c r="K308" s="7">
        <v>39000</v>
      </c>
      <c r="L308" s="6">
        <v>3</v>
      </c>
      <c r="M308" s="31">
        <f t="shared" si="14"/>
        <v>39000</v>
      </c>
      <c r="N308" s="65"/>
      <c r="O308" s="14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25">
      <c r="A309" s="1" t="s">
        <v>471</v>
      </c>
      <c r="B309" s="12" t="s">
        <v>2</v>
      </c>
      <c r="C309" s="1" t="s">
        <v>60</v>
      </c>
      <c r="D309" s="11">
        <v>355985853</v>
      </c>
      <c r="E309" s="11">
        <v>2525478716</v>
      </c>
      <c r="F309" s="1" t="s">
        <v>5</v>
      </c>
      <c r="G309" s="4">
        <f>35751+(364+182)</f>
        <v>36297</v>
      </c>
      <c r="H309" s="67" t="str">
        <f t="shared" si="12"/>
        <v>May</v>
      </c>
      <c r="I309" s="9">
        <f t="shared" ca="1" si="13"/>
        <v>17</v>
      </c>
      <c r="J309" s="8" t="s">
        <v>32</v>
      </c>
      <c r="K309" s="7">
        <v>46030</v>
      </c>
      <c r="L309" s="6">
        <v>2</v>
      </c>
      <c r="M309" s="31">
        <f t="shared" si="14"/>
        <v>46030</v>
      </c>
      <c r="N309" s="65"/>
      <c r="O309" s="14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25">
      <c r="A310" s="1" t="s">
        <v>470</v>
      </c>
      <c r="B310" s="12" t="s">
        <v>17</v>
      </c>
      <c r="C310" s="1" t="s">
        <v>22</v>
      </c>
      <c r="D310" s="11">
        <v>548283920</v>
      </c>
      <c r="E310" s="11">
        <v>2524160215</v>
      </c>
      <c r="F310" s="1" t="s">
        <v>12</v>
      </c>
      <c r="G310" s="4">
        <f>35751+(364+182)</f>
        <v>36297</v>
      </c>
      <c r="H310" s="67" t="str">
        <f t="shared" si="12"/>
        <v>May</v>
      </c>
      <c r="I310" s="9">
        <f t="shared" ca="1" si="13"/>
        <v>17</v>
      </c>
      <c r="J310" s="8"/>
      <c r="K310" s="7">
        <v>57990</v>
      </c>
      <c r="L310" s="6">
        <v>5</v>
      </c>
      <c r="M310" s="31">
        <f t="shared" si="14"/>
        <v>57990</v>
      </c>
      <c r="N310" s="65"/>
      <c r="O310" s="14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25">
      <c r="A311" s="1" t="s">
        <v>469</v>
      </c>
      <c r="B311" s="12" t="s">
        <v>17</v>
      </c>
      <c r="C311" s="1" t="s">
        <v>20</v>
      </c>
      <c r="D311" s="11">
        <v>506577536</v>
      </c>
      <c r="E311" s="11">
        <v>2524999647</v>
      </c>
      <c r="F311" s="1" t="s">
        <v>0</v>
      </c>
      <c r="G311" s="4">
        <f>35759+(364+182)</f>
        <v>36305</v>
      </c>
      <c r="H311" s="67" t="str">
        <f t="shared" si="12"/>
        <v>May</v>
      </c>
      <c r="I311" s="9">
        <f t="shared" ca="1" si="13"/>
        <v>17</v>
      </c>
      <c r="J311" s="8"/>
      <c r="K311" s="7">
        <v>9424</v>
      </c>
      <c r="L311" s="6">
        <v>4</v>
      </c>
      <c r="M311" s="31">
        <f t="shared" si="14"/>
        <v>9424</v>
      </c>
      <c r="N311" s="65"/>
      <c r="O311" s="14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25">
      <c r="A312" s="1" t="s">
        <v>468</v>
      </c>
      <c r="B312" s="12" t="s">
        <v>39</v>
      </c>
      <c r="C312" s="1" t="s">
        <v>60</v>
      </c>
      <c r="D312" s="11">
        <v>422929693</v>
      </c>
      <c r="E312" s="11">
        <v>9191487375</v>
      </c>
      <c r="F312" s="1" t="s">
        <v>5</v>
      </c>
      <c r="G312" s="4">
        <f>36116+(364+182)</f>
        <v>36662</v>
      </c>
      <c r="H312" s="67" t="str">
        <f t="shared" si="12"/>
        <v>May</v>
      </c>
      <c r="I312" s="9">
        <f t="shared" ca="1" si="13"/>
        <v>16</v>
      </c>
      <c r="J312" s="8" t="s">
        <v>4</v>
      </c>
      <c r="K312" s="7">
        <v>52490</v>
      </c>
      <c r="L312" s="6">
        <v>4</v>
      </c>
      <c r="M312" s="31">
        <f t="shared" si="14"/>
        <v>52490</v>
      </c>
      <c r="N312" s="65"/>
      <c r="O312" s="14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25">
      <c r="A313" s="1" t="s">
        <v>467</v>
      </c>
      <c r="B313" s="12" t="s">
        <v>13</v>
      </c>
      <c r="C313" s="1" t="s">
        <v>6</v>
      </c>
      <c r="D313" s="11">
        <v>163350417</v>
      </c>
      <c r="E313" s="11">
        <v>2526466230</v>
      </c>
      <c r="F313" s="1" t="s">
        <v>5</v>
      </c>
      <c r="G313" s="4">
        <f>36126+(364+182)</f>
        <v>36672</v>
      </c>
      <c r="H313" s="67" t="str">
        <f t="shared" si="12"/>
        <v>May</v>
      </c>
      <c r="I313" s="9">
        <f t="shared" ca="1" si="13"/>
        <v>16</v>
      </c>
      <c r="J313" s="8" t="s">
        <v>34</v>
      </c>
      <c r="K313" s="7">
        <v>65320</v>
      </c>
      <c r="L313" s="6">
        <v>5</v>
      </c>
      <c r="M313" s="31">
        <f t="shared" si="14"/>
        <v>65320</v>
      </c>
      <c r="N313" s="65"/>
      <c r="O313" s="14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25">
      <c r="A314" s="1" t="s">
        <v>466</v>
      </c>
      <c r="B314" s="12" t="s">
        <v>10</v>
      </c>
      <c r="C314" s="1" t="s">
        <v>50</v>
      </c>
      <c r="D314" s="11">
        <v>746497232</v>
      </c>
      <c r="E314" s="11">
        <v>9196681578</v>
      </c>
      <c r="F314" s="1" t="s">
        <v>12</v>
      </c>
      <c r="G314" s="4">
        <f>36127+(364+182)</f>
        <v>36673</v>
      </c>
      <c r="H314" s="67" t="str">
        <f t="shared" si="12"/>
        <v>May</v>
      </c>
      <c r="I314" s="9">
        <f t="shared" ca="1" si="13"/>
        <v>16</v>
      </c>
      <c r="J314" s="8" t="s">
        <v>4</v>
      </c>
      <c r="K314" s="7">
        <v>69410</v>
      </c>
      <c r="L314" s="6">
        <v>4</v>
      </c>
      <c r="M314" s="31">
        <f t="shared" si="14"/>
        <v>69410</v>
      </c>
      <c r="N314" s="65"/>
      <c r="O314" s="14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25">
      <c r="A315" s="1" t="s">
        <v>465</v>
      </c>
      <c r="B315" s="12" t="s">
        <v>17</v>
      </c>
      <c r="C315" s="1" t="s">
        <v>22</v>
      </c>
      <c r="D315" s="11">
        <v>737152868</v>
      </c>
      <c r="E315" s="11">
        <v>9191124357</v>
      </c>
      <c r="F315" s="1" t="s">
        <v>5</v>
      </c>
      <c r="G315" s="4">
        <f>36127+(364+182)</f>
        <v>36673</v>
      </c>
      <c r="H315" s="67" t="str">
        <f t="shared" si="12"/>
        <v>May</v>
      </c>
      <c r="I315" s="9">
        <f t="shared" ca="1" si="13"/>
        <v>16</v>
      </c>
      <c r="J315" s="8" t="s">
        <v>8</v>
      </c>
      <c r="K315" s="7">
        <v>48330</v>
      </c>
      <c r="L315" s="6">
        <v>1</v>
      </c>
      <c r="M315" s="31">
        <f t="shared" si="14"/>
        <v>48330</v>
      </c>
      <c r="N315" s="65"/>
      <c r="O315" s="14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25">
      <c r="A316" s="1" t="s">
        <v>464</v>
      </c>
      <c r="B316" s="12" t="s">
        <v>13</v>
      </c>
      <c r="C316" s="1" t="s">
        <v>26</v>
      </c>
      <c r="D316" s="11">
        <v>349979288</v>
      </c>
      <c r="E316" s="11">
        <v>9194629972</v>
      </c>
      <c r="F316" s="1" t="s">
        <v>5</v>
      </c>
      <c r="G316" s="4">
        <f>36472+(364+182)</f>
        <v>37018</v>
      </c>
      <c r="H316" s="67" t="str">
        <f t="shared" si="12"/>
        <v>May</v>
      </c>
      <c r="I316" s="9">
        <f t="shared" ca="1" si="13"/>
        <v>15</v>
      </c>
      <c r="J316" s="8" t="s">
        <v>4</v>
      </c>
      <c r="K316" s="7">
        <v>28650</v>
      </c>
      <c r="L316" s="6">
        <v>4</v>
      </c>
      <c r="M316" s="31">
        <f t="shared" si="14"/>
        <v>28650</v>
      </c>
      <c r="N316" s="65"/>
      <c r="O316" s="14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25">
      <c r="A317" s="1" t="s">
        <v>463</v>
      </c>
      <c r="B317" s="12" t="s">
        <v>13</v>
      </c>
      <c r="C317" s="1" t="s">
        <v>20</v>
      </c>
      <c r="D317" s="11">
        <v>337943008</v>
      </c>
      <c r="E317" s="11">
        <v>2521257896</v>
      </c>
      <c r="F317" s="1" t="s">
        <v>5</v>
      </c>
      <c r="G317" s="4">
        <f>36848+(364+182)</f>
        <v>37394</v>
      </c>
      <c r="H317" s="67" t="str">
        <f t="shared" si="12"/>
        <v>May</v>
      </c>
      <c r="I317" s="9">
        <f t="shared" ca="1" si="13"/>
        <v>14</v>
      </c>
      <c r="J317" s="8" t="s">
        <v>32</v>
      </c>
      <c r="K317" s="7">
        <v>28970</v>
      </c>
      <c r="L317" s="6">
        <v>3</v>
      </c>
      <c r="M317" s="31">
        <f t="shared" si="14"/>
        <v>28970</v>
      </c>
      <c r="N317" s="65"/>
      <c r="O317" s="14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25">
      <c r="A318" s="1" t="s">
        <v>462</v>
      </c>
      <c r="B318" s="12" t="s">
        <v>56</v>
      </c>
      <c r="C318" s="1" t="s">
        <v>37</v>
      </c>
      <c r="D318" s="11">
        <v>975603308</v>
      </c>
      <c r="E318" s="11">
        <v>9192693355</v>
      </c>
      <c r="F318" s="1" t="s">
        <v>5</v>
      </c>
      <c r="G318" s="4">
        <f>36858+(364+182)</f>
        <v>37404</v>
      </c>
      <c r="H318" s="67" t="str">
        <f t="shared" si="12"/>
        <v>May</v>
      </c>
      <c r="I318" s="9">
        <f t="shared" ca="1" si="13"/>
        <v>14</v>
      </c>
      <c r="J318" s="8" t="s">
        <v>32</v>
      </c>
      <c r="K318" s="7">
        <v>30780</v>
      </c>
      <c r="L318" s="6">
        <v>4</v>
      </c>
      <c r="M318" s="31">
        <f t="shared" si="14"/>
        <v>30780</v>
      </c>
      <c r="N318" s="65"/>
      <c r="O318" s="14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25">
      <c r="A319" s="1" t="s">
        <v>461</v>
      </c>
      <c r="B319" s="12" t="s">
        <v>17</v>
      </c>
      <c r="C319" s="1" t="s">
        <v>22</v>
      </c>
      <c r="D319" s="11">
        <v>339488599</v>
      </c>
      <c r="E319" s="11">
        <v>9191267946</v>
      </c>
      <c r="F319" s="1" t="s">
        <v>12</v>
      </c>
      <c r="G319" s="4">
        <f>36858+(364+182)</f>
        <v>37404</v>
      </c>
      <c r="H319" s="67" t="str">
        <f t="shared" si="12"/>
        <v>May</v>
      </c>
      <c r="I319" s="9">
        <f t="shared" ca="1" si="13"/>
        <v>14</v>
      </c>
      <c r="J319" s="8"/>
      <c r="K319" s="7">
        <v>60070</v>
      </c>
      <c r="L319" s="6">
        <v>3</v>
      </c>
      <c r="M319" s="31">
        <f t="shared" si="14"/>
        <v>60070</v>
      </c>
      <c r="N319" s="65"/>
      <c r="O319" s="14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25">
      <c r="A320" s="1" t="s">
        <v>460</v>
      </c>
      <c r="B320" s="12" t="s">
        <v>56</v>
      </c>
      <c r="C320" s="1" t="s">
        <v>95</v>
      </c>
      <c r="D320" s="11">
        <v>370608224</v>
      </c>
      <c r="E320" s="11">
        <v>2521535362</v>
      </c>
      <c r="F320" s="1" t="s">
        <v>5</v>
      </c>
      <c r="G320" s="4">
        <f>36861+(364+182)</f>
        <v>37407</v>
      </c>
      <c r="H320" s="67" t="str">
        <f t="shared" si="12"/>
        <v>May</v>
      </c>
      <c r="I320" s="9">
        <f t="shared" ca="1" si="13"/>
        <v>14</v>
      </c>
      <c r="J320" s="8" t="s">
        <v>32</v>
      </c>
      <c r="K320" s="7">
        <v>59140</v>
      </c>
      <c r="L320" s="6">
        <v>5</v>
      </c>
      <c r="M320" s="31">
        <f t="shared" si="14"/>
        <v>59140</v>
      </c>
      <c r="N320" s="65"/>
      <c r="O320" s="14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25">
      <c r="A321" s="1" t="s">
        <v>459</v>
      </c>
      <c r="B321" s="12" t="s">
        <v>13</v>
      </c>
      <c r="C321" s="1" t="s">
        <v>72</v>
      </c>
      <c r="D321" s="11">
        <v>541365827</v>
      </c>
      <c r="E321" s="11">
        <v>2525317859</v>
      </c>
      <c r="F321" s="1" t="s">
        <v>5</v>
      </c>
      <c r="G321" s="4">
        <f>37589+(364+182)</f>
        <v>38135</v>
      </c>
      <c r="H321" s="67" t="str">
        <f t="shared" si="12"/>
        <v>May</v>
      </c>
      <c r="I321" s="9">
        <f t="shared" ca="1" si="13"/>
        <v>12</v>
      </c>
      <c r="J321" s="8" t="s">
        <v>19</v>
      </c>
      <c r="K321" s="7">
        <v>65560</v>
      </c>
      <c r="L321" s="6">
        <v>1</v>
      </c>
      <c r="M321" s="31">
        <f t="shared" si="14"/>
        <v>65560</v>
      </c>
      <c r="N321" s="65"/>
      <c r="O321" s="14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25">
      <c r="A322" s="1" t="s">
        <v>458</v>
      </c>
      <c r="B322" s="12" t="s">
        <v>56</v>
      </c>
      <c r="C322" s="1" t="s">
        <v>60</v>
      </c>
      <c r="D322" s="11">
        <v>788451186</v>
      </c>
      <c r="E322" s="11">
        <v>9191682521</v>
      </c>
      <c r="F322" s="1" t="s">
        <v>12</v>
      </c>
      <c r="G322" s="4">
        <f>37950+(364+182)</f>
        <v>38496</v>
      </c>
      <c r="H322" s="67" t="str">
        <f t="shared" si="12"/>
        <v>May</v>
      </c>
      <c r="I322" s="9">
        <f t="shared" ca="1" si="13"/>
        <v>11</v>
      </c>
      <c r="J322" s="8"/>
      <c r="K322" s="7">
        <v>57520</v>
      </c>
      <c r="L322" s="6">
        <v>3</v>
      </c>
      <c r="M322" s="31">
        <f t="shared" si="14"/>
        <v>57520</v>
      </c>
      <c r="N322" s="65"/>
      <c r="O322" s="14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25">
      <c r="A323" s="1" t="s">
        <v>457</v>
      </c>
      <c r="B323" s="12" t="s">
        <v>2</v>
      </c>
      <c r="C323" s="1" t="s">
        <v>22</v>
      </c>
      <c r="D323" s="11">
        <v>289103201</v>
      </c>
      <c r="E323" s="11">
        <v>9192921836</v>
      </c>
      <c r="F323" s="1" t="s">
        <v>5</v>
      </c>
      <c r="G323" s="4">
        <f>38671+(364+182)</f>
        <v>39217</v>
      </c>
      <c r="H323" s="67" t="str">
        <f t="shared" ref="H323:H386" si="15">CHOOSE(MONTH(G323),"Jan","Feb","Mar","Apr","May","Jun","Jul","Aug","Sep","Oct","Nov","Dec")</f>
        <v>May</v>
      </c>
      <c r="I323" s="9">
        <f t="shared" ref="I323:I386" ca="1" si="16">DATEDIF(G323,TODAY(),"Y")</f>
        <v>9</v>
      </c>
      <c r="J323" s="8" t="s">
        <v>32</v>
      </c>
      <c r="K323" s="7">
        <v>73830</v>
      </c>
      <c r="L323" s="6">
        <v>2</v>
      </c>
      <c r="M323" s="31">
        <f t="shared" ref="M323:M386" si="17">ROUND(K323*P321+K323,0)</f>
        <v>73830</v>
      </c>
      <c r="N323" s="65"/>
      <c r="O323" s="14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25">
      <c r="A324" s="1" t="s">
        <v>456</v>
      </c>
      <c r="B324" s="12" t="s">
        <v>13</v>
      </c>
      <c r="C324" s="1" t="s">
        <v>26</v>
      </c>
      <c r="D324" s="11">
        <v>653843221</v>
      </c>
      <c r="E324" s="11">
        <v>9197713771</v>
      </c>
      <c r="F324" s="1" t="s">
        <v>12</v>
      </c>
      <c r="G324" s="4">
        <f>39413+(364+182)</f>
        <v>39959</v>
      </c>
      <c r="H324" s="67" t="str">
        <f t="shared" si="15"/>
        <v>May</v>
      </c>
      <c r="I324" s="9">
        <f t="shared" ca="1" si="16"/>
        <v>7</v>
      </c>
      <c r="J324" s="8"/>
      <c r="K324" s="7">
        <v>79460</v>
      </c>
      <c r="L324" s="6">
        <v>5</v>
      </c>
      <c r="M324" s="31">
        <f t="shared" si="17"/>
        <v>79460</v>
      </c>
      <c r="N324" s="65"/>
      <c r="O324" s="14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25">
      <c r="A325" s="1" t="s">
        <v>455</v>
      </c>
      <c r="B325" s="12" t="s">
        <v>17</v>
      </c>
      <c r="C325" s="1" t="s">
        <v>16</v>
      </c>
      <c r="D325" s="11">
        <v>651995963</v>
      </c>
      <c r="E325" s="11">
        <v>9194944945</v>
      </c>
      <c r="F325" s="1" t="s">
        <v>0</v>
      </c>
      <c r="G325" s="13">
        <f>39767+(364+182)</f>
        <v>40313</v>
      </c>
      <c r="H325" s="67" t="str">
        <f t="shared" si="15"/>
        <v>May</v>
      </c>
      <c r="I325" s="9">
        <f t="shared" ca="1" si="16"/>
        <v>6</v>
      </c>
      <c r="J325" s="8"/>
      <c r="K325" s="7">
        <v>27484</v>
      </c>
      <c r="L325" s="6">
        <v>4</v>
      </c>
      <c r="M325" s="31">
        <f t="shared" si="17"/>
        <v>27484</v>
      </c>
      <c r="N325" s="65"/>
      <c r="O325" s="6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25">
      <c r="A326" s="1" t="s">
        <v>454</v>
      </c>
      <c r="B326" s="12" t="s">
        <v>2</v>
      </c>
      <c r="C326" s="1" t="s">
        <v>95</v>
      </c>
      <c r="D326" s="11">
        <v>723930767</v>
      </c>
      <c r="E326" s="11">
        <v>9191375297</v>
      </c>
      <c r="F326" s="1" t="s">
        <v>5</v>
      </c>
      <c r="G326" s="13">
        <f>39767+(364+182)</f>
        <v>40313</v>
      </c>
      <c r="H326" s="67" t="str">
        <f t="shared" si="15"/>
        <v>May</v>
      </c>
      <c r="I326" s="9">
        <f t="shared" ca="1" si="16"/>
        <v>6</v>
      </c>
      <c r="J326" s="8" t="s">
        <v>4</v>
      </c>
      <c r="K326" s="7">
        <v>27250</v>
      </c>
      <c r="L326" s="6">
        <v>5</v>
      </c>
      <c r="M326" s="31">
        <f t="shared" si="17"/>
        <v>27250</v>
      </c>
      <c r="N326" s="65"/>
      <c r="O326" s="14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25">
      <c r="A327" s="1" t="s">
        <v>453</v>
      </c>
      <c r="B327" s="12" t="s">
        <v>17</v>
      </c>
      <c r="C327" s="1" t="s">
        <v>20</v>
      </c>
      <c r="D327" s="11">
        <v>843064707</v>
      </c>
      <c r="E327" s="11">
        <v>9192687844</v>
      </c>
      <c r="F327" s="1" t="s">
        <v>12</v>
      </c>
      <c r="G327" s="13">
        <f>40134+(364+182)</f>
        <v>40680</v>
      </c>
      <c r="H327" s="67" t="str">
        <f t="shared" si="15"/>
        <v>May</v>
      </c>
      <c r="I327" s="9">
        <f t="shared" ca="1" si="16"/>
        <v>5</v>
      </c>
      <c r="J327" s="8"/>
      <c r="K327" s="7">
        <v>57110</v>
      </c>
      <c r="L327" s="6">
        <v>3</v>
      </c>
      <c r="M327" s="31">
        <f t="shared" si="17"/>
        <v>57110</v>
      </c>
      <c r="N327" s="65"/>
      <c r="O327" s="14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25">
      <c r="A328" s="1" t="s">
        <v>452</v>
      </c>
      <c r="B328" s="12" t="s">
        <v>17</v>
      </c>
      <c r="C328" s="1" t="s">
        <v>6</v>
      </c>
      <c r="D328" s="11">
        <v>308317457</v>
      </c>
      <c r="E328" s="11">
        <v>9192729524</v>
      </c>
      <c r="F328" s="1" t="s">
        <v>5</v>
      </c>
      <c r="G328" s="13">
        <f>40134+(364+182)</f>
        <v>40680</v>
      </c>
      <c r="H328" s="67" t="str">
        <f t="shared" si="15"/>
        <v>May</v>
      </c>
      <c r="I328" s="9">
        <f t="shared" ca="1" si="16"/>
        <v>5</v>
      </c>
      <c r="J328" s="8" t="s">
        <v>32</v>
      </c>
      <c r="K328" s="7">
        <v>23030</v>
      </c>
      <c r="L328" s="6">
        <v>4</v>
      </c>
      <c r="M328" s="31">
        <f t="shared" si="17"/>
        <v>23030</v>
      </c>
      <c r="N328" s="65"/>
      <c r="O328" s="14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25">
      <c r="A329" s="1" t="s">
        <v>451</v>
      </c>
      <c r="B329" s="12" t="s">
        <v>17</v>
      </c>
      <c r="C329" s="1" t="s">
        <v>6</v>
      </c>
      <c r="D329" s="11">
        <v>159594851</v>
      </c>
      <c r="E329" s="11">
        <v>9194084456</v>
      </c>
      <c r="F329" s="1" t="s">
        <v>5</v>
      </c>
      <c r="G329" s="13">
        <f>40134+(364+182)</f>
        <v>40680</v>
      </c>
      <c r="H329" s="67" t="str">
        <f t="shared" si="15"/>
        <v>May</v>
      </c>
      <c r="I329" s="9">
        <f t="shared" ca="1" si="16"/>
        <v>5</v>
      </c>
      <c r="J329" s="8" t="s">
        <v>8</v>
      </c>
      <c r="K329" s="7">
        <v>40260</v>
      </c>
      <c r="L329" s="6">
        <v>5</v>
      </c>
      <c r="M329" s="31">
        <f t="shared" si="17"/>
        <v>40260</v>
      </c>
      <c r="N329" s="65"/>
      <c r="O329" s="14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25">
      <c r="A330" s="1" t="s">
        <v>450</v>
      </c>
      <c r="B330" s="12" t="s">
        <v>13</v>
      </c>
      <c r="C330" s="1" t="s">
        <v>6</v>
      </c>
      <c r="D330" s="11">
        <v>277423593</v>
      </c>
      <c r="E330" s="11">
        <v>9195790921</v>
      </c>
      <c r="F330" s="1" t="s">
        <v>15</v>
      </c>
      <c r="G330" s="4">
        <f>32845+(364+182)</f>
        <v>33391</v>
      </c>
      <c r="H330" s="67" t="str">
        <f t="shared" si="15"/>
        <v>Jun</v>
      </c>
      <c r="I330" s="9">
        <f t="shared" ca="1" si="16"/>
        <v>25</v>
      </c>
      <c r="J330" s="8" t="s">
        <v>4</v>
      </c>
      <c r="K330" s="7">
        <v>13455</v>
      </c>
      <c r="L330" s="6">
        <v>2</v>
      </c>
      <c r="M330" s="31">
        <f t="shared" si="17"/>
        <v>13455</v>
      </c>
      <c r="N330" s="65"/>
      <c r="O330" s="14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25">
      <c r="A331" s="1" t="s">
        <v>449</v>
      </c>
      <c r="B331" s="12" t="s">
        <v>39</v>
      </c>
      <c r="C331" s="1" t="s">
        <v>6</v>
      </c>
      <c r="D331" s="11">
        <v>877574472</v>
      </c>
      <c r="E331" s="11">
        <v>2524100997</v>
      </c>
      <c r="F331" s="1" t="s">
        <v>12</v>
      </c>
      <c r="G331" s="4">
        <f>32855+(364+182)</f>
        <v>33401</v>
      </c>
      <c r="H331" s="67" t="str">
        <f t="shared" si="15"/>
        <v>Jun</v>
      </c>
      <c r="I331" s="9">
        <f t="shared" ca="1" si="16"/>
        <v>25</v>
      </c>
      <c r="J331" s="8"/>
      <c r="K331" s="7">
        <v>34680</v>
      </c>
      <c r="L331" s="6">
        <v>5</v>
      </c>
      <c r="M331" s="31">
        <f t="shared" si="17"/>
        <v>34680</v>
      </c>
      <c r="N331" s="65"/>
      <c r="O331" s="14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25">
      <c r="A332" s="1" t="s">
        <v>448</v>
      </c>
      <c r="B332" s="12" t="s">
        <v>17</v>
      </c>
      <c r="C332" s="1" t="s">
        <v>22</v>
      </c>
      <c r="D332" s="11">
        <v>462650472</v>
      </c>
      <c r="E332" s="11">
        <v>2521276517</v>
      </c>
      <c r="F332" s="1" t="s">
        <v>12</v>
      </c>
      <c r="G332" s="4">
        <f>32856+(364+182)</f>
        <v>33402</v>
      </c>
      <c r="H332" s="67" t="str">
        <f t="shared" si="15"/>
        <v>Jun</v>
      </c>
      <c r="I332" s="9">
        <f t="shared" ca="1" si="16"/>
        <v>25</v>
      </c>
      <c r="J332" s="8"/>
      <c r="K332" s="7">
        <v>79380</v>
      </c>
      <c r="L332" s="6">
        <v>1</v>
      </c>
      <c r="M332" s="31">
        <f t="shared" si="17"/>
        <v>79380</v>
      </c>
      <c r="N332" s="65"/>
      <c r="O332" s="14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25">
      <c r="A333" s="1" t="s">
        <v>447</v>
      </c>
      <c r="B333" s="12" t="s">
        <v>17</v>
      </c>
      <c r="C333" s="1" t="s">
        <v>72</v>
      </c>
      <c r="D333" s="11">
        <v>503349830</v>
      </c>
      <c r="E333" s="11">
        <v>9191999230</v>
      </c>
      <c r="F333" s="1" t="s">
        <v>5</v>
      </c>
      <c r="G333" s="4">
        <f>32859+(364+182)</f>
        <v>33405</v>
      </c>
      <c r="H333" s="67" t="str">
        <f t="shared" si="15"/>
        <v>Jun</v>
      </c>
      <c r="I333" s="9">
        <f t="shared" ca="1" si="16"/>
        <v>25</v>
      </c>
      <c r="J333" s="8" t="s">
        <v>4</v>
      </c>
      <c r="K333" s="7">
        <v>32140</v>
      </c>
      <c r="L333" s="6">
        <v>2</v>
      </c>
      <c r="M333" s="31">
        <f t="shared" si="17"/>
        <v>32140</v>
      </c>
      <c r="N333" s="65"/>
      <c r="O333" s="14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25">
      <c r="A334" s="1" t="s">
        <v>446</v>
      </c>
      <c r="B334" s="12" t="s">
        <v>56</v>
      </c>
      <c r="C334" s="1" t="s">
        <v>60</v>
      </c>
      <c r="D334" s="11">
        <v>154984918</v>
      </c>
      <c r="E334" s="11">
        <v>2521575684</v>
      </c>
      <c r="F334" s="1" t="s">
        <v>5</v>
      </c>
      <c r="G334" s="4">
        <f>32861+(364+182)</f>
        <v>33407</v>
      </c>
      <c r="H334" s="67" t="str">
        <f t="shared" si="15"/>
        <v>Jun</v>
      </c>
      <c r="I334" s="9">
        <f t="shared" ca="1" si="16"/>
        <v>25</v>
      </c>
      <c r="J334" s="8" t="s">
        <v>32</v>
      </c>
      <c r="K334" s="7">
        <v>22900</v>
      </c>
      <c r="L334" s="6">
        <v>1</v>
      </c>
      <c r="M334" s="31">
        <f t="shared" si="17"/>
        <v>22900</v>
      </c>
      <c r="N334" s="65"/>
      <c r="O334" s="14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25">
      <c r="A335" s="1" t="s">
        <v>445</v>
      </c>
      <c r="B335" s="12" t="s">
        <v>10</v>
      </c>
      <c r="C335" s="1" t="s">
        <v>6</v>
      </c>
      <c r="D335" s="11">
        <v>643984096</v>
      </c>
      <c r="E335" s="11">
        <v>9191630739</v>
      </c>
      <c r="F335" s="1" t="s">
        <v>12</v>
      </c>
      <c r="G335" s="4">
        <f>32867+(364+182)</f>
        <v>33413</v>
      </c>
      <c r="H335" s="67" t="str">
        <f t="shared" si="15"/>
        <v>Jun</v>
      </c>
      <c r="I335" s="9">
        <f t="shared" ca="1" si="16"/>
        <v>25</v>
      </c>
      <c r="J335" s="8"/>
      <c r="K335" s="7">
        <v>26020</v>
      </c>
      <c r="L335" s="6">
        <v>5</v>
      </c>
      <c r="M335" s="31">
        <f t="shared" si="17"/>
        <v>26020</v>
      </c>
      <c r="N335" s="65"/>
      <c r="O335" s="14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25">
      <c r="A336" s="1" t="s">
        <v>444</v>
      </c>
      <c r="B336" s="12" t="s">
        <v>56</v>
      </c>
      <c r="C336" s="1" t="s">
        <v>60</v>
      </c>
      <c r="D336" s="11">
        <v>159415552</v>
      </c>
      <c r="E336" s="11">
        <v>9194221208</v>
      </c>
      <c r="F336" s="1" t="s">
        <v>5</v>
      </c>
      <c r="G336" s="4">
        <f>33219+(364+182)</f>
        <v>33765</v>
      </c>
      <c r="H336" s="67" t="str">
        <f t="shared" si="15"/>
        <v>Jun</v>
      </c>
      <c r="I336" s="9">
        <f t="shared" ca="1" si="16"/>
        <v>24</v>
      </c>
      <c r="J336" s="8" t="s">
        <v>34</v>
      </c>
      <c r="K336" s="7">
        <v>73930</v>
      </c>
      <c r="L336" s="6">
        <v>1</v>
      </c>
      <c r="M336" s="31">
        <f t="shared" si="17"/>
        <v>73930</v>
      </c>
      <c r="N336" s="65"/>
      <c r="O336" s="14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25">
      <c r="A337" s="1" t="s">
        <v>443</v>
      </c>
      <c r="B337" s="12" t="s">
        <v>13</v>
      </c>
      <c r="C337" s="1" t="s">
        <v>20</v>
      </c>
      <c r="D337" s="11">
        <v>428024993</v>
      </c>
      <c r="E337" s="11">
        <v>9196410575</v>
      </c>
      <c r="F337" s="1" t="s">
        <v>12</v>
      </c>
      <c r="G337" s="4">
        <f>33228+(364+182)</f>
        <v>33774</v>
      </c>
      <c r="H337" s="67" t="str">
        <f t="shared" si="15"/>
        <v>Jun</v>
      </c>
      <c r="I337" s="9">
        <f t="shared" ca="1" si="16"/>
        <v>24</v>
      </c>
      <c r="J337" s="8"/>
      <c r="K337" s="7">
        <v>32190</v>
      </c>
      <c r="L337" s="6">
        <v>3</v>
      </c>
      <c r="M337" s="31">
        <f t="shared" si="17"/>
        <v>32190</v>
      </c>
      <c r="N337" s="65"/>
      <c r="O337" s="14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25">
      <c r="A338" s="1" t="s">
        <v>442</v>
      </c>
      <c r="B338" s="12" t="s">
        <v>13</v>
      </c>
      <c r="C338" s="1" t="s">
        <v>6</v>
      </c>
      <c r="D338" s="11">
        <v>763182349</v>
      </c>
      <c r="E338" s="11">
        <v>2527780776</v>
      </c>
      <c r="F338" s="1" t="s">
        <v>12</v>
      </c>
      <c r="G338" s="4">
        <f>33580+(364+182)</f>
        <v>34126</v>
      </c>
      <c r="H338" s="67" t="str">
        <f t="shared" si="15"/>
        <v>Jun</v>
      </c>
      <c r="I338" s="9">
        <f t="shared" ca="1" si="16"/>
        <v>23</v>
      </c>
      <c r="J338" s="8"/>
      <c r="K338" s="7">
        <v>75550</v>
      </c>
      <c r="L338" s="6">
        <v>3</v>
      </c>
      <c r="M338" s="31">
        <f t="shared" si="17"/>
        <v>75550</v>
      </c>
      <c r="N338" s="65"/>
      <c r="O338" s="14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25">
      <c r="A339" s="1" t="s">
        <v>441</v>
      </c>
      <c r="B339" s="12" t="s">
        <v>10</v>
      </c>
      <c r="C339" s="1" t="s">
        <v>6</v>
      </c>
      <c r="D339" s="11">
        <v>641962645</v>
      </c>
      <c r="E339" s="11">
        <v>9196965088</v>
      </c>
      <c r="F339" s="1" t="s">
        <v>12</v>
      </c>
      <c r="G339" s="4">
        <f>33589+(364+182)</f>
        <v>34135</v>
      </c>
      <c r="H339" s="67" t="str">
        <f t="shared" si="15"/>
        <v>Jun</v>
      </c>
      <c r="I339" s="9">
        <f t="shared" ca="1" si="16"/>
        <v>23</v>
      </c>
      <c r="J339" s="8"/>
      <c r="K339" s="7">
        <v>78590</v>
      </c>
      <c r="L339" s="6">
        <v>1</v>
      </c>
      <c r="M339" s="31">
        <f t="shared" si="17"/>
        <v>78590</v>
      </c>
      <c r="N339" s="65"/>
      <c r="O339" s="14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25">
      <c r="A340" s="1" t="s">
        <v>440</v>
      </c>
      <c r="B340" s="12" t="s">
        <v>13</v>
      </c>
      <c r="C340" s="1" t="s">
        <v>6</v>
      </c>
      <c r="D340" s="11">
        <v>891224981</v>
      </c>
      <c r="E340" s="11">
        <v>2526391402</v>
      </c>
      <c r="F340" s="1" t="s">
        <v>15</v>
      </c>
      <c r="G340" s="4">
        <f>33594+(364+182)</f>
        <v>34140</v>
      </c>
      <c r="H340" s="67" t="str">
        <f t="shared" si="15"/>
        <v>Jun</v>
      </c>
      <c r="I340" s="9">
        <f t="shared" ca="1" si="16"/>
        <v>23</v>
      </c>
      <c r="J340" s="8" t="s">
        <v>8</v>
      </c>
      <c r="K340" s="7">
        <v>11230</v>
      </c>
      <c r="L340" s="6">
        <v>4</v>
      </c>
      <c r="M340" s="31">
        <f t="shared" si="17"/>
        <v>11230</v>
      </c>
      <c r="N340" s="65"/>
      <c r="O340" s="14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25">
      <c r="A341" s="1" t="s">
        <v>439</v>
      </c>
      <c r="B341" s="12" t="s">
        <v>17</v>
      </c>
      <c r="C341" s="1" t="s">
        <v>20</v>
      </c>
      <c r="D341" s="11">
        <v>220781349</v>
      </c>
      <c r="E341" s="11">
        <v>2525185281</v>
      </c>
      <c r="F341" s="1" t="s">
        <v>12</v>
      </c>
      <c r="G341" s="4">
        <f>33603+(364+182)</f>
        <v>34149</v>
      </c>
      <c r="H341" s="67" t="str">
        <f t="shared" si="15"/>
        <v>Jun</v>
      </c>
      <c r="I341" s="9">
        <f t="shared" ca="1" si="16"/>
        <v>23</v>
      </c>
      <c r="J341" s="8"/>
      <c r="K341" s="7">
        <v>45770</v>
      </c>
      <c r="L341" s="6">
        <v>5</v>
      </c>
      <c r="M341" s="31">
        <f t="shared" si="17"/>
        <v>45770</v>
      </c>
      <c r="N341" s="65"/>
      <c r="O341" s="14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25">
      <c r="A342" s="1" t="s">
        <v>438</v>
      </c>
      <c r="B342" s="12" t="s">
        <v>13</v>
      </c>
      <c r="C342" s="1" t="s">
        <v>22</v>
      </c>
      <c r="D342" s="11">
        <v>967035612</v>
      </c>
      <c r="E342" s="11">
        <v>2528842613</v>
      </c>
      <c r="F342" s="1" t="s">
        <v>5</v>
      </c>
      <c r="G342" s="4">
        <f>33603+(364+182)</f>
        <v>34149</v>
      </c>
      <c r="H342" s="67" t="str">
        <f t="shared" si="15"/>
        <v>Jun</v>
      </c>
      <c r="I342" s="9">
        <f t="shared" ca="1" si="16"/>
        <v>23</v>
      </c>
      <c r="J342" s="8" t="s">
        <v>8</v>
      </c>
      <c r="K342" s="7">
        <v>63440</v>
      </c>
      <c r="L342" s="6">
        <v>3</v>
      </c>
      <c r="M342" s="31">
        <f t="shared" si="17"/>
        <v>63440</v>
      </c>
      <c r="N342" s="65"/>
      <c r="O342" s="14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25">
      <c r="A343" s="1" t="s">
        <v>437</v>
      </c>
      <c r="B343" s="12" t="s">
        <v>56</v>
      </c>
      <c r="C343" s="1" t="s">
        <v>28</v>
      </c>
      <c r="D343" s="11">
        <v>761337848</v>
      </c>
      <c r="E343" s="11">
        <v>9193967339</v>
      </c>
      <c r="F343" s="1" t="s">
        <v>12</v>
      </c>
      <c r="G343" s="4">
        <f>33956+(364+182)</f>
        <v>34502</v>
      </c>
      <c r="H343" s="67" t="str">
        <f t="shared" si="15"/>
        <v>Jun</v>
      </c>
      <c r="I343" s="9">
        <f t="shared" ca="1" si="16"/>
        <v>22</v>
      </c>
      <c r="J343" s="8"/>
      <c r="K343" s="7">
        <v>66710</v>
      </c>
      <c r="L343" s="6">
        <v>2</v>
      </c>
      <c r="M343" s="31">
        <f t="shared" si="17"/>
        <v>66710</v>
      </c>
      <c r="N343" s="65"/>
      <c r="O343" s="14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25">
      <c r="A344" s="1" t="s">
        <v>436</v>
      </c>
      <c r="B344" s="12" t="s">
        <v>13</v>
      </c>
      <c r="C344" s="1" t="s">
        <v>60</v>
      </c>
      <c r="D344" s="11">
        <v>385074661</v>
      </c>
      <c r="E344" s="11">
        <v>2527451745</v>
      </c>
      <c r="F344" s="1" t="s">
        <v>5</v>
      </c>
      <c r="G344" s="4">
        <f>34329+(364+182)</f>
        <v>34875</v>
      </c>
      <c r="H344" s="67" t="str">
        <f t="shared" si="15"/>
        <v>Jun</v>
      </c>
      <c r="I344" s="9">
        <f t="shared" ca="1" si="16"/>
        <v>21</v>
      </c>
      <c r="J344" s="8" t="s">
        <v>8</v>
      </c>
      <c r="K344" s="7">
        <v>66920</v>
      </c>
      <c r="L344" s="6">
        <v>2</v>
      </c>
      <c r="M344" s="31">
        <f t="shared" si="17"/>
        <v>66920</v>
      </c>
      <c r="N344" s="65"/>
      <c r="O344" s="14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25">
      <c r="A345" s="1" t="s">
        <v>435</v>
      </c>
      <c r="B345" s="12" t="s">
        <v>17</v>
      </c>
      <c r="C345" s="1" t="s">
        <v>22</v>
      </c>
      <c r="D345" s="11">
        <v>214291610</v>
      </c>
      <c r="E345" s="11">
        <v>2523858464</v>
      </c>
      <c r="F345" s="1" t="s">
        <v>5</v>
      </c>
      <c r="G345" s="4">
        <f>34673+(364+182)</f>
        <v>35219</v>
      </c>
      <c r="H345" s="67" t="str">
        <f t="shared" si="15"/>
        <v>Jun</v>
      </c>
      <c r="I345" s="9">
        <f t="shared" ca="1" si="16"/>
        <v>20</v>
      </c>
      <c r="J345" s="8" t="s">
        <v>32</v>
      </c>
      <c r="K345" s="7">
        <v>47340</v>
      </c>
      <c r="L345" s="6">
        <v>2</v>
      </c>
      <c r="M345" s="31">
        <f t="shared" si="17"/>
        <v>47340</v>
      </c>
      <c r="N345" s="65"/>
      <c r="O345" s="14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25">
      <c r="A346" s="1" t="s">
        <v>434</v>
      </c>
      <c r="B346" s="12" t="s">
        <v>39</v>
      </c>
      <c r="C346" s="1" t="s">
        <v>60</v>
      </c>
      <c r="D346" s="11">
        <v>917714039</v>
      </c>
      <c r="E346" s="11">
        <v>9194402150</v>
      </c>
      <c r="F346" s="1" t="s">
        <v>5</v>
      </c>
      <c r="G346" s="4">
        <f>34674+(364+182)</f>
        <v>35220</v>
      </c>
      <c r="H346" s="67" t="str">
        <f t="shared" si="15"/>
        <v>Jun</v>
      </c>
      <c r="I346" s="9">
        <f t="shared" ca="1" si="16"/>
        <v>20</v>
      </c>
      <c r="J346" s="8" t="s">
        <v>19</v>
      </c>
      <c r="K346" s="7">
        <v>70480</v>
      </c>
      <c r="L346" s="6">
        <v>4</v>
      </c>
      <c r="M346" s="31">
        <f t="shared" si="17"/>
        <v>70480</v>
      </c>
      <c r="N346" s="65"/>
      <c r="O346" s="14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25">
      <c r="A347" s="1" t="s">
        <v>433</v>
      </c>
      <c r="B347" s="12" t="s">
        <v>17</v>
      </c>
      <c r="C347" s="1" t="s">
        <v>20</v>
      </c>
      <c r="D347" s="11">
        <v>853268713</v>
      </c>
      <c r="E347" s="11">
        <v>9192712826</v>
      </c>
      <c r="F347" s="1" t="s">
        <v>5</v>
      </c>
      <c r="G347" s="4">
        <f>35043+(364+182)</f>
        <v>35589</v>
      </c>
      <c r="H347" s="67" t="str">
        <f t="shared" si="15"/>
        <v>Jun</v>
      </c>
      <c r="I347" s="9">
        <f t="shared" ca="1" si="16"/>
        <v>19</v>
      </c>
      <c r="J347" s="8" t="s">
        <v>32</v>
      </c>
      <c r="K347" s="7">
        <v>60280</v>
      </c>
      <c r="L347" s="6">
        <v>1</v>
      </c>
      <c r="M347" s="31">
        <f t="shared" si="17"/>
        <v>60280</v>
      </c>
      <c r="N347" s="65"/>
      <c r="O347" s="14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25">
      <c r="A348" s="1" t="s">
        <v>432</v>
      </c>
      <c r="B348" s="12" t="s">
        <v>56</v>
      </c>
      <c r="C348" s="1" t="s">
        <v>20</v>
      </c>
      <c r="D348" s="11">
        <v>696435191</v>
      </c>
      <c r="E348" s="11">
        <v>2527710498</v>
      </c>
      <c r="F348" s="1" t="s">
        <v>5</v>
      </c>
      <c r="G348" s="4">
        <f>35045+(364+182)</f>
        <v>35591</v>
      </c>
      <c r="H348" s="67" t="str">
        <f t="shared" si="15"/>
        <v>Jun</v>
      </c>
      <c r="I348" s="9">
        <f t="shared" ca="1" si="16"/>
        <v>19</v>
      </c>
      <c r="J348" s="8" t="s">
        <v>4</v>
      </c>
      <c r="K348" s="7">
        <v>61150</v>
      </c>
      <c r="L348" s="6">
        <v>2</v>
      </c>
      <c r="M348" s="31">
        <f t="shared" si="17"/>
        <v>61150</v>
      </c>
      <c r="N348" s="65"/>
      <c r="O348" s="14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25">
      <c r="A349" s="1" t="s">
        <v>431</v>
      </c>
      <c r="B349" s="12" t="s">
        <v>17</v>
      </c>
      <c r="C349" s="1" t="s">
        <v>72</v>
      </c>
      <c r="D349" s="11">
        <v>571821715</v>
      </c>
      <c r="E349" s="11">
        <v>2527102355</v>
      </c>
      <c r="F349" s="1" t="s">
        <v>5</v>
      </c>
      <c r="G349" s="4">
        <f>35059+(364+182)</f>
        <v>35605</v>
      </c>
      <c r="H349" s="67" t="str">
        <f t="shared" si="15"/>
        <v>Jun</v>
      </c>
      <c r="I349" s="9">
        <f t="shared" ca="1" si="16"/>
        <v>19</v>
      </c>
      <c r="J349" s="8" t="s">
        <v>4</v>
      </c>
      <c r="K349" s="7">
        <v>56870</v>
      </c>
      <c r="L349" s="6">
        <v>1</v>
      </c>
      <c r="M349" s="31">
        <f t="shared" si="17"/>
        <v>56870</v>
      </c>
      <c r="N349" s="65"/>
      <c r="O349" s="14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25">
      <c r="A350" s="1" t="s">
        <v>430</v>
      </c>
      <c r="B350" s="12" t="s">
        <v>13</v>
      </c>
      <c r="C350" s="1" t="s">
        <v>22</v>
      </c>
      <c r="D350" s="11">
        <v>475671127</v>
      </c>
      <c r="E350" s="11">
        <v>9196650531</v>
      </c>
      <c r="F350" s="1" t="s">
        <v>5</v>
      </c>
      <c r="G350" s="4">
        <f>35412+(364+182)</f>
        <v>35958</v>
      </c>
      <c r="H350" s="67" t="str">
        <f t="shared" si="15"/>
        <v>Jun</v>
      </c>
      <c r="I350" s="9">
        <f t="shared" ca="1" si="16"/>
        <v>18</v>
      </c>
      <c r="J350" s="8" t="s">
        <v>4</v>
      </c>
      <c r="K350" s="7">
        <v>61420</v>
      </c>
      <c r="L350" s="6">
        <v>4</v>
      </c>
      <c r="M350" s="31">
        <f t="shared" si="17"/>
        <v>61420</v>
      </c>
      <c r="N350" s="65"/>
      <c r="O350" s="14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25">
      <c r="A351" s="1" t="s">
        <v>429</v>
      </c>
      <c r="B351" s="12" t="s">
        <v>17</v>
      </c>
      <c r="C351" s="1" t="s">
        <v>44</v>
      </c>
      <c r="D351" s="11">
        <v>526188716</v>
      </c>
      <c r="E351" s="11">
        <v>2527230063</v>
      </c>
      <c r="F351" s="1" t="s">
        <v>12</v>
      </c>
      <c r="G351" s="4">
        <f>35413+(364+182)</f>
        <v>35959</v>
      </c>
      <c r="H351" s="67" t="str">
        <f t="shared" si="15"/>
        <v>Jun</v>
      </c>
      <c r="I351" s="9">
        <f t="shared" ca="1" si="16"/>
        <v>18</v>
      </c>
      <c r="J351" s="8"/>
      <c r="K351" s="7">
        <v>64470</v>
      </c>
      <c r="L351" s="6">
        <v>3</v>
      </c>
      <c r="M351" s="31">
        <f t="shared" si="17"/>
        <v>64470</v>
      </c>
      <c r="N351" s="65"/>
      <c r="O351" s="14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25">
      <c r="A352" s="1" t="s">
        <v>428</v>
      </c>
      <c r="B352" s="12" t="s">
        <v>17</v>
      </c>
      <c r="C352" s="1" t="s">
        <v>9</v>
      </c>
      <c r="D352" s="11">
        <v>122440839</v>
      </c>
      <c r="E352" s="11">
        <v>2526525807</v>
      </c>
      <c r="F352" s="1" t="s">
        <v>15</v>
      </c>
      <c r="G352" s="4">
        <f>35415+(364+182)</f>
        <v>35961</v>
      </c>
      <c r="H352" s="67" t="str">
        <f t="shared" si="15"/>
        <v>Jun</v>
      </c>
      <c r="I352" s="9">
        <f t="shared" ca="1" si="16"/>
        <v>18</v>
      </c>
      <c r="J352" s="8" t="s">
        <v>32</v>
      </c>
      <c r="K352" s="7">
        <v>20500</v>
      </c>
      <c r="L352" s="6">
        <v>3</v>
      </c>
      <c r="M352" s="31">
        <f t="shared" si="17"/>
        <v>20500</v>
      </c>
      <c r="N352" s="65"/>
      <c r="O352" s="14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25">
      <c r="A353" s="1" t="s">
        <v>427</v>
      </c>
      <c r="B353" s="12" t="s">
        <v>39</v>
      </c>
      <c r="C353" s="1" t="s">
        <v>26</v>
      </c>
      <c r="D353" s="11">
        <v>339398339</v>
      </c>
      <c r="E353" s="11">
        <v>2527682821</v>
      </c>
      <c r="F353" s="1" t="s">
        <v>5</v>
      </c>
      <c r="G353" s="4">
        <f>35419+(364+182)</f>
        <v>35965</v>
      </c>
      <c r="H353" s="67" t="str">
        <f t="shared" si="15"/>
        <v>Jun</v>
      </c>
      <c r="I353" s="20">
        <f t="shared" ca="1" si="16"/>
        <v>18</v>
      </c>
      <c r="J353" s="19" t="s">
        <v>19</v>
      </c>
      <c r="K353" s="7">
        <v>34780</v>
      </c>
      <c r="L353" s="6">
        <v>4</v>
      </c>
      <c r="M353" s="31">
        <f t="shared" si="17"/>
        <v>34780</v>
      </c>
      <c r="N353" s="65"/>
      <c r="O353" s="14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25">
      <c r="A354" s="1" t="s">
        <v>426</v>
      </c>
      <c r="B354" s="12" t="s">
        <v>17</v>
      </c>
      <c r="C354" s="1" t="s">
        <v>28</v>
      </c>
      <c r="D354" s="11">
        <v>839899522</v>
      </c>
      <c r="E354" s="11">
        <v>9195512521</v>
      </c>
      <c r="F354" s="1" t="s">
        <v>5</v>
      </c>
      <c r="G354" s="4">
        <f>35423+(364+182)</f>
        <v>35969</v>
      </c>
      <c r="H354" s="67" t="str">
        <f t="shared" si="15"/>
        <v>Jun</v>
      </c>
      <c r="I354" s="9">
        <f t="shared" ca="1" si="16"/>
        <v>18</v>
      </c>
      <c r="J354" s="8" t="s">
        <v>32</v>
      </c>
      <c r="K354" s="7">
        <v>74530</v>
      </c>
      <c r="L354" s="6">
        <v>5</v>
      </c>
      <c r="M354" s="31">
        <f t="shared" si="17"/>
        <v>74530</v>
      </c>
      <c r="N354" s="65"/>
      <c r="O354" s="14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25">
      <c r="A355" s="1" t="s">
        <v>425</v>
      </c>
      <c r="B355" s="12" t="s">
        <v>13</v>
      </c>
      <c r="C355" s="1" t="s">
        <v>20</v>
      </c>
      <c r="D355" s="11">
        <v>725801036</v>
      </c>
      <c r="E355" s="11">
        <v>9195089157</v>
      </c>
      <c r="F355" s="1" t="s">
        <v>12</v>
      </c>
      <c r="G355" s="4">
        <f>35426+(364+182)</f>
        <v>35972</v>
      </c>
      <c r="H355" s="67" t="str">
        <f t="shared" si="15"/>
        <v>Jun</v>
      </c>
      <c r="I355" s="9">
        <f t="shared" ca="1" si="16"/>
        <v>18</v>
      </c>
      <c r="J355" s="8"/>
      <c r="K355" s="7">
        <v>71710</v>
      </c>
      <c r="L355" s="6">
        <v>5</v>
      </c>
      <c r="M355" s="31">
        <f t="shared" si="17"/>
        <v>71710</v>
      </c>
      <c r="N355" s="65"/>
      <c r="O355" s="14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25">
      <c r="A356" s="1" t="s">
        <v>424</v>
      </c>
      <c r="B356" s="12" t="s">
        <v>13</v>
      </c>
      <c r="C356" s="1" t="s">
        <v>52</v>
      </c>
      <c r="D356" s="11">
        <v>708082156</v>
      </c>
      <c r="E356" s="11">
        <v>9194919822</v>
      </c>
      <c r="F356" s="1" t="s">
        <v>5</v>
      </c>
      <c r="G356" s="4">
        <f>35766+(364+182)</f>
        <v>36312</v>
      </c>
      <c r="H356" s="67" t="str">
        <f t="shared" si="15"/>
        <v>Jun</v>
      </c>
      <c r="I356" s="9">
        <f t="shared" ca="1" si="16"/>
        <v>17</v>
      </c>
      <c r="J356" s="8" t="s">
        <v>32</v>
      </c>
      <c r="K356" s="7">
        <v>69200</v>
      </c>
      <c r="L356" s="6">
        <v>4</v>
      </c>
      <c r="M356" s="31">
        <f t="shared" si="17"/>
        <v>69200</v>
      </c>
      <c r="N356" s="65"/>
      <c r="O356" s="14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25">
      <c r="A357" s="1" t="s">
        <v>423</v>
      </c>
      <c r="B357" s="12" t="s">
        <v>13</v>
      </c>
      <c r="C357" s="1" t="s">
        <v>20</v>
      </c>
      <c r="D357" s="11">
        <v>475517002</v>
      </c>
      <c r="E357" s="11">
        <v>2523909820</v>
      </c>
      <c r="F357" s="1" t="s">
        <v>5</v>
      </c>
      <c r="G357" s="4">
        <f>35772+(364+182)</f>
        <v>36318</v>
      </c>
      <c r="H357" s="67" t="str">
        <f t="shared" si="15"/>
        <v>Jun</v>
      </c>
      <c r="I357" s="9">
        <f t="shared" ca="1" si="16"/>
        <v>17</v>
      </c>
      <c r="J357" s="8" t="s">
        <v>4</v>
      </c>
      <c r="K357" s="7">
        <v>68750</v>
      </c>
      <c r="L357" s="6">
        <v>1</v>
      </c>
      <c r="M357" s="31">
        <f t="shared" si="17"/>
        <v>68750</v>
      </c>
      <c r="N357" s="65"/>
      <c r="O357" s="14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25">
      <c r="A358" s="1" t="s">
        <v>422</v>
      </c>
      <c r="B358" s="12" t="s">
        <v>17</v>
      </c>
      <c r="C358" s="1" t="s">
        <v>28</v>
      </c>
      <c r="D358" s="11">
        <v>948252103</v>
      </c>
      <c r="E358" s="11">
        <v>9197430732</v>
      </c>
      <c r="F358" s="1" t="s">
        <v>0</v>
      </c>
      <c r="G358" s="4">
        <f>35783+(364+182)</f>
        <v>36329</v>
      </c>
      <c r="H358" s="67" t="str">
        <f t="shared" si="15"/>
        <v>Jun</v>
      </c>
      <c r="I358" s="9">
        <f t="shared" ca="1" si="16"/>
        <v>17</v>
      </c>
      <c r="J358" s="8"/>
      <c r="K358" s="7">
        <v>39764</v>
      </c>
      <c r="L358" s="6">
        <v>1</v>
      </c>
      <c r="M358" s="31">
        <f t="shared" si="17"/>
        <v>39764</v>
      </c>
      <c r="N358" s="65"/>
      <c r="O358" s="14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25">
      <c r="A359" s="1" t="s">
        <v>421</v>
      </c>
      <c r="B359" s="12" t="s">
        <v>17</v>
      </c>
      <c r="C359" s="1" t="s">
        <v>6</v>
      </c>
      <c r="D359" s="11">
        <v>876082195</v>
      </c>
      <c r="E359" s="11">
        <v>2526049607</v>
      </c>
      <c r="F359" s="1" t="s">
        <v>5</v>
      </c>
      <c r="G359" s="4">
        <f>35784+(364+182)</f>
        <v>36330</v>
      </c>
      <c r="H359" s="67" t="str">
        <f t="shared" si="15"/>
        <v>Jun</v>
      </c>
      <c r="I359" s="9">
        <f t="shared" ca="1" si="16"/>
        <v>17</v>
      </c>
      <c r="J359" s="8" t="s">
        <v>8</v>
      </c>
      <c r="K359" s="7">
        <v>61850</v>
      </c>
      <c r="L359" s="6">
        <v>2</v>
      </c>
      <c r="M359" s="31">
        <f t="shared" si="17"/>
        <v>61850</v>
      </c>
      <c r="N359" s="65"/>
      <c r="O359" s="14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25">
      <c r="A360" s="1" t="s">
        <v>420</v>
      </c>
      <c r="B360" s="12" t="s">
        <v>13</v>
      </c>
      <c r="C360" s="1" t="s">
        <v>20</v>
      </c>
      <c r="D360" s="11">
        <v>319449613</v>
      </c>
      <c r="E360" s="11">
        <v>2523454032</v>
      </c>
      <c r="F360" s="1" t="s">
        <v>5</v>
      </c>
      <c r="G360" s="4">
        <f>35786+(364+182)</f>
        <v>36332</v>
      </c>
      <c r="H360" s="67" t="str">
        <f t="shared" si="15"/>
        <v>Jun</v>
      </c>
      <c r="I360" s="9">
        <f t="shared" ca="1" si="16"/>
        <v>17</v>
      </c>
      <c r="J360" s="8" t="s">
        <v>19</v>
      </c>
      <c r="K360" s="7">
        <v>37760</v>
      </c>
      <c r="L360" s="6">
        <v>2</v>
      </c>
      <c r="M360" s="31">
        <f t="shared" si="17"/>
        <v>37760</v>
      </c>
      <c r="N360" s="65"/>
      <c r="O360" s="14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25">
      <c r="A361" s="1" t="s">
        <v>419</v>
      </c>
      <c r="B361" s="12" t="s">
        <v>13</v>
      </c>
      <c r="C361" s="1" t="s">
        <v>22</v>
      </c>
      <c r="D361" s="11">
        <v>552528553</v>
      </c>
      <c r="E361" s="11">
        <v>9194310812</v>
      </c>
      <c r="F361" s="1" t="s">
        <v>0</v>
      </c>
      <c r="G361" s="4">
        <f>35794+(364+182)</f>
        <v>36340</v>
      </c>
      <c r="H361" s="67" t="str">
        <f t="shared" si="15"/>
        <v>Jun</v>
      </c>
      <c r="I361" s="9">
        <f t="shared" ca="1" si="16"/>
        <v>17</v>
      </c>
      <c r="J361" s="8"/>
      <c r="K361" s="7">
        <v>37016</v>
      </c>
      <c r="L361" s="6">
        <v>4</v>
      </c>
      <c r="M361" s="31">
        <f t="shared" si="17"/>
        <v>37016</v>
      </c>
      <c r="N361" s="65"/>
      <c r="O361" s="14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25">
      <c r="A362" s="1" t="s">
        <v>418</v>
      </c>
      <c r="B362" s="12" t="s">
        <v>13</v>
      </c>
      <c r="C362" s="1" t="s">
        <v>28</v>
      </c>
      <c r="D362" s="11">
        <v>489013842</v>
      </c>
      <c r="E362" s="11">
        <v>2521658481</v>
      </c>
      <c r="F362" s="1" t="s">
        <v>15</v>
      </c>
      <c r="G362" s="4">
        <f>36149+(364+182)</f>
        <v>36695</v>
      </c>
      <c r="H362" s="67" t="str">
        <f t="shared" si="15"/>
        <v>Jun</v>
      </c>
      <c r="I362" s="9">
        <f t="shared" ca="1" si="16"/>
        <v>16</v>
      </c>
      <c r="J362" s="8" t="s">
        <v>4</v>
      </c>
      <c r="K362" s="7">
        <v>29005</v>
      </c>
      <c r="L362" s="6">
        <v>1</v>
      </c>
      <c r="M362" s="31">
        <f t="shared" si="17"/>
        <v>29005</v>
      </c>
      <c r="N362" s="65"/>
      <c r="O362" s="14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25">
      <c r="A363" s="1" t="s">
        <v>417</v>
      </c>
      <c r="B363" s="12" t="s">
        <v>39</v>
      </c>
      <c r="C363" s="1" t="s">
        <v>20</v>
      </c>
      <c r="D363" s="11">
        <v>353414196</v>
      </c>
      <c r="E363" s="11">
        <v>2528159919</v>
      </c>
      <c r="F363" s="1" t="s">
        <v>5</v>
      </c>
      <c r="G363" s="4">
        <f>36152+(364+182)</f>
        <v>36698</v>
      </c>
      <c r="H363" s="67" t="str">
        <f t="shared" si="15"/>
        <v>Jun</v>
      </c>
      <c r="I363" s="9">
        <f t="shared" ca="1" si="16"/>
        <v>16</v>
      </c>
      <c r="J363" s="8" t="s">
        <v>19</v>
      </c>
      <c r="K363" s="7">
        <v>23650</v>
      </c>
      <c r="L363" s="6">
        <v>1</v>
      </c>
      <c r="M363" s="31">
        <f t="shared" si="17"/>
        <v>23650</v>
      </c>
      <c r="N363" s="65"/>
      <c r="O363" s="14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25">
      <c r="A364" s="1" t="s">
        <v>416</v>
      </c>
      <c r="B364" s="12" t="s">
        <v>13</v>
      </c>
      <c r="C364" s="1" t="s">
        <v>60</v>
      </c>
      <c r="D364" s="11">
        <v>157257652</v>
      </c>
      <c r="E364" s="11">
        <v>9193262077</v>
      </c>
      <c r="F364" s="1" t="s">
        <v>12</v>
      </c>
      <c r="G364" s="4">
        <f>36157+(364+182)</f>
        <v>36703</v>
      </c>
      <c r="H364" s="67" t="str">
        <f t="shared" si="15"/>
        <v>Jun</v>
      </c>
      <c r="I364" s="9">
        <f t="shared" ca="1" si="16"/>
        <v>16</v>
      </c>
      <c r="J364" s="8"/>
      <c r="K364" s="7">
        <v>50200</v>
      </c>
      <c r="L364" s="6">
        <v>4</v>
      </c>
      <c r="M364" s="31">
        <f t="shared" si="17"/>
        <v>50200</v>
      </c>
      <c r="N364" s="65"/>
      <c r="O364" s="14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25">
      <c r="A365" s="1" t="s">
        <v>415</v>
      </c>
      <c r="B365" s="12" t="s">
        <v>10</v>
      </c>
      <c r="C365" s="1" t="s">
        <v>20</v>
      </c>
      <c r="D365" s="11">
        <v>826450563</v>
      </c>
      <c r="E365" s="11">
        <v>9196607355</v>
      </c>
      <c r="F365" s="1" t="s">
        <v>12</v>
      </c>
      <c r="G365" s="4">
        <f>36158+(364+182)</f>
        <v>36704</v>
      </c>
      <c r="H365" s="67" t="str">
        <f t="shared" si="15"/>
        <v>Jun</v>
      </c>
      <c r="I365" s="9">
        <f t="shared" ca="1" si="16"/>
        <v>16</v>
      </c>
      <c r="J365" s="8"/>
      <c r="K365" s="7">
        <v>57760</v>
      </c>
      <c r="L365" s="6">
        <v>3</v>
      </c>
      <c r="M365" s="31">
        <f t="shared" si="17"/>
        <v>57760</v>
      </c>
      <c r="N365" s="65"/>
      <c r="O365" s="14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25">
      <c r="A366" s="1" t="s">
        <v>414</v>
      </c>
      <c r="B366" s="12" t="s">
        <v>13</v>
      </c>
      <c r="C366" s="1" t="s">
        <v>20</v>
      </c>
      <c r="D366" s="11">
        <v>589649495</v>
      </c>
      <c r="E366" s="11">
        <v>2524248455</v>
      </c>
      <c r="F366" s="1" t="s">
        <v>5</v>
      </c>
      <c r="G366" s="4">
        <f>36161+(364+182)</f>
        <v>36707</v>
      </c>
      <c r="H366" s="67" t="str">
        <f t="shared" si="15"/>
        <v>Jun</v>
      </c>
      <c r="I366" s="9">
        <f t="shared" ca="1" si="16"/>
        <v>16</v>
      </c>
      <c r="J366" s="8" t="s">
        <v>8</v>
      </c>
      <c r="K366" s="7">
        <v>38870</v>
      </c>
      <c r="L366" s="6">
        <v>2</v>
      </c>
      <c r="M366" s="31">
        <f t="shared" si="17"/>
        <v>38870</v>
      </c>
      <c r="N366" s="65"/>
      <c r="O366" s="14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25">
      <c r="A367" s="1" t="s">
        <v>413</v>
      </c>
      <c r="B367" s="12" t="s">
        <v>10</v>
      </c>
      <c r="C367" s="1" t="s">
        <v>50</v>
      </c>
      <c r="D367" s="11">
        <v>477110649</v>
      </c>
      <c r="E367" s="11">
        <v>9191351512</v>
      </c>
      <c r="F367" s="1" t="s">
        <v>5</v>
      </c>
      <c r="G367" s="4">
        <f>36497+(364+182)</f>
        <v>37043</v>
      </c>
      <c r="H367" s="67" t="str">
        <f t="shared" si="15"/>
        <v>Jun</v>
      </c>
      <c r="I367" s="9">
        <f t="shared" ca="1" si="16"/>
        <v>15</v>
      </c>
      <c r="J367" s="8" t="s">
        <v>34</v>
      </c>
      <c r="K367" s="7">
        <v>45150</v>
      </c>
      <c r="L367" s="6">
        <v>1</v>
      </c>
      <c r="M367" s="31">
        <f t="shared" si="17"/>
        <v>45150</v>
      </c>
      <c r="N367" s="65"/>
      <c r="O367" s="14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25">
      <c r="A368" s="1" t="s">
        <v>412</v>
      </c>
      <c r="B368" s="12" t="s">
        <v>2</v>
      </c>
      <c r="C368" s="1" t="s">
        <v>6</v>
      </c>
      <c r="D368" s="11">
        <v>592709648</v>
      </c>
      <c r="E368" s="11">
        <v>9191797370</v>
      </c>
      <c r="F368" s="1" t="s">
        <v>12</v>
      </c>
      <c r="G368" s="4">
        <f>36519+(364+182)</f>
        <v>37065</v>
      </c>
      <c r="H368" s="67" t="str">
        <f t="shared" si="15"/>
        <v>Jun</v>
      </c>
      <c r="I368" s="9">
        <f t="shared" ca="1" si="16"/>
        <v>15</v>
      </c>
      <c r="J368" s="8"/>
      <c r="K368" s="7">
        <v>77136</v>
      </c>
      <c r="L368" s="6">
        <v>5</v>
      </c>
      <c r="M368" s="31">
        <f t="shared" si="17"/>
        <v>77136</v>
      </c>
      <c r="N368" s="65"/>
      <c r="O368" s="14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25">
      <c r="A369" s="1" t="s">
        <v>411</v>
      </c>
      <c r="B369" s="12" t="s">
        <v>13</v>
      </c>
      <c r="C369" s="1" t="s">
        <v>20</v>
      </c>
      <c r="D369" s="11">
        <v>894030119</v>
      </c>
      <c r="E369" s="11">
        <v>2528652588</v>
      </c>
      <c r="F369" s="1" t="s">
        <v>5</v>
      </c>
      <c r="G369" s="4">
        <f>36522+(364+182)</f>
        <v>37068</v>
      </c>
      <c r="H369" s="67" t="str">
        <f t="shared" si="15"/>
        <v>Jun</v>
      </c>
      <c r="I369" s="9">
        <f t="shared" ca="1" si="16"/>
        <v>15</v>
      </c>
      <c r="J369" s="8" t="s">
        <v>34</v>
      </c>
      <c r="K369" s="7">
        <v>66010</v>
      </c>
      <c r="L369" s="6">
        <v>5</v>
      </c>
      <c r="M369" s="31">
        <f t="shared" si="17"/>
        <v>66010</v>
      </c>
      <c r="N369" s="65"/>
      <c r="O369" s="14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25">
      <c r="A370" s="1" t="s">
        <v>410</v>
      </c>
      <c r="B370" s="12" t="s">
        <v>17</v>
      </c>
      <c r="C370" s="1" t="s">
        <v>20</v>
      </c>
      <c r="D370" s="11">
        <v>512405919</v>
      </c>
      <c r="E370" s="11">
        <v>9195858234</v>
      </c>
      <c r="F370" s="1" t="s">
        <v>5</v>
      </c>
      <c r="G370" s="4">
        <f>36890+(364+182)</f>
        <v>37436</v>
      </c>
      <c r="H370" s="67" t="str">
        <f t="shared" si="15"/>
        <v>Jun</v>
      </c>
      <c r="I370" s="9">
        <f t="shared" ca="1" si="16"/>
        <v>14</v>
      </c>
      <c r="J370" s="8" t="s">
        <v>19</v>
      </c>
      <c r="K370" s="7">
        <v>64130</v>
      </c>
      <c r="L370" s="6">
        <v>1</v>
      </c>
      <c r="M370" s="31">
        <f t="shared" si="17"/>
        <v>64130</v>
      </c>
      <c r="N370" s="65"/>
      <c r="O370" s="14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25">
      <c r="A371" s="1" t="s">
        <v>409</v>
      </c>
      <c r="B371" s="12" t="s">
        <v>39</v>
      </c>
      <c r="C371" s="1" t="s">
        <v>52</v>
      </c>
      <c r="D371" s="11">
        <v>357568979</v>
      </c>
      <c r="E371" s="11">
        <v>2524316324</v>
      </c>
      <c r="F371" s="1" t="s">
        <v>15</v>
      </c>
      <c r="G371" s="4">
        <f>37229+(364+182)</f>
        <v>37775</v>
      </c>
      <c r="H371" s="67" t="str">
        <f t="shared" si="15"/>
        <v>Jun</v>
      </c>
      <c r="I371" s="9">
        <f t="shared" ca="1" si="16"/>
        <v>13</v>
      </c>
      <c r="J371" s="8" t="s">
        <v>34</v>
      </c>
      <c r="K371" s="7">
        <v>28525</v>
      </c>
      <c r="L371" s="6">
        <v>4</v>
      </c>
      <c r="M371" s="31">
        <f t="shared" si="17"/>
        <v>28525</v>
      </c>
      <c r="N371" s="65"/>
      <c r="O371" s="14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25">
      <c r="A372" s="1" t="s">
        <v>408</v>
      </c>
      <c r="B372" s="12" t="s">
        <v>17</v>
      </c>
      <c r="C372" s="1" t="s">
        <v>37</v>
      </c>
      <c r="D372" s="11">
        <v>781913936</v>
      </c>
      <c r="E372" s="11">
        <v>9197889149</v>
      </c>
      <c r="F372" s="1" t="s">
        <v>15</v>
      </c>
      <c r="G372" s="4">
        <f>37236+(364+182)</f>
        <v>37782</v>
      </c>
      <c r="H372" s="67" t="str">
        <f t="shared" si="15"/>
        <v>Jun</v>
      </c>
      <c r="I372" s="9">
        <f t="shared" ca="1" si="16"/>
        <v>13</v>
      </c>
      <c r="J372" s="8" t="s">
        <v>8</v>
      </c>
      <c r="K372" s="7">
        <v>17735</v>
      </c>
      <c r="L372" s="6">
        <v>3</v>
      </c>
      <c r="M372" s="31">
        <f t="shared" si="17"/>
        <v>17735</v>
      </c>
      <c r="N372" s="65"/>
      <c r="O372" s="14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25">
      <c r="A373" s="1" t="s">
        <v>407</v>
      </c>
      <c r="B373" s="12" t="s">
        <v>13</v>
      </c>
      <c r="C373" s="1" t="s">
        <v>26</v>
      </c>
      <c r="D373" s="11">
        <v>252276921</v>
      </c>
      <c r="E373" s="11">
        <v>2525777345</v>
      </c>
      <c r="F373" s="1" t="s">
        <v>5</v>
      </c>
      <c r="G373" s="4">
        <f>37239+(364+182)</f>
        <v>37785</v>
      </c>
      <c r="H373" s="67" t="str">
        <f t="shared" si="15"/>
        <v>Jun</v>
      </c>
      <c r="I373" s="9">
        <f t="shared" ca="1" si="16"/>
        <v>13</v>
      </c>
      <c r="J373" s="8" t="s">
        <v>4</v>
      </c>
      <c r="K373" s="7">
        <v>87280</v>
      </c>
      <c r="L373" s="6">
        <v>4</v>
      </c>
      <c r="M373" s="31">
        <f t="shared" si="17"/>
        <v>87280</v>
      </c>
      <c r="N373" s="65"/>
      <c r="O373" s="14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25">
      <c r="A374" s="1" t="s">
        <v>406</v>
      </c>
      <c r="B374" s="12" t="s">
        <v>10</v>
      </c>
      <c r="C374" s="1" t="s">
        <v>52</v>
      </c>
      <c r="D374" s="11">
        <v>531654742</v>
      </c>
      <c r="E374" s="11">
        <v>9195770085</v>
      </c>
      <c r="F374" s="1" t="s">
        <v>5</v>
      </c>
      <c r="G374" s="4">
        <f>37247+(364+182)</f>
        <v>37793</v>
      </c>
      <c r="H374" s="67" t="str">
        <f t="shared" si="15"/>
        <v>Jun</v>
      </c>
      <c r="I374" s="9">
        <f t="shared" ca="1" si="16"/>
        <v>13</v>
      </c>
      <c r="J374" s="8" t="s">
        <v>32</v>
      </c>
      <c r="K374" s="7">
        <v>29210</v>
      </c>
      <c r="L374" s="6">
        <v>5</v>
      </c>
      <c r="M374" s="31">
        <f t="shared" si="17"/>
        <v>29210</v>
      </c>
      <c r="N374" s="65"/>
      <c r="O374" s="14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25">
      <c r="A375" s="14" t="s">
        <v>405</v>
      </c>
      <c r="B375" s="12" t="s">
        <v>17</v>
      </c>
      <c r="C375" s="14" t="s">
        <v>37</v>
      </c>
      <c r="D375" s="15">
        <v>638271383</v>
      </c>
      <c r="E375" s="15">
        <v>2521641031</v>
      </c>
      <c r="F375" s="14" t="s">
        <v>5</v>
      </c>
      <c r="G375" s="10">
        <f>37596+(364+182)</f>
        <v>38142</v>
      </c>
      <c r="H375" s="67" t="str">
        <f t="shared" si="15"/>
        <v>Jun</v>
      </c>
      <c r="I375" s="9">
        <f t="shared" ca="1" si="16"/>
        <v>12</v>
      </c>
      <c r="J375" s="8" t="s">
        <v>32</v>
      </c>
      <c r="K375" s="7">
        <v>49350</v>
      </c>
      <c r="L375" s="6">
        <v>4</v>
      </c>
      <c r="M375" s="31">
        <f t="shared" si="17"/>
        <v>49350</v>
      </c>
      <c r="N375" s="65"/>
      <c r="O375" s="68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25">
      <c r="A376" s="1" t="s">
        <v>404</v>
      </c>
      <c r="B376" s="12" t="s">
        <v>13</v>
      </c>
      <c r="C376" s="1" t="s">
        <v>28</v>
      </c>
      <c r="D376" s="11">
        <v>842774592</v>
      </c>
      <c r="E376" s="11">
        <v>2527345539</v>
      </c>
      <c r="F376" s="1" t="s">
        <v>0</v>
      </c>
      <c r="G376" s="4">
        <f>37598+(364+182)</f>
        <v>38144</v>
      </c>
      <c r="H376" s="67" t="str">
        <f t="shared" si="15"/>
        <v>Jun</v>
      </c>
      <c r="I376" s="9">
        <f t="shared" ca="1" si="16"/>
        <v>12</v>
      </c>
      <c r="J376" s="8"/>
      <c r="K376" s="7">
        <v>33512</v>
      </c>
      <c r="L376" s="6">
        <v>4</v>
      </c>
      <c r="M376" s="31">
        <f t="shared" si="17"/>
        <v>33512</v>
      </c>
      <c r="N376" s="65"/>
      <c r="O376" s="14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25">
      <c r="A377" s="1" t="s">
        <v>403</v>
      </c>
      <c r="B377" s="12" t="s">
        <v>39</v>
      </c>
      <c r="C377" s="1" t="s">
        <v>20</v>
      </c>
      <c r="D377" s="11">
        <v>684054281</v>
      </c>
      <c r="E377" s="11">
        <v>2522888726</v>
      </c>
      <c r="F377" s="1" t="s">
        <v>5</v>
      </c>
      <c r="G377" s="4">
        <f>37600+(364+182)</f>
        <v>38146</v>
      </c>
      <c r="H377" s="67" t="str">
        <f t="shared" si="15"/>
        <v>Jun</v>
      </c>
      <c r="I377" s="9">
        <f t="shared" ca="1" si="16"/>
        <v>12</v>
      </c>
      <c r="J377" s="8" t="s">
        <v>32</v>
      </c>
      <c r="K377" s="7">
        <v>47340</v>
      </c>
      <c r="L377" s="6">
        <v>2</v>
      </c>
      <c r="M377" s="31">
        <f t="shared" si="17"/>
        <v>47340</v>
      </c>
      <c r="N377" s="65"/>
      <c r="O377" s="14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25">
      <c r="A378" s="1" t="s">
        <v>402</v>
      </c>
      <c r="B378" s="12" t="s">
        <v>13</v>
      </c>
      <c r="C378" s="1" t="s">
        <v>20</v>
      </c>
      <c r="D378" s="11">
        <v>412611335</v>
      </c>
      <c r="E378" s="11">
        <v>2525998691</v>
      </c>
      <c r="F378" s="1" t="s">
        <v>12</v>
      </c>
      <c r="G378" s="4">
        <f>37961+(364+182)</f>
        <v>38507</v>
      </c>
      <c r="H378" s="67" t="str">
        <f t="shared" si="15"/>
        <v>Jun</v>
      </c>
      <c r="I378" s="9">
        <f t="shared" ca="1" si="16"/>
        <v>11</v>
      </c>
      <c r="J378" s="8"/>
      <c r="K378" s="7">
        <v>40940</v>
      </c>
      <c r="L378" s="6">
        <v>2</v>
      </c>
      <c r="M378" s="31">
        <f t="shared" si="17"/>
        <v>40940</v>
      </c>
      <c r="N378" s="65"/>
      <c r="O378" s="14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25">
      <c r="A379" s="1" t="s">
        <v>401</v>
      </c>
      <c r="B379" s="12" t="s">
        <v>13</v>
      </c>
      <c r="C379" s="1" t="s">
        <v>247</v>
      </c>
      <c r="D379" s="11">
        <v>699053064</v>
      </c>
      <c r="E379" s="11">
        <v>9191299076</v>
      </c>
      <c r="F379" s="1" t="s">
        <v>12</v>
      </c>
      <c r="G379" s="4">
        <f>37981+(364+182)</f>
        <v>38527</v>
      </c>
      <c r="H379" s="67" t="str">
        <f t="shared" si="15"/>
        <v>Jun</v>
      </c>
      <c r="I379" s="9">
        <f t="shared" ca="1" si="16"/>
        <v>11</v>
      </c>
      <c r="J379" s="8"/>
      <c r="K379" s="7">
        <v>60060</v>
      </c>
      <c r="L379" s="6">
        <v>2</v>
      </c>
      <c r="M379" s="31">
        <f t="shared" si="17"/>
        <v>60060</v>
      </c>
      <c r="N379" s="65"/>
      <c r="O379" s="14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25">
      <c r="A380" s="1" t="s">
        <v>400</v>
      </c>
      <c r="B380" s="12" t="s">
        <v>10</v>
      </c>
      <c r="C380" s="1" t="s">
        <v>20</v>
      </c>
      <c r="D380" s="11">
        <v>725737456</v>
      </c>
      <c r="E380" s="11">
        <v>9191847141</v>
      </c>
      <c r="F380" s="1" t="s">
        <v>12</v>
      </c>
      <c r="G380" s="4">
        <f>38328+(364+182)</f>
        <v>38874</v>
      </c>
      <c r="H380" s="67" t="str">
        <f t="shared" si="15"/>
        <v>Jun</v>
      </c>
      <c r="I380" s="9">
        <f t="shared" ca="1" si="16"/>
        <v>10</v>
      </c>
      <c r="J380" s="8"/>
      <c r="K380" s="7">
        <v>59330</v>
      </c>
      <c r="L380" s="6">
        <v>4</v>
      </c>
      <c r="M380" s="31">
        <f t="shared" si="17"/>
        <v>59330</v>
      </c>
      <c r="N380" s="65"/>
      <c r="O380" s="14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25">
      <c r="A381" s="1" t="s">
        <v>399</v>
      </c>
      <c r="B381" s="12" t="s">
        <v>39</v>
      </c>
      <c r="C381" s="1" t="s">
        <v>6</v>
      </c>
      <c r="D381" s="11">
        <v>210491464</v>
      </c>
      <c r="E381" s="11">
        <v>9198405552</v>
      </c>
      <c r="F381" s="1" t="s">
        <v>5</v>
      </c>
      <c r="G381" s="4">
        <f>39056+(364+182)</f>
        <v>39602</v>
      </c>
      <c r="H381" s="67" t="str">
        <f t="shared" si="15"/>
        <v>Jun</v>
      </c>
      <c r="I381" s="9">
        <f t="shared" ca="1" si="16"/>
        <v>8</v>
      </c>
      <c r="J381" s="8" t="s">
        <v>32</v>
      </c>
      <c r="K381" s="7">
        <v>79380</v>
      </c>
      <c r="L381" s="6">
        <v>5</v>
      </c>
      <c r="M381" s="31">
        <f t="shared" si="17"/>
        <v>79380</v>
      </c>
      <c r="N381" s="65"/>
      <c r="O381" s="14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25">
      <c r="A382" s="1" t="s">
        <v>398</v>
      </c>
      <c r="B382" s="12" t="s">
        <v>10</v>
      </c>
      <c r="C382" s="1" t="s">
        <v>20</v>
      </c>
      <c r="D382" s="11">
        <v>180095803</v>
      </c>
      <c r="E382" s="11">
        <v>2526503334</v>
      </c>
      <c r="F382" s="1" t="s">
        <v>5</v>
      </c>
      <c r="G382" s="4">
        <f>39426+(364+182)</f>
        <v>39972</v>
      </c>
      <c r="H382" s="67" t="str">
        <f t="shared" si="15"/>
        <v>Jun</v>
      </c>
      <c r="I382" s="9">
        <f t="shared" ca="1" si="16"/>
        <v>7</v>
      </c>
      <c r="J382" s="8" t="s">
        <v>32</v>
      </c>
      <c r="K382" s="7">
        <v>78170</v>
      </c>
      <c r="L382" s="6">
        <v>5</v>
      </c>
      <c r="M382" s="31">
        <f t="shared" si="17"/>
        <v>78170</v>
      </c>
      <c r="N382" s="65"/>
      <c r="O382" s="14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25">
      <c r="A383" s="1" t="s">
        <v>397</v>
      </c>
      <c r="B383" s="12" t="s">
        <v>56</v>
      </c>
      <c r="C383" s="1" t="s">
        <v>9</v>
      </c>
      <c r="D383" s="11">
        <v>755945415</v>
      </c>
      <c r="E383" s="11">
        <v>2524373324</v>
      </c>
      <c r="F383" s="1" t="s">
        <v>12</v>
      </c>
      <c r="G383" s="4">
        <f>39787+(364+182)</f>
        <v>40333</v>
      </c>
      <c r="H383" s="67" t="str">
        <f t="shared" si="15"/>
        <v>Jun</v>
      </c>
      <c r="I383" s="9">
        <f t="shared" ca="1" si="16"/>
        <v>6</v>
      </c>
      <c r="J383" s="8"/>
      <c r="K383" s="7">
        <v>74020</v>
      </c>
      <c r="L383" s="6">
        <v>2</v>
      </c>
      <c r="M383" s="31">
        <f t="shared" si="17"/>
        <v>74020</v>
      </c>
      <c r="N383" s="65"/>
      <c r="O383" s="14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25">
      <c r="A384" s="1" t="s">
        <v>396</v>
      </c>
      <c r="B384" s="12" t="s">
        <v>2</v>
      </c>
      <c r="C384" s="1" t="s">
        <v>6</v>
      </c>
      <c r="D384" s="11">
        <v>147683641</v>
      </c>
      <c r="E384" s="11">
        <v>9191657646</v>
      </c>
      <c r="F384" s="1" t="s">
        <v>12</v>
      </c>
      <c r="G384" s="18">
        <f>39788+(364+182)</f>
        <v>40334</v>
      </c>
      <c r="H384" s="67" t="str">
        <f t="shared" si="15"/>
        <v>Jun</v>
      </c>
      <c r="I384" s="9">
        <f t="shared" ca="1" si="16"/>
        <v>6</v>
      </c>
      <c r="J384" s="8"/>
      <c r="K384" s="7">
        <v>47280</v>
      </c>
      <c r="L384" s="6">
        <v>1</v>
      </c>
      <c r="M384" s="31">
        <f t="shared" si="17"/>
        <v>47280</v>
      </c>
      <c r="N384" s="65"/>
      <c r="O384" s="14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25">
      <c r="A385" s="1" t="s">
        <v>395</v>
      </c>
      <c r="B385" s="12" t="s">
        <v>17</v>
      </c>
      <c r="C385" s="1" t="s">
        <v>52</v>
      </c>
      <c r="D385" s="11">
        <v>750581894</v>
      </c>
      <c r="E385" s="11">
        <v>2528433766</v>
      </c>
      <c r="F385" s="1" t="s">
        <v>12</v>
      </c>
      <c r="G385" s="4">
        <f>39804+(364+182)</f>
        <v>40350</v>
      </c>
      <c r="H385" s="67" t="str">
        <f t="shared" si="15"/>
        <v>Jun</v>
      </c>
      <c r="I385" s="9">
        <f t="shared" ca="1" si="16"/>
        <v>6</v>
      </c>
      <c r="J385" s="8"/>
      <c r="K385" s="7">
        <v>21580</v>
      </c>
      <c r="L385" s="6">
        <v>3</v>
      </c>
      <c r="M385" s="31">
        <f t="shared" si="17"/>
        <v>21580</v>
      </c>
      <c r="N385" s="65"/>
      <c r="O385" s="14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25">
      <c r="A386" s="1" t="s">
        <v>394</v>
      </c>
      <c r="B386" s="12" t="s">
        <v>17</v>
      </c>
      <c r="C386" s="1" t="s">
        <v>60</v>
      </c>
      <c r="D386" s="11">
        <v>247406371</v>
      </c>
      <c r="E386" s="11">
        <v>9195299873</v>
      </c>
      <c r="F386" s="1" t="s">
        <v>15</v>
      </c>
      <c r="G386" s="4">
        <f>39805+(364+182)</f>
        <v>40351</v>
      </c>
      <c r="H386" s="67" t="str">
        <f t="shared" si="15"/>
        <v>Jun</v>
      </c>
      <c r="I386" s="9">
        <f t="shared" ca="1" si="16"/>
        <v>6</v>
      </c>
      <c r="J386" s="8" t="s">
        <v>4</v>
      </c>
      <c r="K386" s="7">
        <v>20040</v>
      </c>
      <c r="L386" s="6">
        <v>3</v>
      </c>
      <c r="M386" s="31">
        <f t="shared" si="17"/>
        <v>20040</v>
      </c>
      <c r="N386" s="65"/>
      <c r="O386" s="14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25">
      <c r="A387" s="1" t="s">
        <v>393</v>
      </c>
      <c r="B387" s="12" t="s">
        <v>17</v>
      </c>
      <c r="C387" s="1" t="s">
        <v>343</v>
      </c>
      <c r="D387" s="11">
        <v>106099892</v>
      </c>
      <c r="E387" s="11">
        <v>9194436681</v>
      </c>
      <c r="F387" s="1" t="s">
        <v>12</v>
      </c>
      <c r="G387" s="4">
        <f>40173+(364+182)</f>
        <v>40719</v>
      </c>
      <c r="H387" s="67" t="str">
        <f t="shared" ref="H387:H450" si="18">CHOOSE(MONTH(G387),"Jan","Feb","Mar","Apr","May","Jun","Jul","Aug","Sep","Oct","Nov","Dec")</f>
        <v>Jun</v>
      </c>
      <c r="I387" s="9">
        <f t="shared" ref="I387:I450" ca="1" si="19">DATEDIF(G387,TODAY(),"Y")</f>
        <v>5</v>
      </c>
      <c r="J387" s="8"/>
      <c r="K387" s="7">
        <v>66132</v>
      </c>
      <c r="L387" s="6">
        <v>4</v>
      </c>
      <c r="M387" s="31">
        <f t="shared" ref="M387:M450" si="20">ROUND(K387*P385+K387,0)</f>
        <v>66132</v>
      </c>
      <c r="N387" s="65"/>
      <c r="O387" s="14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25">
      <c r="A388" s="1" t="s">
        <v>392</v>
      </c>
      <c r="B388" s="12" t="s">
        <v>13</v>
      </c>
      <c r="C388" s="1" t="s">
        <v>16</v>
      </c>
      <c r="D388" s="11">
        <v>405297884</v>
      </c>
      <c r="E388" s="11">
        <v>2524747044</v>
      </c>
      <c r="F388" s="1" t="s">
        <v>5</v>
      </c>
      <c r="G388" s="4">
        <f>32525+(364+182)</f>
        <v>33071</v>
      </c>
      <c r="H388" s="67" t="str">
        <f t="shared" si="18"/>
        <v>Jul</v>
      </c>
      <c r="I388" s="9">
        <f t="shared" ca="1" si="19"/>
        <v>26</v>
      </c>
      <c r="J388" s="8" t="s">
        <v>4</v>
      </c>
      <c r="K388" s="7">
        <v>69060</v>
      </c>
      <c r="L388" s="6">
        <v>1</v>
      </c>
      <c r="M388" s="31">
        <f t="shared" si="20"/>
        <v>69060</v>
      </c>
      <c r="N388" s="65"/>
      <c r="O388" s="14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25">
      <c r="A389" s="1" t="s">
        <v>391</v>
      </c>
      <c r="B389" s="12" t="s">
        <v>10</v>
      </c>
      <c r="C389" s="1" t="s">
        <v>72</v>
      </c>
      <c r="D389" s="11">
        <v>171868795</v>
      </c>
      <c r="E389" s="11">
        <v>9194323329</v>
      </c>
      <c r="F389" s="1" t="s">
        <v>5</v>
      </c>
      <c r="G389" s="4">
        <f>32533+(364+182)</f>
        <v>33079</v>
      </c>
      <c r="H389" s="67" t="str">
        <f t="shared" si="18"/>
        <v>Jul</v>
      </c>
      <c r="I389" s="9">
        <f t="shared" ca="1" si="19"/>
        <v>26</v>
      </c>
      <c r="J389" s="8" t="s">
        <v>8</v>
      </c>
      <c r="K389" s="7">
        <v>32360</v>
      </c>
      <c r="L389" s="6">
        <v>4</v>
      </c>
      <c r="M389" s="31">
        <f t="shared" si="20"/>
        <v>32360</v>
      </c>
      <c r="N389" s="65"/>
      <c r="O389" s="14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25">
      <c r="A390" s="1" t="s">
        <v>390</v>
      </c>
      <c r="B390" s="12" t="s">
        <v>17</v>
      </c>
      <c r="C390" s="1" t="s">
        <v>52</v>
      </c>
      <c r="D390" s="11">
        <v>304024314</v>
      </c>
      <c r="E390" s="11">
        <v>9192244880</v>
      </c>
      <c r="F390" s="1" t="s">
        <v>12</v>
      </c>
      <c r="G390" s="4">
        <f>32875+(364+182)</f>
        <v>33421</v>
      </c>
      <c r="H390" s="67" t="str">
        <f t="shared" si="18"/>
        <v>Jul</v>
      </c>
      <c r="I390" s="9">
        <f t="shared" ca="1" si="19"/>
        <v>25</v>
      </c>
      <c r="J390" s="8"/>
      <c r="K390" s="7">
        <v>46650</v>
      </c>
      <c r="L390" s="6">
        <v>2</v>
      </c>
      <c r="M390" s="31">
        <f t="shared" si="20"/>
        <v>46650</v>
      </c>
      <c r="N390" s="65"/>
      <c r="O390" s="14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25">
      <c r="A391" s="1" t="s">
        <v>389</v>
      </c>
      <c r="B391" s="12" t="s">
        <v>13</v>
      </c>
      <c r="C391" s="1" t="s">
        <v>72</v>
      </c>
      <c r="D391" s="11">
        <v>927043360</v>
      </c>
      <c r="E391" s="11">
        <v>2526053287</v>
      </c>
      <c r="F391" s="1" t="s">
        <v>12</v>
      </c>
      <c r="G391" s="4">
        <f>32878+(364+182)</f>
        <v>33424</v>
      </c>
      <c r="H391" s="67" t="str">
        <f t="shared" si="18"/>
        <v>Jul</v>
      </c>
      <c r="I391" s="9">
        <f t="shared" ca="1" si="19"/>
        <v>25</v>
      </c>
      <c r="J391" s="8"/>
      <c r="K391" s="7">
        <v>22320</v>
      </c>
      <c r="L391" s="6">
        <v>2</v>
      </c>
      <c r="M391" s="31">
        <f t="shared" si="20"/>
        <v>22320</v>
      </c>
      <c r="N391" s="65"/>
      <c r="O391" s="14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25">
      <c r="A392" s="1" t="s">
        <v>388</v>
      </c>
      <c r="B392" s="12" t="s">
        <v>17</v>
      </c>
      <c r="C392" s="1" t="s">
        <v>74</v>
      </c>
      <c r="D392" s="11">
        <v>763518183</v>
      </c>
      <c r="E392" s="11">
        <v>2522581491</v>
      </c>
      <c r="F392" s="1" t="s">
        <v>5</v>
      </c>
      <c r="G392" s="4">
        <f>32894+(364+182)</f>
        <v>33440</v>
      </c>
      <c r="H392" s="67" t="str">
        <f t="shared" si="18"/>
        <v>Jul</v>
      </c>
      <c r="I392" s="9">
        <f t="shared" ca="1" si="19"/>
        <v>25</v>
      </c>
      <c r="J392" s="8" t="s">
        <v>32</v>
      </c>
      <c r="K392" s="7">
        <v>69400</v>
      </c>
      <c r="L392" s="6">
        <v>5</v>
      </c>
      <c r="M392" s="31">
        <f t="shared" si="20"/>
        <v>69400</v>
      </c>
      <c r="N392" s="65"/>
      <c r="O392" s="14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25">
      <c r="A393" s="1" t="s">
        <v>387</v>
      </c>
      <c r="B393" s="12" t="s">
        <v>39</v>
      </c>
      <c r="C393" s="1" t="s">
        <v>44</v>
      </c>
      <c r="D393" s="11">
        <v>719937584</v>
      </c>
      <c r="E393" s="11">
        <v>9191653055</v>
      </c>
      <c r="F393" s="1" t="s">
        <v>5</v>
      </c>
      <c r="G393" s="4">
        <f>32901+(364+182)</f>
        <v>33447</v>
      </c>
      <c r="H393" s="67" t="str">
        <f t="shared" si="18"/>
        <v>Jul</v>
      </c>
      <c r="I393" s="9">
        <f t="shared" ca="1" si="19"/>
        <v>25</v>
      </c>
      <c r="J393" s="8" t="s">
        <v>4</v>
      </c>
      <c r="K393" s="7">
        <v>37620</v>
      </c>
      <c r="L393" s="6">
        <v>5</v>
      </c>
      <c r="M393" s="31">
        <f t="shared" si="20"/>
        <v>37620</v>
      </c>
      <c r="N393" s="69"/>
      <c r="O393" s="6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25">
      <c r="A394" s="1" t="s">
        <v>386</v>
      </c>
      <c r="B394" s="12" t="s">
        <v>39</v>
      </c>
      <c r="C394" s="1" t="s">
        <v>26</v>
      </c>
      <c r="D394" s="11">
        <v>721173550</v>
      </c>
      <c r="E394" s="11">
        <v>2528356334</v>
      </c>
      <c r="F394" s="1" t="s">
        <v>5</v>
      </c>
      <c r="G394" s="4">
        <f>33240+(364+182)</f>
        <v>33786</v>
      </c>
      <c r="H394" s="67" t="str">
        <f t="shared" si="18"/>
        <v>Jul</v>
      </c>
      <c r="I394" s="9">
        <f t="shared" ca="1" si="19"/>
        <v>24</v>
      </c>
      <c r="J394" s="8" t="s">
        <v>32</v>
      </c>
      <c r="K394" s="7">
        <v>71150</v>
      </c>
      <c r="L394" s="6">
        <v>2</v>
      </c>
      <c r="M394" s="31">
        <f t="shared" si="20"/>
        <v>71150</v>
      </c>
      <c r="N394" s="65"/>
      <c r="O394" s="14"/>
      <c r="P394" s="5"/>
      <c r="Q394" s="5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25">
      <c r="A395" s="1" t="s">
        <v>385</v>
      </c>
      <c r="B395" s="12" t="s">
        <v>39</v>
      </c>
      <c r="C395" s="1" t="s">
        <v>6</v>
      </c>
      <c r="D395" s="11">
        <v>741258203</v>
      </c>
      <c r="E395" s="11">
        <v>9195157707</v>
      </c>
      <c r="F395" s="1" t="s">
        <v>12</v>
      </c>
      <c r="G395" s="4">
        <f>33243+(364+182)</f>
        <v>33789</v>
      </c>
      <c r="H395" s="67" t="str">
        <f t="shared" si="18"/>
        <v>Jul</v>
      </c>
      <c r="I395" s="9">
        <f t="shared" ca="1" si="19"/>
        <v>24</v>
      </c>
      <c r="J395" s="8"/>
      <c r="K395" s="7">
        <v>59128</v>
      </c>
      <c r="L395" s="6">
        <v>4</v>
      </c>
      <c r="M395" s="31">
        <f t="shared" si="20"/>
        <v>59128</v>
      </c>
      <c r="N395" s="65"/>
      <c r="O395" s="14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25">
      <c r="A396" s="1" t="s">
        <v>384</v>
      </c>
      <c r="B396" s="12" t="s">
        <v>17</v>
      </c>
      <c r="C396" s="1" t="s">
        <v>6</v>
      </c>
      <c r="D396" s="11">
        <v>693214759</v>
      </c>
      <c r="E396" s="11">
        <v>9192683895</v>
      </c>
      <c r="F396" s="1" t="s">
        <v>5</v>
      </c>
      <c r="G396" s="4">
        <f>33260+(364+182)</f>
        <v>33806</v>
      </c>
      <c r="H396" s="67" t="str">
        <f t="shared" si="18"/>
        <v>Jul</v>
      </c>
      <c r="I396" s="9">
        <f t="shared" ca="1" si="19"/>
        <v>24</v>
      </c>
      <c r="J396" s="8" t="s">
        <v>34</v>
      </c>
      <c r="K396" s="7">
        <v>62780</v>
      </c>
      <c r="L396" s="6">
        <v>3</v>
      </c>
      <c r="M396" s="31">
        <f t="shared" si="20"/>
        <v>62780</v>
      </c>
      <c r="N396" s="65"/>
      <c r="O396" s="14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25">
      <c r="A397" s="1" t="s">
        <v>383</v>
      </c>
      <c r="B397" s="12" t="s">
        <v>13</v>
      </c>
      <c r="C397" s="1" t="s">
        <v>28</v>
      </c>
      <c r="D397" s="11">
        <v>210173249</v>
      </c>
      <c r="E397" s="11">
        <v>2525780571</v>
      </c>
      <c r="F397" s="1" t="s">
        <v>12</v>
      </c>
      <c r="G397" s="4">
        <f>33265+(364+182)</f>
        <v>33811</v>
      </c>
      <c r="H397" s="67" t="str">
        <f t="shared" si="18"/>
        <v>Jul</v>
      </c>
      <c r="I397" s="9">
        <f t="shared" ca="1" si="19"/>
        <v>24</v>
      </c>
      <c r="J397" s="8"/>
      <c r="K397" s="7">
        <v>32650</v>
      </c>
      <c r="L397" s="6">
        <v>1</v>
      </c>
      <c r="M397" s="31">
        <f t="shared" si="20"/>
        <v>32650</v>
      </c>
      <c r="N397" s="65"/>
      <c r="O397" s="14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25">
      <c r="A398" s="1" t="s">
        <v>382</v>
      </c>
      <c r="B398" s="12" t="s">
        <v>17</v>
      </c>
      <c r="C398" s="1" t="s">
        <v>20</v>
      </c>
      <c r="D398" s="11">
        <v>380653169</v>
      </c>
      <c r="E398" s="11">
        <v>9194743535</v>
      </c>
      <c r="F398" s="1" t="s">
        <v>5</v>
      </c>
      <c r="G398" s="4">
        <f>33605+(364+182)</f>
        <v>34151</v>
      </c>
      <c r="H398" s="67" t="str">
        <f t="shared" si="18"/>
        <v>Jul</v>
      </c>
      <c r="I398" s="9">
        <f t="shared" ca="1" si="19"/>
        <v>23</v>
      </c>
      <c r="J398" s="8" t="s">
        <v>4</v>
      </c>
      <c r="K398" s="7">
        <v>81980</v>
      </c>
      <c r="L398" s="6">
        <v>2</v>
      </c>
      <c r="M398" s="31">
        <f t="shared" si="20"/>
        <v>81980</v>
      </c>
      <c r="N398" s="65"/>
      <c r="O398" s="14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25">
      <c r="A399" s="1" t="s">
        <v>381</v>
      </c>
      <c r="B399" s="12" t="s">
        <v>17</v>
      </c>
      <c r="C399" s="1" t="s">
        <v>6</v>
      </c>
      <c r="D399" s="11">
        <v>418701946</v>
      </c>
      <c r="E399" s="11">
        <v>2524141191</v>
      </c>
      <c r="F399" s="1" t="s">
        <v>15</v>
      </c>
      <c r="G399" s="4">
        <f>33608+(364+182)</f>
        <v>34154</v>
      </c>
      <c r="H399" s="67" t="str">
        <f t="shared" si="18"/>
        <v>Jul</v>
      </c>
      <c r="I399" s="9">
        <f t="shared" ca="1" si="19"/>
        <v>23</v>
      </c>
      <c r="J399" s="8" t="s">
        <v>32</v>
      </c>
      <c r="K399" s="7">
        <v>49545</v>
      </c>
      <c r="L399" s="6">
        <v>2</v>
      </c>
      <c r="M399" s="31">
        <f t="shared" si="20"/>
        <v>49545</v>
      </c>
      <c r="N399" s="65"/>
      <c r="O399" s="14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25">
      <c r="A400" s="1" t="s">
        <v>380</v>
      </c>
      <c r="B400" s="12" t="s">
        <v>10</v>
      </c>
      <c r="C400" s="1" t="s">
        <v>6</v>
      </c>
      <c r="D400" s="11">
        <v>426812736</v>
      </c>
      <c r="E400" s="11">
        <v>9198399625</v>
      </c>
      <c r="F400" s="1" t="s">
        <v>12</v>
      </c>
      <c r="G400" s="4">
        <f>33613+(364+182)</f>
        <v>34159</v>
      </c>
      <c r="H400" s="67" t="str">
        <f t="shared" si="18"/>
        <v>Jul</v>
      </c>
      <c r="I400" s="9">
        <f t="shared" ca="1" si="19"/>
        <v>23</v>
      </c>
      <c r="J400" s="8"/>
      <c r="K400" s="7">
        <v>35240</v>
      </c>
      <c r="L400" s="6">
        <v>3</v>
      </c>
      <c r="M400" s="31">
        <f t="shared" si="20"/>
        <v>35240</v>
      </c>
      <c r="N400" s="65"/>
      <c r="O400" s="14"/>
      <c r="P400" s="5"/>
      <c r="Q400" s="5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25">
      <c r="A401" s="1" t="s">
        <v>379</v>
      </c>
      <c r="B401" s="12" t="s">
        <v>13</v>
      </c>
      <c r="C401" s="1" t="s">
        <v>52</v>
      </c>
      <c r="D401" s="11">
        <v>100703382</v>
      </c>
      <c r="E401" s="11">
        <v>9195157047</v>
      </c>
      <c r="F401" s="1" t="s">
        <v>5</v>
      </c>
      <c r="G401" s="4">
        <f>33614+(364+182)</f>
        <v>34160</v>
      </c>
      <c r="H401" s="67" t="str">
        <f t="shared" si="18"/>
        <v>Jul</v>
      </c>
      <c r="I401" s="9">
        <f t="shared" ca="1" si="19"/>
        <v>23</v>
      </c>
      <c r="J401" s="8" t="s">
        <v>32</v>
      </c>
      <c r="K401" s="7">
        <v>54200</v>
      </c>
      <c r="L401" s="6">
        <v>4</v>
      </c>
      <c r="M401" s="31">
        <f t="shared" si="20"/>
        <v>54200</v>
      </c>
      <c r="N401" s="65"/>
      <c r="O401" s="14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25">
      <c r="A402" s="1" t="s">
        <v>378</v>
      </c>
      <c r="B402" s="12" t="s">
        <v>39</v>
      </c>
      <c r="C402" s="1" t="s">
        <v>72</v>
      </c>
      <c r="D402" s="11">
        <v>932787692</v>
      </c>
      <c r="E402" s="11">
        <v>2522612740</v>
      </c>
      <c r="F402" s="1" t="s">
        <v>12</v>
      </c>
      <c r="G402" s="4">
        <f>33615+(364+182)</f>
        <v>34161</v>
      </c>
      <c r="H402" s="67" t="str">
        <f t="shared" si="18"/>
        <v>Jul</v>
      </c>
      <c r="I402" s="9">
        <f t="shared" ca="1" si="19"/>
        <v>23</v>
      </c>
      <c r="J402" s="8"/>
      <c r="K402" s="7">
        <v>64090</v>
      </c>
      <c r="L402" s="6">
        <v>2</v>
      </c>
      <c r="M402" s="31">
        <f t="shared" si="20"/>
        <v>64090</v>
      </c>
      <c r="N402" s="65"/>
      <c r="O402" s="1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25">
      <c r="A403" s="1" t="s">
        <v>377</v>
      </c>
      <c r="B403" s="12" t="s">
        <v>39</v>
      </c>
      <c r="C403" s="1" t="s">
        <v>20</v>
      </c>
      <c r="D403" s="11">
        <v>427260216</v>
      </c>
      <c r="E403" s="11">
        <v>9198999194</v>
      </c>
      <c r="F403" s="1" t="s">
        <v>15</v>
      </c>
      <c r="G403" s="4">
        <f>33617+(364+182)</f>
        <v>34163</v>
      </c>
      <c r="H403" s="67" t="str">
        <f t="shared" si="18"/>
        <v>Jul</v>
      </c>
      <c r="I403" s="9">
        <f t="shared" ca="1" si="19"/>
        <v>23</v>
      </c>
      <c r="J403" s="8" t="s">
        <v>34</v>
      </c>
      <c r="K403" s="7">
        <v>18895</v>
      </c>
      <c r="L403" s="6">
        <v>4</v>
      </c>
      <c r="M403" s="31">
        <f t="shared" si="20"/>
        <v>18895</v>
      </c>
      <c r="N403" s="65"/>
      <c r="O403" s="1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25">
      <c r="A404" s="1" t="s">
        <v>376</v>
      </c>
      <c r="B404" s="12" t="s">
        <v>10</v>
      </c>
      <c r="C404" s="1" t="s">
        <v>20</v>
      </c>
      <c r="D404" s="11">
        <v>366740174</v>
      </c>
      <c r="E404" s="11">
        <v>2521549933</v>
      </c>
      <c r="F404" s="1" t="s">
        <v>0</v>
      </c>
      <c r="G404" s="4">
        <f>33619+(364+182)</f>
        <v>34165</v>
      </c>
      <c r="H404" s="67" t="str">
        <f t="shared" si="18"/>
        <v>Jul</v>
      </c>
      <c r="I404" s="9">
        <f t="shared" ca="1" si="19"/>
        <v>23</v>
      </c>
      <c r="J404" s="8"/>
      <c r="K404" s="7">
        <v>30416</v>
      </c>
      <c r="L404" s="6">
        <v>1</v>
      </c>
      <c r="M404" s="31">
        <f t="shared" si="20"/>
        <v>30416</v>
      </c>
      <c r="N404" s="65"/>
      <c r="O404" s="14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25">
      <c r="A405" s="1" t="s">
        <v>375</v>
      </c>
      <c r="B405" s="12" t="s">
        <v>17</v>
      </c>
      <c r="C405" s="1" t="s">
        <v>26</v>
      </c>
      <c r="D405" s="11">
        <v>148899089</v>
      </c>
      <c r="E405" s="11">
        <v>2524734960</v>
      </c>
      <c r="F405" s="1" t="s">
        <v>15</v>
      </c>
      <c r="G405" s="4">
        <f>33620+(364+182)</f>
        <v>34166</v>
      </c>
      <c r="H405" s="67" t="str">
        <f t="shared" si="18"/>
        <v>Jul</v>
      </c>
      <c r="I405" s="9">
        <f t="shared" ca="1" si="19"/>
        <v>23</v>
      </c>
      <c r="J405" s="8" t="s">
        <v>32</v>
      </c>
      <c r="K405" s="7">
        <v>26890</v>
      </c>
      <c r="L405" s="6">
        <v>3</v>
      </c>
      <c r="M405" s="31">
        <f t="shared" si="20"/>
        <v>26890</v>
      </c>
      <c r="N405" s="65"/>
      <c r="O405" s="14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25">
      <c r="A406" s="1" t="s">
        <v>374</v>
      </c>
      <c r="B406" s="12" t="s">
        <v>17</v>
      </c>
      <c r="C406" s="1" t="s">
        <v>22</v>
      </c>
      <c r="D406" s="11">
        <v>317193890</v>
      </c>
      <c r="E406" s="11">
        <v>9192350434</v>
      </c>
      <c r="F406" s="1" t="s">
        <v>5</v>
      </c>
      <c r="G406" s="4">
        <f>33623+(364+182)</f>
        <v>34169</v>
      </c>
      <c r="H406" s="67" t="str">
        <f t="shared" si="18"/>
        <v>Jul</v>
      </c>
      <c r="I406" s="9">
        <f t="shared" ca="1" si="19"/>
        <v>23</v>
      </c>
      <c r="J406" s="8" t="s">
        <v>19</v>
      </c>
      <c r="K406" s="7">
        <v>69420</v>
      </c>
      <c r="L406" s="6">
        <v>2</v>
      </c>
      <c r="M406" s="31">
        <f t="shared" si="20"/>
        <v>69420</v>
      </c>
      <c r="N406" s="65"/>
      <c r="O406" s="14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25">
      <c r="A407" s="1" t="s">
        <v>373</v>
      </c>
      <c r="B407" s="12" t="s">
        <v>13</v>
      </c>
      <c r="C407" s="1" t="s">
        <v>60</v>
      </c>
      <c r="D407" s="11">
        <v>422957475</v>
      </c>
      <c r="E407" s="11">
        <v>2524273090</v>
      </c>
      <c r="F407" s="1" t="s">
        <v>5</v>
      </c>
      <c r="G407" s="4">
        <f>33631+(364+182)</f>
        <v>34177</v>
      </c>
      <c r="H407" s="67" t="str">
        <f t="shared" si="18"/>
        <v>Jul</v>
      </c>
      <c r="I407" s="9">
        <f t="shared" ca="1" si="19"/>
        <v>23</v>
      </c>
      <c r="J407" s="8" t="s">
        <v>4</v>
      </c>
      <c r="K407" s="7">
        <v>65250</v>
      </c>
      <c r="L407" s="6">
        <v>2</v>
      </c>
      <c r="M407" s="31">
        <f t="shared" si="20"/>
        <v>65250</v>
      </c>
      <c r="N407" s="65"/>
      <c r="O407" s="14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25">
      <c r="A408" s="1" t="s">
        <v>372</v>
      </c>
      <c r="B408" s="12" t="s">
        <v>17</v>
      </c>
      <c r="C408" s="1" t="s">
        <v>52</v>
      </c>
      <c r="D408" s="11">
        <v>705186668</v>
      </c>
      <c r="E408" s="11">
        <v>9193922813</v>
      </c>
      <c r="F408" s="1" t="s">
        <v>0</v>
      </c>
      <c r="G408" s="4">
        <f>33634+(364+182)</f>
        <v>34180</v>
      </c>
      <c r="H408" s="67" t="str">
        <f t="shared" si="18"/>
        <v>Jul</v>
      </c>
      <c r="I408" s="9">
        <f t="shared" ca="1" si="19"/>
        <v>23</v>
      </c>
      <c r="J408" s="8"/>
      <c r="K408" s="7">
        <v>26484</v>
      </c>
      <c r="L408" s="6">
        <v>5</v>
      </c>
      <c r="M408" s="31">
        <f t="shared" si="20"/>
        <v>26484</v>
      </c>
      <c r="N408" s="65"/>
      <c r="O408" s="14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25">
      <c r="A409" s="1" t="s">
        <v>371</v>
      </c>
      <c r="B409" s="12" t="s">
        <v>13</v>
      </c>
      <c r="C409" s="1" t="s">
        <v>1</v>
      </c>
      <c r="D409" s="11">
        <v>978092408</v>
      </c>
      <c r="E409" s="11">
        <v>9191888279</v>
      </c>
      <c r="F409" s="1" t="s">
        <v>12</v>
      </c>
      <c r="G409" s="4">
        <f>33979+(364+182)</f>
        <v>34525</v>
      </c>
      <c r="H409" s="67" t="str">
        <f t="shared" si="18"/>
        <v>Jul</v>
      </c>
      <c r="I409" s="9">
        <f t="shared" ca="1" si="19"/>
        <v>22</v>
      </c>
      <c r="J409" s="8"/>
      <c r="K409" s="7">
        <v>64720</v>
      </c>
      <c r="L409" s="6">
        <v>5</v>
      </c>
      <c r="M409" s="31">
        <f t="shared" si="20"/>
        <v>64720</v>
      </c>
      <c r="N409" s="65"/>
      <c r="O409" s="14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25">
      <c r="A410" s="1" t="s">
        <v>370</v>
      </c>
      <c r="B410" s="12" t="s">
        <v>13</v>
      </c>
      <c r="C410" s="1" t="s">
        <v>6</v>
      </c>
      <c r="D410" s="11">
        <v>324069262</v>
      </c>
      <c r="E410" s="11">
        <v>2525459665</v>
      </c>
      <c r="F410" s="1" t="s">
        <v>12</v>
      </c>
      <c r="G410" s="4">
        <f>33988+(364+182)</f>
        <v>34534</v>
      </c>
      <c r="H410" s="67" t="str">
        <f t="shared" si="18"/>
        <v>Jul</v>
      </c>
      <c r="I410" s="9">
        <f t="shared" ca="1" si="19"/>
        <v>22</v>
      </c>
      <c r="J410" s="8"/>
      <c r="K410" s="7">
        <v>45105</v>
      </c>
      <c r="L410" s="6">
        <v>1</v>
      </c>
      <c r="M410" s="31">
        <f t="shared" si="20"/>
        <v>45105</v>
      </c>
      <c r="N410" s="65"/>
      <c r="O410" s="14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25">
      <c r="A411" s="1" t="s">
        <v>369</v>
      </c>
      <c r="B411" s="12" t="s">
        <v>39</v>
      </c>
      <c r="C411" s="1" t="s">
        <v>20</v>
      </c>
      <c r="D411" s="11">
        <v>865073824</v>
      </c>
      <c r="E411" s="11">
        <v>2524785979</v>
      </c>
      <c r="F411" s="1" t="s">
        <v>5</v>
      </c>
      <c r="G411" s="4">
        <f>33995+(364+182)</f>
        <v>34541</v>
      </c>
      <c r="H411" s="67" t="str">
        <f t="shared" si="18"/>
        <v>Jul</v>
      </c>
      <c r="I411" s="9">
        <f t="shared" ca="1" si="19"/>
        <v>22</v>
      </c>
      <c r="J411" s="8" t="s">
        <v>8</v>
      </c>
      <c r="K411" s="7">
        <v>34480</v>
      </c>
      <c r="L411" s="6">
        <v>3</v>
      </c>
      <c r="M411" s="31">
        <f t="shared" si="20"/>
        <v>34480</v>
      </c>
      <c r="N411" s="65"/>
      <c r="O411" s="14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25">
      <c r="A412" s="1" t="s">
        <v>368</v>
      </c>
      <c r="B412" s="12" t="s">
        <v>13</v>
      </c>
      <c r="C412" s="1" t="s">
        <v>20</v>
      </c>
      <c r="D412" s="11">
        <v>682500261</v>
      </c>
      <c r="E412" s="11">
        <v>9191163627</v>
      </c>
      <c r="F412" s="1" t="s">
        <v>5</v>
      </c>
      <c r="G412" s="4">
        <f>34335+(364+182)</f>
        <v>34881</v>
      </c>
      <c r="H412" s="67" t="str">
        <f t="shared" si="18"/>
        <v>Jul</v>
      </c>
      <c r="I412" s="9">
        <f t="shared" ca="1" si="19"/>
        <v>21</v>
      </c>
      <c r="J412" s="8" t="s">
        <v>34</v>
      </c>
      <c r="K412" s="7">
        <v>63070</v>
      </c>
      <c r="L412" s="6">
        <v>1</v>
      </c>
      <c r="M412" s="31">
        <f t="shared" si="20"/>
        <v>63070</v>
      </c>
      <c r="N412" s="69"/>
      <c r="O412" s="14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25">
      <c r="A413" s="1" t="s">
        <v>367</v>
      </c>
      <c r="B413" s="12" t="s">
        <v>17</v>
      </c>
      <c r="C413" s="1" t="s">
        <v>28</v>
      </c>
      <c r="D413" s="11">
        <v>931977751</v>
      </c>
      <c r="E413" s="11">
        <v>9194471952</v>
      </c>
      <c r="F413" s="1" t="s">
        <v>5</v>
      </c>
      <c r="G413" s="4">
        <f>34355+(364+182)</f>
        <v>34901</v>
      </c>
      <c r="H413" s="67" t="str">
        <f t="shared" si="18"/>
        <v>Jul</v>
      </c>
      <c r="I413" s="9">
        <f t="shared" ca="1" si="19"/>
        <v>21</v>
      </c>
      <c r="J413" s="8" t="s">
        <v>32</v>
      </c>
      <c r="K413" s="7">
        <v>25830</v>
      </c>
      <c r="L413" s="6">
        <v>5</v>
      </c>
      <c r="M413" s="31">
        <f t="shared" si="20"/>
        <v>25830</v>
      </c>
      <c r="N413" s="65"/>
      <c r="O413" s="14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25">
      <c r="A414" s="1" t="s">
        <v>366</v>
      </c>
      <c r="B414" s="12" t="s">
        <v>13</v>
      </c>
      <c r="C414" s="1" t="s">
        <v>6</v>
      </c>
      <c r="D414" s="11">
        <v>101829876</v>
      </c>
      <c r="E414" s="11">
        <v>2522552565</v>
      </c>
      <c r="F414" s="1" t="s">
        <v>0</v>
      </c>
      <c r="G414" s="4">
        <f>34701+(364+182)</f>
        <v>35247</v>
      </c>
      <c r="H414" s="67" t="str">
        <f t="shared" si="18"/>
        <v>Jul</v>
      </c>
      <c r="I414" s="9">
        <f t="shared" ca="1" si="19"/>
        <v>20</v>
      </c>
      <c r="J414" s="8"/>
      <c r="K414" s="7">
        <v>33752</v>
      </c>
      <c r="L414" s="6">
        <v>3</v>
      </c>
      <c r="M414" s="31">
        <f t="shared" si="20"/>
        <v>33752</v>
      </c>
      <c r="N414" s="65"/>
      <c r="O414" s="14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25">
      <c r="A415" s="1" t="s">
        <v>365</v>
      </c>
      <c r="B415" s="12" t="s">
        <v>13</v>
      </c>
      <c r="C415" s="1" t="s">
        <v>72</v>
      </c>
      <c r="D415" s="11">
        <v>110184347</v>
      </c>
      <c r="E415" s="11">
        <v>2526166452</v>
      </c>
      <c r="F415" s="1" t="s">
        <v>5</v>
      </c>
      <c r="G415" s="4">
        <f>34707+(364+182)</f>
        <v>35253</v>
      </c>
      <c r="H415" s="67" t="str">
        <f t="shared" si="18"/>
        <v>Jul</v>
      </c>
      <c r="I415" s="9">
        <f t="shared" ca="1" si="19"/>
        <v>20</v>
      </c>
      <c r="J415" s="8" t="s">
        <v>32</v>
      </c>
      <c r="K415" s="7">
        <v>63780</v>
      </c>
      <c r="L415" s="6">
        <v>5</v>
      </c>
      <c r="M415" s="31">
        <f t="shared" si="20"/>
        <v>63780</v>
      </c>
      <c r="N415" s="65"/>
      <c r="O415" s="14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25">
      <c r="A416" s="1" t="s">
        <v>364</v>
      </c>
      <c r="B416" s="12" t="s">
        <v>39</v>
      </c>
      <c r="C416" s="1" t="s">
        <v>60</v>
      </c>
      <c r="D416" s="11">
        <v>343897392</v>
      </c>
      <c r="E416" s="11">
        <v>2526674988</v>
      </c>
      <c r="F416" s="1" t="s">
        <v>5</v>
      </c>
      <c r="G416" s="4">
        <f>34708+(364+182)</f>
        <v>35254</v>
      </c>
      <c r="H416" s="67" t="str">
        <f t="shared" si="18"/>
        <v>Jul</v>
      </c>
      <c r="I416" s="9">
        <f t="shared" ca="1" si="19"/>
        <v>20</v>
      </c>
      <c r="J416" s="8" t="s">
        <v>32</v>
      </c>
      <c r="K416" s="7">
        <v>48800</v>
      </c>
      <c r="L416" s="6">
        <v>4</v>
      </c>
      <c r="M416" s="31">
        <f t="shared" si="20"/>
        <v>48800</v>
      </c>
      <c r="N416" s="65"/>
      <c r="O416" s="14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25">
      <c r="A417" s="1" t="s">
        <v>363</v>
      </c>
      <c r="B417" s="12" t="s">
        <v>13</v>
      </c>
      <c r="C417" s="1" t="s">
        <v>26</v>
      </c>
      <c r="D417" s="11">
        <v>427811310</v>
      </c>
      <c r="E417" s="11">
        <v>9191362796</v>
      </c>
      <c r="F417" s="1" t="s">
        <v>12</v>
      </c>
      <c r="G417" s="4">
        <f>34709+(364+182)</f>
        <v>35255</v>
      </c>
      <c r="H417" s="67" t="str">
        <f t="shared" si="18"/>
        <v>Jul</v>
      </c>
      <c r="I417" s="9">
        <f t="shared" ca="1" si="19"/>
        <v>20</v>
      </c>
      <c r="J417" s="8"/>
      <c r="K417" s="7">
        <v>89310</v>
      </c>
      <c r="L417" s="6">
        <v>5</v>
      </c>
      <c r="M417" s="31">
        <f t="shared" si="20"/>
        <v>89310</v>
      </c>
      <c r="N417" s="65"/>
      <c r="O417" s="14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25">
      <c r="A418" s="1" t="s">
        <v>362</v>
      </c>
      <c r="B418" s="12" t="s">
        <v>13</v>
      </c>
      <c r="C418" s="1" t="s">
        <v>6</v>
      </c>
      <c r="D418" s="11">
        <v>627494412</v>
      </c>
      <c r="E418" s="11">
        <v>2528249735</v>
      </c>
      <c r="F418" s="1" t="s">
        <v>5</v>
      </c>
      <c r="G418" s="4">
        <f>34730+(364+182)</f>
        <v>35276</v>
      </c>
      <c r="H418" s="67" t="str">
        <f t="shared" si="18"/>
        <v>Jul</v>
      </c>
      <c r="I418" s="9">
        <f t="shared" ca="1" si="19"/>
        <v>20</v>
      </c>
      <c r="J418" s="8" t="s">
        <v>32</v>
      </c>
      <c r="K418" s="7">
        <v>58370</v>
      </c>
      <c r="L418" s="6">
        <v>5</v>
      </c>
      <c r="M418" s="31">
        <f t="shared" si="20"/>
        <v>58370</v>
      </c>
      <c r="N418" s="65"/>
      <c r="O418" s="14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25">
      <c r="A419" s="1" t="s">
        <v>361</v>
      </c>
      <c r="B419" s="12" t="s">
        <v>13</v>
      </c>
      <c r="C419" s="1" t="s">
        <v>22</v>
      </c>
      <c r="D419" s="11">
        <v>394876677</v>
      </c>
      <c r="E419" s="11">
        <v>2522551469</v>
      </c>
      <c r="F419" s="1" t="s">
        <v>5</v>
      </c>
      <c r="G419" s="4">
        <f>35070+(364+182)</f>
        <v>35616</v>
      </c>
      <c r="H419" s="67" t="str">
        <f t="shared" si="18"/>
        <v>Jul</v>
      </c>
      <c r="I419" s="9">
        <f t="shared" ca="1" si="19"/>
        <v>19</v>
      </c>
      <c r="J419" s="8" t="s">
        <v>4</v>
      </c>
      <c r="K419" s="7">
        <v>34060</v>
      </c>
      <c r="L419" s="6">
        <v>2</v>
      </c>
      <c r="M419" s="31">
        <f t="shared" si="20"/>
        <v>34060</v>
      </c>
      <c r="N419" s="65"/>
      <c r="O419" s="14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25">
      <c r="A420" s="1" t="s">
        <v>360</v>
      </c>
      <c r="B420" s="12" t="s">
        <v>13</v>
      </c>
      <c r="C420" s="1" t="s">
        <v>6</v>
      </c>
      <c r="D420" s="11">
        <v>296641985</v>
      </c>
      <c r="E420" s="11">
        <v>2528217409</v>
      </c>
      <c r="F420" s="1" t="s">
        <v>5</v>
      </c>
      <c r="G420" s="4">
        <f>35081+(364+182)</f>
        <v>35627</v>
      </c>
      <c r="H420" s="67" t="str">
        <f t="shared" si="18"/>
        <v>Jul</v>
      </c>
      <c r="I420" s="9">
        <f t="shared" ca="1" si="19"/>
        <v>19</v>
      </c>
      <c r="J420" s="8" t="s">
        <v>4</v>
      </c>
      <c r="K420" s="7">
        <v>41380</v>
      </c>
      <c r="L420" s="6">
        <v>2</v>
      </c>
      <c r="M420" s="31">
        <f t="shared" si="20"/>
        <v>41380</v>
      </c>
      <c r="N420" s="65"/>
      <c r="O420" s="14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25">
      <c r="A421" s="1" t="s">
        <v>359</v>
      </c>
      <c r="B421" s="12" t="s">
        <v>13</v>
      </c>
      <c r="C421" s="1" t="s">
        <v>20</v>
      </c>
      <c r="D421" s="11">
        <v>722630791</v>
      </c>
      <c r="E421" s="11">
        <v>2522263363</v>
      </c>
      <c r="F421" s="1" t="s">
        <v>0</v>
      </c>
      <c r="G421" s="4">
        <f>35436+(364+182)</f>
        <v>35982</v>
      </c>
      <c r="H421" s="67" t="str">
        <f t="shared" si="18"/>
        <v>Jul</v>
      </c>
      <c r="I421" s="9">
        <f t="shared" ca="1" si="19"/>
        <v>18</v>
      </c>
      <c r="J421" s="8"/>
      <c r="K421" s="7">
        <v>8904</v>
      </c>
      <c r="L421" s="6">
        <v>3</v>
      </c>
      <c r="M421" s="31">
        <f t="shared" si="20"/>
        <v>8904</v>
      </c>
      <c r="N421" s="65"/>
      <c r="O421" s="14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25">
      <c r="A422" s="1" t="s">
        <v>358</v>
      </c>
      <c r="B422" s="12" t="s">
        <v>56</v>
      </c>
      <c r="C422" s="1" t="s">
        <v>72</v>
      </c>
      <c r="D422" s="11">
        <v>105708355</v>
      </c>
      <c r="E422" s="11">
        <v>2524697218</v>
      </c>
      <c r="F422" s="1" t="s">
        <v>5</v>
      </c>
      <c r="G422" s="4">
        <f>35443+(364+182)</f>
        <v>35989</v>
      </c>
      <c r="H422" s="67" t="str">
        <f t="shared" si="18"/>
        <v>Jul</v>
      </c>
      <c r="I422" s="9">
        <f t="shared" ca="1" si="19"/>
        <v>18</v>
      </c>
      <c r="J422" s="8" t="s">
        <v>34</v>
      </c>
      <c r="K422" s="7">
        <v>71010</v>
      </c>
      <c r="L422" s="6">
        <v>5</v>
      </c>
      <c r="M422" s="31">
        <f t="shared" si="20"/>
        <v>71010</v>
      </c>
      <c r="N422" s="65"/>
      <c r="O422" s="14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25">
      <c r="A423" s="1" t="s">
        <v>357</v>
      </c>
      <c r="B423" s="12" t="s">
        <v>17</v>
      </c>
      <c r="C423" s="1" t="s">
        <v>22</v>
      </c>
      <c r="D423" s="11">
        <v>379340654</v>
      </c>
      <c r="E423" s="11">
        <v>9198642893</v>
      </c>
      <c r="F423" s="1" t="s">
        <v>5</v>
      </c>
      <c r="G423" s="4">
        <f>35444+(364+182)</f>
        <v>35990</v>
      </c>
      <c r="H423" s="67" t="str">
        <f t="shared" si="18"/>
        <v>Jul</v>
      </c>
      <c r="I423" s="9">
        <f t="shared" ca="1" si="19"/>
        <v>18</v>
      </c>
      <c r="J423" s="8" t="s">
        <v>8</v>
      </c>
      <c r="K423" s="7">
        <v>36890</v>
      </c>
      <c r="L423" s="6">
        <v>1</v>
      </c>
      <c r="M423" s="31">
        <f t="shared" si="20"/>
        <v>36890</v>
      </c>
      <c r="N423" s="65"/>
      <c r="O423" s="14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25">
      <c r="A424" s="1" t="s">
        <v>356</v>
      </c>
      <c r="B424" s="12" t="s">
        <v>17</v>
      </c>
      <c r="C424" s="1" t="s">
        <v>20</v>
      </c>
      <c r="D424" s="11">
        <v>332289257</v>
      </c>
      <c r="E424" s="11">
        <v>9198367725</v>
      </c>
      <c r="F424" s="1" t="s">
        <v>12</v>
      </c>
      <c r="G424" s="4">
        <f>35446+(364+182)</f>
        <v>35992</v>
      </c>
      <c r="H424" s="67" t="str">
        <f t="shared" si="18"/>
        <v>Jul</v>
      </c>
      <c r="I424" s="9">
        <f t="shared" ca="1" si="19"/>
        <v>18</v>
      </c>
      <c r="J424" s="8"/>
      <c r="K424" s="7">
        <v>68260</v>
      </c>
      <c r="L424" s="6">
        <v>5</v>
      </c>
      <c r="M424" s="31">
        <f t="shared" si="20"/>
        <v>68260</v>
      </c>
      <c r="N424" s="65"/>
      <c r="O424" s="14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25">
      <c r="A425" s="1" t="s">
        <v>355</v>
      </c>
      <c r="B425" s="12" t="s">
        <v>17</v>
      </c>
      <c r="C425" s="1" t="s">
        <v>20</v>
      </c>
      <c r="D425" s="11">
        <v>280304785</v>
      </c>
      <c r="E425" s="11">
        <v>2525918708</v>
      </c>
      <c r="F425" s="1" t="s">
        <v>5</v>
      </c>
      <c r="G425" s="4">
        <f>35450+(364+182)</f>
        <v>35996</v>
      </c>
      <c r="H425" s="67" t="str">
        <f t="shared" si="18"/>
        <v>Jul</v>
      </c>
      <c r="I425" s="9">
        <f t="shared" ca="1" si="19"/>
        <v>18</v>
      </c>
      <c r="J425" s="8" t="s">
        <v>32</v>
      </c>
      <c r="K425" s="7">
        <v>40340</v>
      </c>
      <c r="L425" s="6">
        <v>2</v>
      </c>
      <c r="M425" s="31">
        <f t="shared" si="20"/>
        <v>40340</v>
      </c>
      <c r="N425" s="65"/>
      <c r="O425" s="14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25">
      <c r="A426" s="1" t="s">
        <v>354</v>
      </c>
      <c r="B426" s="12" t="s">
        <v>13</v>
      </c>
      <c r="C426" s="1" t="s">
        <v>20</v>
      </c>
      <c r="D426" s="11">
        <v>542653222</v>
      </c>
      <c r="E426" s="11">
        <v>9193708610</v>
      </c>
      <c r="F426" s="1" t="s">
        <v>12</v>
      </c>
      <c r="G426" s="4">
        <f>35451+(364+182)</f>
        <v>35997</v>
      </c>
      <c r="H426" s="67" t="str">
        <f t="shared" si="18"/>
        <v>Jul</v>
      </c>
      <c r="I426" s="9">
        <f t="shared" ca="1" si="19"/>
        <v>18</v>
      </c>
      <c r="J426" s="8"/>
      <c r="K426" s="7">
        <v>72520</v>
      </c>
      <c r="L426" s="6">
        <v>3</v>
      </c>
      <c r="M426" s="31">
        <f t="shared" si="20"/>
        <v>72520</v>
      </c>
      <c r="N426" s="65"/>
      <c r="O426" s="14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25">
      <c r="A427" s="1" t="s">
        <v>353</v>
      </c>
      <c r="B427" s="12" t="s">
        <v>2</v>
      </c>
      <c r="C427" s="1" t="s">
        <v>44</v>
      </c>
      <c r="D427" s="11">
        <v>707882019</v>
      </c>
      <c r="E427" s="11">
        <v>2523373445</v>
      </c>
      <c r="F427" s="1" t="s">
        <v>12</v>
      </c>
      <c r="G427" s="4">
        <f>35796+(364+182)</f>
        <v>36342</v>
      </c>
      <c r="H427" s="67" t="str">
        <f t="shared" si="18"/>
        <v>Jul</v>
      </c>
      <c r="I427" s="9">
        <f t="shared" ca="1" si="19"/>
        <v>17</v>
      </c>
      <c r="J427" s="8"/>
      <c r="K427" s="7">
        <v>86970</v>
      </c>
      <c r="L427" s="6">
        <v>4</v>
      </c>
      <c r="M427" s="31">
        <f t="shared" si="20"/>
        <v>86970</v>
      </c>
      <c r="N427" s="65"/>
      <c r="O427" s="14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25">
      <c r="A428" s="1" t="s">
        <v>352</v>
      </c>
      <c r="B428" s="12" t="s">
        <v>2</v>
      </c>
      <c r="C428" s="1" t="s">
        <v>20</v>
      </c>
      <c r="D428" s="11">
        <v>596641549</v>
      </c>
      <c r="E428" s="11">
        <v>9196194175</v>
      </c>
      <c r="F428" s="1" t="s">
        <v>12</v>
      </c>
      <c r="G428" s="4">
        <f>35804+(364+182)</f>
        <v>36350</v>
      </c>
      <c r="H428" s="67" t="str">
        <f t="shared" si="18"/>
        <v>Jul</v>
      </c>
      <c r="I428" s="9">
        <f t="shared" ca="1" si="19"/>
        <v>17</v>
      </c>
      <c r="J428" s="8"/>
      <c r="K428" s="7">
        <v>27380</v>
      </c>
      <c r="L428" s="6">
        <v>3</v>
      </c>
      <c r="M428" s="31">
        <f t="shared" si="20"/>
        <v>27380</v>
      </c>
      <c r="N428" s="65"/>
      <c r="O428" s="14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25">
      <c r="A429" s="1" t="s">
        <v>351</v>
      </c>
      <c r="B429" s="12" t="s">
        <v>17</v>
      </c>
      <c r="C429" s="1" t="s">
        <v>44</v>
      </c>
      <c r="D429" s="11">
        <v>907491320</v>
      </c>
      <c r="E429" s="11">
        <v>2525724528</v>
      </c>
      <c r="F429" s="1" t="s">
        <v>15</v>
      </c>
      <c r="G429" s="4">
        <f>35811+(364+182)</f>
        <v>36357</v>
      </c>
      <c r="H429" s="67" t="str">
        <f t="shared" si="18"/>
        <v>Jul</v>
      </c>
      <c r="I429" s="9">
        <f t="shared" ca="1" si="19"/>
        <v>17</v>
      </c>
      <c r="J429" s="8" t="s">
        <v>8</v>
      </c>
      <c r="K429" s="7">
        <v>42905</v>
      </c>
      <c r="L429" s="6">
        <v>1</v>
      </c>
      <c r="M429" s="31">
        <f t="shared" si="20"/>
        <v>42905</v>
      </c>
      <c r="N429" s="65"/>
      <c r="O429" s="14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25">
      <c r="A430" s="1" t="s">
        <v>350</v>
      </c>
      <c r="B430" s="12" t="s">
        <v>13</v>
      </c>
      <c r="C430" s="1" t="s">
        <v>20</v>
      </c>
      <c r="D430" s="11">
        <v>110547055</v>
      </c>
      <c r="E430" s="11">
        <v>2526966637</v>
      </c>
      <c r="F430" s="1" t="s">
        <v>15</v>
      </c>
      <c r="G430" s="4">
        <f>35814+(364+182)</f>
        <v>36360</v>
      </c>
      <c r="H430" s="67" t="str">
        <f t="shared" si="18"/>
        <v>Jul</v>
      </c>
      <c r="I430" s="9">
        <f t="shared" ca="1" si="19"/>
        <v>17</v>
      </c>
      <c r="J430" s="8" t="s">
        <v>4</v>
      </c>
      <c r="K430" s="7">
        <v>11065</v>
      </c>
      <c r="L430" s="6">
        <v>1</v>
      </c>
      <c r="M430" s="31">
        <f t="shared" si="20"/>
        <v>11065</v>
      </c>
      <c r="N430" s="65"/>
      <c r="O430" s="14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25">
      <c r="A431" s="1" t="s">
        <v>349</v>
      </c>
      <c r="B431" s="12" t="s">
        <v>39</v>
      </c>
      <c r="C431" s="1" t="s">
        <v>52</v>
      </c>
      <c r="D431" s="11">
        <v>288741910</v>
      </c>
      <c r="E431" s="11">
        <v>2522842668</v>
      </c>
      <c r="F431" s="1" t="s">
        <v>5</v>
      </c>
      <c r="G431" s="4">
        <f>35814+(364+182)</f>
        <v>36360</v>
      </c>
      <c r="H431" s="67" t="str">
        <f t="shared" si="18"/>
        <v>Jul</v>
      </c>
      <c r="I431" s="9">
        <f t="shared" ca="1" si="19"/>
        <v>17</v>
      </c>
      <c r="J431" s="8" t="s">
        <v>4</v>
      </c>
      <c r="K431" s="7">
        <v>67020</v>
      </c>
      <c r="L431" s="6">
        <v>1</v>
      </c>
      <c r="M431" s="31">
        <f t="shared" si="20"/>
        <v>67020</v>
      </c>
      <c r="N431" s="65"/>
      <c r="O431" s="14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25">
      <c r="A432" s="1" t="s">
        <v>348</v>
      </c>
      <c r="B432" s="12" t="s">
        <v>56</v>
      </c>
      <c r="C432" s="1" t="s">
        <v>6</v>
      </c>
      <c r="D432" s="11">
        <v>900160539</v>
      </c>
      <c r="E432" s="11">
        <v>2522749909</v>
      </c>
      <c r="F432" s="1" t="s">
        <v>15</v>
      </c>
      <c r="G432" s="4">
        <f>35819+(364+182)</f>
        <v>36365</v>
      </c>
      <c r="H432" s="67" t="str">
        <f t="shared" si="18"/>
        <v>Jul</v>
      </c>
      <c r="I432" s="9">
        <f t="shared" ca="1" si="19"/>
        <v>17</v>
      </c>
      <c r="J432" s="8" t="s">
        <v>19</v>
      </c>
      <c r="K432" s="7">
        <v>19825</v>
      </c>
      <c r="L432" s="6">
        <v>2</v>
      </c>
      <c r="M432" s="31">
        <f t="shared" si="20"/>
        <v>19825</v>
      </c>
      <c r="N432" s="65"/>
      <c r="O432" s="14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5">
      <c r="A433" s="1" t="s">
        <v>347</v>
      </c>
      <c r="B433" s="12" t="s">
        <v>10</v>
      </c>
      <c r="C433" s="1" t="s">
        <v>60</v>
      </c>
      <c r="D433" s="11">
        <v>357081517</v>
      </c>
      <c r="E433" s="11">
        <v>2527660273</v>
      </c>
      <c r="F433" s="1" t="s">
        <v>15</v>
      </c>
      <c r="G433" s="4">
        <f>35825+(364+182)</f>
        <v>36371</v>
      </c>
      <c r="H433" s="67" t="str">
        <f t="shared" si="18"/>
        <v>Jul</v>
      </c>
      <c r="I433" s="9">
        <f t="shared" ca="1" si="19"/>
        <v>17</v>
      </c>
      <c r="J433" s="8" t="s">
        <v>4</v>
      </c>
      <c r="K433" s="7">
        <v>26790</v>
      </c>
      <c r="L433" s="6">
        <v>2</v>
      </c>
      <c r="M433" s="31">
        <f t="shared" si="20"/>
        <v>26790</v>
      </c>
      <c r="N433" s="65"/>
      <c r="O433" s="14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5">
      <c r="A434" s="1" t="s">
        <v>346</v>
      </c>
      <c r="B434" s="12" t="s">
        <v>13</v>
      </c>
      <c r="C434" s="1" t="s">
        <v>20</v>
      </c>
      <c r="D434" s="11">
        <v>130619578</v>
      </c>
      <c r="E434" s="11">
        <v>9195057530</v>
      </c>
      <c r="F434" s="1" t="s">
        <v>12</v>
      </c>
      <c r="G434" s="4">
        <f>36172+(364+182)</f>
        <v>36718</v>
      </c>
      <c r="H434" s="67" t="str">
        <f t="shared" si="18"/>
        <v>Jul</v>
      </c>
      <c r="I434" s="9">
        <f t="shared" ca="1" si="19"/>
        <v>16</v>
      </c>
      <c r="J434" s="8"/>
      <c r="K434" s="7">
        <v>89520</v>
      </c>
      <c r="L434" s="6">
        <v>5</v>
      </c>
      <c r="M434" s="31">
        <f t="shared" si="20"/>
        <v>89520</v>
      </c>
      <c r="N434" s="65"/>
      <c r="O434" s="14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5">
      <c r="A435" s="1" t="s">
        <v>345</v>
      </c>
      <c r="B435" s="12" t="s">
        <v>13</v>
      </c>
      <c r="C435" s="1" t="s">
        <v>20</v>
      </c>
      <c r="D435" s="11">
        <v>251824309</v>
      </c>
      <c r="E435" s="11">
        <v>9197950668</v>
      </c>
      <c r="F435" s="1" t="s">
        <v>12</v>
      </c>
      <c r="G435" s="4">
        <f>36183+(364+182)</f>
        <v>36729</v>
      </c>
      <c r="H435" s="67" t="str">
        <f t="shared" si="18"/>
        <v>Jul</v>
      </c>
      <c r="I435" s="9">
        <f t="shared" ca="1" si="19"/>
        <v>16</v>
      </c>
      <c r="J435" s="8"/>
      <c r="K435" s="7">
        <v>45420</v>
      </c>
      <c r="L435" s="6">
        <v>1</v>
      </c>
      <c r="M435" s="31">
        <f t="shared" si="20"/>
        <v>45420</v>
      </c>
      <c r="N435" s="65"/>
      <c r="O435" s="14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5">
      <c r="A436" s="1" t="s">
        <v>344</v>
      </c>
      <c r="B436" s="12" t="s">
        <v>39</v>
      </c>
      <c r="C436" s="1" t="s">
        <v>343</v>
      </c>
      <c r="D436" s="11">
        <v>797985708</v>
      </c>
      <c r="E436" s="11">
        <v>9193578185</v>
      </c>
      <c r="F436" s="1" t="s">
        <v>5</v>
      </c>
      <c r="G436" s="4">
        <f>36527+(364+182)</f>
        <v>37073</v>
      </c>
      <c r="H436" s="67" t="str">
        <f t="shared" si="18"/>
        <v>Jul</v>
      </c>
      <c r="I436" s="9">
        <f t="shared" ca="1" si="19"/>
        <v>15</v>
      </c>
      <c r="J436" s="8" t="s">
        <v>8</v>
      </c>
      <c r="K436" s="7">
        <v>40680</v>
      </c>
      <c r="L436" s="6">
        <v>5</v>
      </c>
      <c r="M436" s="31">
        <f t="shared" si="20"/>
        <v>40680</v>
      </c>
      <c r="N436" s="65"/>
      <c r="O436" s="14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5">
      <c r="A437" s="1" t="s">
        <v>342</v>
      </c>
      <c r="B437" s="12" t="s">
        <v>56</v>
      </c>
      <c r="C437" s="1" t="s">
        <v>52</v>
      </c>
      <c r="D437" s="11">
        <v>368385341</v>
      </c>
      <c r="E437" s="11">
        <v>9195526537</v>
      </c>
      <c r="F437" s="1" t="s">
        <v>12</v>
      </c>
      <c r="G437" s="4">
        <f>36536+(364+182)</f>
        <v>37082</v>
      </c>
      <c r="H437" s="67" t="str">
        <f t="shared" si="18"/>
        <v>Jul</v>
      </c>
      <c r="I437" s="9">
        <f t="shared" ca="1" si="19"/>
        <v>15</v>
      </c>
      <c r="J437" s="8"/>
      <c r="K437" s="7">
        <v>46780</v>
      </c>
      <c r="L437" s="6">
        <v>2</v>
      </c>
      <c r="M437" s="31">
        <f t="shared" si="20"/>
        <v>46780</v>
      </c>
      <c r="N437" s="65"/>
      <c r="O437" s="14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5">
      <c r="A438" s="1" t="s">
        <v>341</v>
      </c>
      <c r="B438" s="12" t="s">
        <v>17</v>
      </c>
      <c r="C438" s="1" t="s">
        <v>6</v>
      </c>
      <c r="D438" s="11">
        <v>916944119</v>
      </c>
      <c r="E438" s="11">
        <v>2524907564</v>
      </c>
      <c r="F438" s="1" t="s">
        <v>12</v>
      </c>
      <c r="G438" s="17">
        <f>36553+(364+182)</f>
        <v>37099</v>
      </c>
      <c r="H438" s="67" t="str">
        <f t="shared" si="18"/>
        <v>Jul</v>
      </c>
      <c r="I438" s="9">
        <f t="shared" ca="1" si="19"/>
        <v>15</v>
      </c>
      <c r="J438" s="8"/>
      <c r="K438" s="7">
        <v>28270</v>
      </c>
      <c r="L438" s="6">
        <v>5</v>
      </c>
      <c r="M438" s="31">
        <f t="shared" si="20"/>
        <v>28270</v>
      </c>
      <c r="N438" s="65"/>
      <c r="O438" s="14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5">
      <c r="A439" s="1" t="s">
        <v>340</v>
      </c>
      <c r="B439" s="12" t="s">
        <v>2</v>
      </c>
      <c r="C439" s="1" t="s">
        <v>6</v>
      </c>
      <c r="D439" s="11">
        <v>626648632</v>
      </c>
      <c r="E439" s="11">
        <v>2526412482</v>
      </c>
      <c r="F439" s="1" t="s">
        <v>12</v>
      </c>
      <c r="G439" s="4">
        <f>36907+(364+182)</f>
        <v>37453</v>
      </c>
      <c r="H439" s="67" t="str">
        <f t="shared" si="18"/>
        <v>Jul</v>
      </c>
      <c r="I439" s="9">
        <f t="shared" ca="1" si="19"/>
        <v>14</v>
      </c>
      <c r="J439" s="8"/>
      <c r="K439" s="7">
        <v>49090</v>
      </c>
      <c r="L439" s="6">
        <v>4</v>
      </c>
      <c r="M439" s="31">
        <f t="shared" si="20"/>
        <v>49090</v>
      </c>
      <c r="N439" s="65"/>
      <c r="O439" s="14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5">
      <c r="A440" s="1" t="s">
        <v>339</v>
      </c>
      <c r="B440" s="12" t="s">
        <v>13</v>
      </c>
      <c r="C440" s="1" t="s">
        <v>9</v>
      </c>
      <c r="D440" s="11">
        <v>167646549</v>
      </c>
      <c r="E440" s="11">
        <v>9197187041</v>
      </c>
      <c r="F440" s="1" t="s">
        <v>12</v>
      </c>
      <c r="G440" s="4">
        <f>37257+(364+182)</f>
        <v>37803</v>
      </c>
      <c r="H440" s="67" t="str">
        <f t="shared" si="18"/>
        <v>Jul</v>
      </c>
      <c r="I440" s="9">
        <f t="shared" ca="1" si="19"/>
        <v>13</v>
      </c>
      <c r="J440" s="8"/>
      <c r="K440" s="7">
        <v>78100</v>
      </c>
      <c r="L440" s="6">
        <v>3</v>
      </c>
      <c r="M440" s="31">
        <f t="shared" si="20"/>
        <v>78100</v>
      </c>
      <c r="N440" s="65"/>
      <c r="O440" s="14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5">
      <c r="A441" s="1" t="s">
        <v>338</v>
      </c>
      <c r="B441" s="12" t="s">
        <v>13</v>
      </c>
      <c r="C441" s="1" t="s">
        <v>6</v>
      </c>
      <c r="D441" s="11">
        <v>177324163</v>
      </c>
      <c r="E441" s="11">
        <v>2527091949</v>
      </c>
      <c r="F441" s="1" t="s">
        <v>5</v>
      </c>
      <c r="G441" s="4">
        <f>37264+(364+182)</f>
        <v>37810</v>
      </c>
      <c r="H441" s="67" t="str">
        <f t="shared" si="18"/>
        <v>Jul</v>
      </c>
      <c r="I441" s="9">
        <f t="shared" ca="1" si="19"/>
        <v>13</v>
      </c>
      <c r="J441" s="8" t="s">
        <v>4</v>
      </c>
      <c r="K441" s="7">
        <v>48010</v>
      </c>
      <c r="L441" s="6">
        <v>3</v>
      </c>
      <c r="M441" s="31">
        <f t="shared" si="20"/>
        <v>48010</v>
      </c>
      <c r="N441" s="65"/>
      <c r="O441" s="14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5">
      <c r="A442" s="1" t="s">
        <v>337</v>
      </c>
      <c r="B442" s="12" t="s">
        <v>10</v>
      </c>
      <c r="C442" s="1" t="s">
        <v>52</v>
      </c>
      <c r="D442" s="11">
        <v>614562070</v>
      </c>
      <c r="E442" s="11">
        <v>9192485673</v>
      </c>
      <c r="F442" s="1" t="s">
        <v>15</v>
      </c>
      <c r="G442" s="4">
        <f>37269+(364+182)</f>
        <v>37815</v>
      </c>
      <c r="H442" s="67" t="str">
        <f t="shared" si="18"/>
        <v>Jul</v>
      </c>
      <c r="I442" s="9">
        <f t="shared" ca="1" si="19"/>
        <v>13</v>
      </c>
      <c r="J442" s="8" t="s">
        <v>32</v>
      </c>
      <c r="K442" s="7">
        <v>48740</v>
      </c>
      <c r="L442" s="6">
        <v>1</v>
      </c>
      <c r="M442" s="31">
        <f t="shared" si="20"/>
        <v>48740</v>
      </c>
      <c r="N442" s="65"/>
      <c r="O442" s="14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5">
      <c r="A443" s="1" t="s">
        <v>336</v>
      </c>
      <c r="B443" s="12" t="s">
        <v>2</v>
      </c>
      <c r="C443" s="1" t="s">
        <v>20</v>
      </c>
      <c r="D443" s="11">
        <v>143534593</v>
      </c>
      <c r="E443" s="11">
        <v>2527172882</v>
      </c>
      <c r="F443" s="1" t="s">
        <v>12</v>
      </c>
      <c r="G443" s="4">
        <f>37274+(364+182)</f>
        <v>37820</v>
      </c>
      <c r="H443" s="67" t="str">
        <f t="shared" si="18"/>
        <v>Jul</v>
      </c>
      <c r="I443" s="9">
        <f t="shared" ca="1" si="19"/>
        <v>13</v>
      </c>
      <c r="J443" s="8"/>
      <c r="K443" s="7">
        <v>75420</v>
      </c>
      <c r="L443" s="6">
        <v>1</v>
      </c>
      <c r="M443" s="31">
        <f t="shared" si="20"/>
        <v>75420</v>
      </c>
      <c r="N443" s="65"/>
      <c r="O443" s="14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5">
      <c r="A444" s="1" t="s">
        <v>335</v>
      </c>
      <c r="B444" s="12" t="s">
        <v>2</v>
      </c>
      <c r="C444" s="1" t="s">
        <v>9</v>
      </c>
      <c r="D444" s="11">
        <v>917195248</v>
      </c>
      <c r="E444" s="11">
        <v>9194605984</v>
      </c>
      <c r="F444" s="1" t="s">
        <v>0</v>
      </c>
      <c r="G444" s="4">
        <f>37281+(364+182)</f>
        <v>37827</v>
      </c>
      <c r="H444" s="67" t="str">
        <f t="shared" si="18"/>
        <v>Jul</v>
      </c>
      <c r="I444" s="9">
        <f t="shared" ca="1" si="19"/>
        <v>13</v>
      </c>
      <c r="J444" s="8"/>
      <c r="K444" s="7">
        <v>11044</v>
      </c>
      <c r="L444" s="6">
        <v>2</v>
      </c>
      <c r="M444" s="31">
        <f t="shared" si="20"/>
        <v>11044</v>
      </c>
      <c r="N444" s="65"/>
      <c r="O444" s="14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5">
      <c r="A445" s="1" t="s">
        <v>334</v>
      </c>
      <c r="B445" s="12" t="s">
        <v>13</v>
      </c>
      <c r="C445" s="1" t="s">
        <v>22</v>
      </c>
      <c r="D445" s="11">
        <v>115404531</v>
      </c>
      <c r="E445" s="11">
        <v>2522636321</v>
      </c>
      <c r="F445" s="1" t="s">
        <v>15</v>
      </c>
      <c r="G445" s="17">
        <f>37627+(364+182)</f>
        <v>38173</v>
      </c>
      <c r="H445" s="67" t="str">
        <f t="shared" si="18"/>
        <v>Jul</v>
      </c>
      <c r="I445" s="9">
        <f t="shared" ca="1" si="19"/>
        <v>12</v>
      </c>
      <c r="J445" s="8" t="s">
        <v>4</v>
      </c>
      <c r="K445" s="7">
        <v>32900</v>
      </c>
      <c r="L445" s="6">
        <v>2</v>
      </c>
      <c r="M445" s="31">
        <f t="shared" si="20"/>
        <v>32900</v>
      </c>
      <c r="N445" s="65"/>
      <c r="O445" s="14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5">
      <c r="A446" s="1" t="s">
        <v>333</v>
      </c>
      <c r="B446" s="12" t="s">
        <v>39</v>
      </c>
      <c r="C446" s="1" t="s">
        <v>20</v>
      </c>
      <c r="D446" s="11">
        <v>470935648</v>
      </c>
      <c r="E446" s="11">
        <v>9192053579</v>
      </c>
      <c r="F446" s="1" t="s">
        <v>12</v>
      </c>
      <c r="G446" s="4">
        <f>37991+(364+182)</f>
        <v>38537</v>
      </c>
      <c r="H446" s="67" t="str">
        <f t="shared" si="18"/>
        <v>Jul</v>
      </c>
      <c r="I446" s="9">
        <f t="shared" ca="1" si="19"/>
        <v>11</v>
      </c>
      <c r="J446" s="8"/>
      <c r="K446" s="7">
        <v>39680</v>
      </c>
      <c r="L446" s="6">
        <v>1</v>
      </c>
      <c r="M446" s="31">
        <f t="shared" si="20"/>
        <v>39680</v>
      </c>
      <c r="N446" s="65"/>
      <c r="O446" s="14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5">
      <c r="A447" s="1" t="s">
        <v>332</v>
      </c>
      <c r="B447" s="12" t="s">
        <v>13</v>
      </c>
      <c r="C447" s="1" t="s">
        <v>52</v>
      </c>
      <c r="D447" s="11">
        <v>647131956</v>
      </c>
      <c r="E447" s="11">
        <v>2521240785</v>
      </c>
      <c r="F447" s="1" t="s">
        <v>5</v>
      </c>
      <c r="G447" s="4">
        <f>38356+(364+182)</f>
        <v>38902</v>
      </c>
      <c r="H447" s="67" t="str">
        <f t="shared" si="18"/>
        <v>Jul</v>
      </c>
      <c r="I447" s="9">
        <f t="shared" ca="1" si="19"/>
        <v>10</v>
      </c>
      <c r="J447" s="8" t="s">
        <v>32</v>
      </c>
      <c r="K447" s="7">
        <v>73560</v>
      </c>
      <c r="L447" s="6">
        <v>3</v>
      </c>
      <c r="M447" s="31">
        <f t="shared" si="20"/>
        <v>73560</v>
      </c>
      <c r="N447" s="65"/>
      <c r="O447" s="14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5">
      <c r="A448" s="1" t="s">
        <v>331</v>
      </c>
      <c r="B448" s="12" t="s">
        <v>56</v>
      </c>
      <c r="C448" s="1" t="s">
        <v>20</v>
      </c>
      <c r="D448" s="11">
        <v>240272873</v>
      </c>
      <c r="E448" s="11">
        <v>9198912054</v>
      </c>
      <c r="F448" s="1" t="s">
        <v>12</v>
      </c>
      <c r="G448" s="4">
        <f>38366+(364+182)</f>
        <v>38912</v>
      </c>
      <c r="H448" s="67" t="str">
        <f t="shared" si="18"/>
        <v>Jul</v>
      </c>
      <c r="I448" s="9">
        <f t="shared" ca="1" si="19"/>
        <v>10</v>
      </c>
      <c r="J448" s="8"/>
      <c r="K448" s="7">
        <v>80330</v>
      </c>
      <c r="L448" s="6">
        <v>4</v>
      </c>
      <c r="M448" s="31">
        <f t="shared" si="20"/>
        <v>80330</v>
      </c>
      <c r="N448" s="65"/>
      <c r="O448" s="14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5">
      <c r="A449" s="1" t="s">
        <v>330</v>
      </c>
      <c r="B449" s="12" t="s">
        <v>13</v>
      </c>
      <c r="C449" s="1" t="s">
        <v>28</v>
      </c>
      <c r="D449" s="11">
        <v>619465100</v>
      </c>
      <c r="E449" s="11">
        <v>9194629606</v>
      </c>
      <c r="F449" s="1" t="s">
        <v>5</v>
      </c>
      <c r="G449" s="4">
        <f>38370+(364+182)</f>
        <v>38916</v>
      </c>
      <c r="H449" s="67" t="str">
        <f t="shared" si="18"/>
        <v>Jul</v>
      </c>
      <c r="I449" s="9">
        <f t="shared" ca="1" si="19"/>
        <v>10</v>
      </c>
      <c r="J449" s="8" t="s">
        <v>34</v>
      </c>
      <c r="K449" s="7">
        <v>27560</v>
      </c>
      <c r="L449" s="6">
        <v>2</v>
      </c>
      <c r="M449" s="31">
        <f t="shared" si="20"/>
        <v>27560</v>
      </c>
      <c r="N449" s="65"/>
      <c r="O449" s="14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5">
      <c r="A450" s="1" t="s">
        <v>329</v>
      </c>
      <c r="B450" s="12" t="s">
        <v>17</v>
      </c>
      <c r="C450" s="1" t="s">
        <v>60</v>
      </c>
      <c r="D450" s="11">
        <v>400260342</v>
      </c>
      <c r="E450" s="11">
        <v>9196798743</v>
      </c>
      <c r="F450" s="1" t="s">
        <v>12</v>
      </c>
      <c r="G450" s="4">
        <f>38737+(364+182)</f>
        <v>39283</v>
      </c>
      <c r="H450" s="67" t="str">
        <f t="shared" si="18"/>
        <v>Jul</v>
      </c>
      <c r="I450" s="9">
        <f t="shared" ca="1" si="19"/>
        <v>9</v>
      </c>
      <c r="J450" s="8"/>
      <c r="K450" s="7">
        <v>74470</v>
      </c>
      <c r="L450" s="6">
        <v>3</v>
      </c>
      <c r="M450" s="31">
        <f t="shared" si="20"/>
        <v>74470</v>
      </c>
      <c r="N450" s="65"/>
      <c r="O450" s="14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5">
      <c r="A451" s="1" t="s">
        <v>328</v>
      </c>
      <c r="B451" s="12" t="s">
        <v>13</v>
      </c>
      <c r="C451" s="1" t="s">
        <v>6</v>
      </c>
      <c r="D451" s="11">
        <v>771110153</v>
      </c>
      <c r="E451" s="11">
        <v>9196799516</v>
      </c>
      <c r="F451" s="1" t="s">
        <v>5</v>
      </c>
      <c r="G451" s="4">
        <f>38737+(364+182)</f>
        <v>39283</v>
      </c>
      <c r="H451" s="67" t="str">
        <f t="shared" ref="H451:H514" si="21">CHOOSE(MONTH(G451),"Jan","Feb","Mar","Apr","May","Jun","Jul","Aug","Sep","Oct","Nov","Dec")</f>
        <v>Jul</v>
      </c>
      <c r="I451" s="9">
        <f t="shared" ref="I451:I514" ca="1" si="22">DATEDIF(G451,TODAY(),"Y")</f>
        <v>9</v>
      </c>
      <c r="J451" s="8" t="s">
        <v>32</v>
      </c>
      <c r="K451" s="7">
        <v>24980</v>
      </c>
      <c r="L451" s="6">
        <v>3</v>
      </c>
      <c r="M451" s="31">
        <f t="shared" ref="M451:M514" si="23">ROUND(K451*P449+K451,0)</f>
        <v>24980</v>
      </c>
      <c r="N451" s="65"/>
      <c r="O451" s="14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5">
      <c r="A452" s="1" t="s">
        <v>327</v>
      </c>
      <c r="B452" s="12" t="s">
        <v>39</v>
      </c>
      <c r="C452" s="1" t="s">
        <v>28</v>
      </c>
      <c r="D452" s="11">
        <v>847051774</v>
      </c>
      <c r="E452" s="11">
        <v>2522881600</v>
      </c>
      <c r="F452" s="1" t="s">
        <v>5</v>
      </c>
      <c r="G452" s="4">
        <f>39111+(364+182)</f>
        <v>39657</v>
      </c>
      <c r="H452" s="67" t="str">
        <f t="shared" si="21"/>
        <v>Jul</v>
      </c>
      <c r="I452" s="9">
        <f t="shared" ca="1" si="22"/>
        <v>8</v>
      </c>
      <c r="J452" s="8" t="s">
        <v>8</v>
      </c>
      <c r="K452" s="7">
        <v>80880</v>
      </c>
      <c r="L452" s="6">
        <v>1</v>
      </c>
      <c r="M452" s="31">
        <f t="shared" si="23"/>
        <v>80880</v>
      </c>
      <c r="N452" s="65"/>
      <c r="O452" s="14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5">
      <c r="A453" s="1" t="s">
        <v>326</v>
      </c>
      <c r="B453" s="12" t="s">
        <v>17</v>
      </c>
      <c r="C453" s="1" t="s">
        <v>6</v>
      </c>
      <c r="D453" s="11">
        <v>964255290</v>
      </c>
      <c r="E453" s="11">
        <v>9197446192</v>
      </c>
      <c r="F453" s="1" t="s">
        <v>5</v>
      </c>
      <c r="G453" s="4">
        <f>39472+(364+182)</f>
        <v>40018</v>
      </c>
      <c r="H453" s="67" t="str">
        <f t="shared" si="21"/>
        <v>Jul</v>
      </c>
      <c r="I453" s="9">
        <f t="shared" ca="1" si="22"/>
        <v>7</v>
      </c>
      <c r="J453" s="8" t="s">
        <v>4</v>
      </c>
      <c r="K453" s="7">
        <v>34990</v>
      </c>
      <c r="L453" s="6">
        <v>3</v>
      </c>
      <c r="M453" s="31">
        <f t="shared" si="23"/>
        <v>34990</v>
      </c>
      <c r="N453" s="65"/>
      <c r="O453" s="14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5">
      <c r="A454" s="1" t="s">
        <v>325</v>
      </c>
      <c r="B454" s="12" t="s">
        <v>17</v>
      </c>
      <c r="C454" s="1" t="s">
        <v>60</v>
      </c>
      <c r="D454" s="11">
        <v>168791562</v>
      </c>
      <c r="E454" s="11">
        <v>9194161772</v>
      </c>
      <c r="F454" s="1" t="s">
        <v>5</v>
      </c>
      <c r="G454" s="4">
        <f>39815+(364+182)</f>
        <v>40361</v>
      </c>
      <c r="H454" s="67" t="str">
        <f t="shared" si="21"/>
        <v>Jul</v>
      </c>
      <c r="I454" s="9">
        <f t="shared" ca="1" si="22"/>
        <v>6</v>
      </c>
      <c r="J454" s="8" t="s">
        <v>19</v>
      </c>
      <c r="K454" s="7">
        <v>75780</v>
      </c>
      <c r="L454" s="6">
        <v>2</v>
      </c>
      <c r="M454" s="31">
        <f t="shared" si="23"/>
        <v>75780</v>
      </c>
      <c r="N454" s="65"/>
      <c r="O454" s="14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5">
      <c r="A455" s="1" t="s">
        <v>324</v>
      </c>
      <c r="B455" s="12" t="s">
        <v>56</v>
      </c>
      <c r="C455" s="1" t="s">
        <v>28</v>
      </c>
      <c r="D455" s="11">
        <v>551132018</v>
      </c>
      <c r="E455" s="11">
        <v>2525796953</v>
      </c>
      <c r="F455" s="1" t="s">
        <v>5</v>
      </c>
      <c r="G455" s="4">
        <f>39824+(364+182)</f>
        <v>40370</v>
      </c>
      <c r="H455" s="67" t="str">
        <f t="shared" si="21"/>
        <v>Jul</v>
      </c>
      <c r="I455" s="9">
        <f t="shared" ca="1" si="22"/>
        <v>6</v>
      </c>
      <c r="J455" s="8" t="s">
        <v>32</v>
      </c>
      <c r="K455" s="7">
        <v>66840</v>
      </c>
      <c r="L455" s="6">
        <v>4</v>
      </c>
      <c r="M455" s="31">
        <f t="shared" si="23"/>
        <v>66840</v>
      </c>
      <c r="N455" s="65"/>
      <c r="O455" s="14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5">
      <c r="A456" s="1" t="s">
        <v>323</v>
      </c>
      <c r="B456" s="12" t="s">
        <v>17</v>
      </c>
      <c r="C456" s="1" t="s">
        <v>9</v>
      </c>
      <c r="D456" s="11">
        <v>397835298</v>
      </c>
      <c r="E456" s="11">
        <v>9196795200</v>
      </c>
      <c r="F456" s="1" t="s">
        <v>12</v>
      </c>
      <c r="G456" s="4">
        <f>39826+(364+182)</f>
        <v>40372</v>
      </c>
      <c r="H456" s="67" t="str">
        <f t="shared" si="21"/>
        <v>Jul</v>
      </c>
      <c r="I456" s="9">
        <f t="shared" ca="1" si="22"/>
        <v>6</v>
      </c>
      <c r="J456" s="8"/>
      <c r="K456" s="7">
        <v>75100</v>
      </c>
      <c r="L456" s="6">
        <v>4</v>
      </c>
      <c r="M456" s="31">
        <f t="shared" si="23"/>
        <v>75100</v>
      </c>
      <c r="N456" s="65"/>
      <c r="O456" s="14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5">
      <c r="A457" s="1" t="s">
        <v>322</v>
      </c>
      <c r="B457" s="12" t="s">
        <v>56</v>
      </c>
      <c r="C457" s="1" t="s">
        <v>1</v>
      </c>
      <c r="D457" s="11">
        <v>383616821</v>
      </c>
      <c r="E457" s="11">
        <v>2524989537</v>
      </c>
      <c r="F457" s="1" t="s">
        <v>5</v>
      </c>
      <c r="G457" s="4">
        <f>39838+(364+182)</f>
        <v>40384</v>
      </c>
      <c r="H457" s="67" t="str">
        <f t="shared" si="21"/>
        <v>Jul</v>
      </c>
      <c r="I457" s="9">
        <f t="shared" ca="1" si="22"/>
        <v>6</v>
      </c>
      <c r="J457" s="8" t="s">
        <v>32</v>
      </c>
      <c r="K457" s="7">
        <v>46680</v>
      </c>
      <c r="L457" s="6">
        <v>1</v>
      </c>
      <c r="M457" s="31">
        <f t="shared" si="23"/>
        <v>46680</v>
      </c>
      <c r="N457" s="65"/>
      <c r="O457" s="14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5">
      <c r="A458" s="1" t="s">
        <v>321</v>
      </c>
      <c r="B458" s="12" t="s">
        <v>17</v>
      </c>
      <c r="C458" s="1" t="s">
        <v>22</v>
      </c>
      <c r="D458" s="11">
        <v>456809622</v>
      </c>
      <c r="E458" s="11">
        <v>2523046338</v>
      </c>
      <c r="F458" s="1" t="s">
        <v>5</v>
      </c>
      <c r="G458" s="4">
        <f>32552+(364+182)</f>
        <v>33098</v>
      </c>
      <c r="H458" s="67" t="str">
        <f t="shared" si="21"/>
        <v>Aug</v>
      </c>
      <c r="I458" s="9">
        <f t="shared" ca="1" si="22"/>
        <v>26</v>
      </c>
      <c r="J458" s="8" t="s">
        <v>32</v>
      </c>
      <c r="K458" s="7">
        <v>48080</v>
      </c>
      <c r="L458" s="6">
        <v>2</v>
      </c>
      <c r="M458" s="31">
        <f t="shared" si="23"/>
        <v>48080</v>
      </c>
      <c r="N458" s="65"/>
      <c r="O458" s="14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5">
      <c r="A459" s="1" t="s">
        <v>320</v>
      </c>
      <c r="B459" s="12" t="s">
        <v>13</v>
      </c>
      <c r="C459" s="1" t="s">
        <v>74</v>
      </c>
      <c r="D459" s="11">
        <v>852430023</v>
      </c>
      <c r="E459" s="11">
        <v>9195506190</v>
      </c>
      <c r="F459" s="1" t="s">
        <v>15</v>
      </c>
      <c r="G459" s="4">
        <f>32566+(364+182)</f>
        <v>33112</v>
      </c>
      <c r="H459" s="67" t="str">
        <f t="shared" si="21"/>
        <v>Aug</v>
      </c>
      <c r="I459" s="9">
        <f t="shared" ca="1" si="22"/>
        <v>26</v>
      </c>
      <c r="J459" s="8" t="s">
        <v>19</v>
      </c>
      <c r="K459" s="7">
        <v>24815</v>
      </c>
      <c r="L459" s="6">
        <v>1</v>
      </c>
      <c r="M459" s="31">
        <f t="shared" si="23"/>
        <v>24815</v>
      </c>
      <c r="N459" s="65"/>
      <c r="O459" s="14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5">
      <c r="A460" s="1" t="s">
        <v>319</v>
      </c>
      <c r="B460" s="12" t="s">
        <v>17</v>
      </c>
      <c r="C460" s="1" t="s">
        <v>74</v>
      </c>
      <c r="D460" s="11">
        <v>134557291</v>
      </c>
      <c r="E460" s="11">
        <v>2525536623</v>
      </c>
      <c r="F460" s="1" t="s">
        <v>5</v>
      </c>
      <c r="G460" s="4">
        <f>32567+(364+182)</f>
        <v>33113</v>
      </c>
      <c r="H460" s="67" t="str">
        <f t="shared" si="21"/>
        <v>Aug</v>
      </c>
      <c r="I460" s="9">
        <f t="shared" ca="1" si="22"/>
        <v>26</v>
      </c>
      <c r="J460" s="8" t="s">
        <v>32</v>
      </c>
      <c r="K460" s="7">
        <v>32600</v>
      </c>
      <c r="L460" s="6">
        <v>5</v>
      </c>
      <c r="M460" s="31">
        <f t="shared" si="23"/>
        <v>32600</v>
      </c>
      <c r="N460" s="65"/>
      <c r="O460" s="14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5">
      <c r="A461" s="1" t="s">
        <v>318</v>
      </c>
      <c r="B461" s="12" t="s">
        <v>56</v>
      </c>
      <c r="C461" s="1" t="s">
        <v>52</v>
      </c>
      <c r="D461" s="11">
        <v>593584018</v>
      </c>
      <c r="E461" s="11">
        <v>9194626281</v>
      </c>
      <c r="F461" s="1" t="s">
        <v>5</v>
      </c>
      <c r="G461" s="4">
        <f>32908+(364+182)</f>
        <v>33454</v>
      </c>
      <c r="H461" s="67" t="str">
        <f t="shared" si="21"/>
        <v>Aug</v>
      </c>
      <c r="I461" s="9">
        <f t="shared" ca="1" si="22"/>
        <v>25</v>
      </c>
      <c r="J461" s="8" t="s">
        <v>32</v>
      </c>
      <c r="K461" s="7">
        <v>67920</v>
      </c>
      <c r="L461" s="6">
        <v>4</v>
      </c>
      <c r="M461" s="31">
        <f t="shared" si="23"/>
        <v>67920</v>
      </c>
      <c r="N461" s="65"/>
      <c r="O461" s="14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5">
      <c r="A462" s="1" t="s">
        <v>317</v>
      </c>
      <c r="B462" s="12" t="s">
        <v>13</v>
      </c>
      <c r="C462" s="1" t="s">
        <v>28</v>
      </c>
      <c r="D462" s="11">
        <v>959568761</v>
      </c>
      <c r="E462" s="11">
        <v>9194744493</v>
      </c>
      <c r="F462" s="1" t="s">
        <v>5</v>
      </c>
      <c r="G462" s="4">
        <f>32911+(364+182)</f>
        <v>33457</v>
      </c>
      <c r="H462" s="67" t="str">
        <f t="shared" si="21"/>
        <v>Aug</v>
      </c>
      <c r="I462" s="9">
        <f t="shared" ca="1" si="22"/>
        <v>25</v>
      </c>
      <c r="J462" s="8" t="s">
        <v>19</v>
      </c>
      <c r="K462" s="7">
        <v>61470</v>
      </c>
      <c r="L462" s="6">
        <v>5</v>
      </c>
      <c r="M462" s="31">
        <f t="shared" si="23"/>
        <v>61470</v>
      </c>
      <c r="N462" s="65"/>
      <c r="O462" s="14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5">
      <c r="A463" s="1" t="s">
        <v>316</v>
      </c>
      <c r="B463" s="12" t="s">
        <v>17</v>
      </c>
      <c r="C463" s="1" t="s">
        <v>74</v>
      </c>
      <c r="D463" s="11">
        <v>904790184</v>
      </c>
      <c r="E463" s="11">
        <v>9191876990</v>
      </c>
      <c r="F463" s="1" t="s">
        <v>5</v>
      </c>
      <c r="G463" s="4">
        <f>32914+(364+182)</f>
        <v>33460</v>
      </c>
      <c r="H463" s="67" t="str">
        <f t="shared" si="21"/>
        <v>Aug</v>
      </c>
      <c r="I463" s="9">
        <f t="shared" ca="1" si="22"/>
        <v>25</v>
      </c>
      <c r="J463" s="8" t="s">
        <v>4</v>
      </c>
      <c r="K463" s="7">
        <v>77720</v>
      </c>
      <c r="L463" s="6">
        <v>3</v>
      </c>
      <c r="M463" s="31">
        <f t="shared" si="23"/>
        <v>77720</v>
      </c>
      <c r="N463" s="65"/>
      <c r="O463" s="14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5">
      <c r="A464" s="1" t="s">
        <v>315</v>
      </c>
      <c r="B464" s="12" t="s">
        <v>17</v>
      </c>
      <c r="C464" s="1" t="s">
        <v>22</v>
      </c>
      <c r="D464" s="11">
        <v>503036433</v>
      </c>
      <c r="E464" s="11">
        <v>9192453666</v>
      </c>
      <c r="F464" s="1" t="s">
        <v>5</v>
      </c>
      <c r="G464" s="4">
        <f>32914+(364+182)</f>
        <v>33460</v>
      </c>
      <c r="H464" s="67" t="str">
        <f t="shared" si="21"/>
        <v>Aug</v>
      </c>
      <c r="I464" s="9">
        <f t="shared" ca="1" si="22"/>
        <v>25</v>
      </c>
      <c r="J464" s="8" t="s">
        <v>19</v>
      </c>
      <c r="K464" s="7">
        <v>77740</v>
      </c>
      <c r="L464" s="6">
        <v>1</v>
      </c>
      <c r="M464" s="31">
        <f t="shared" si="23"/>
        <v>77740</v>
      </c>
      <c r="N464" s="65"/>
      <c r="O464" s="14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5">
      <c r="A465" s="1" t="s">
        <v>314</v>
      </c>
      <c r="B465" s="12" t="s">
        <v>13</v>
      </c>
      <c r="C465" s="1" t="s">
        <v>26</v>
      </c>
      <c r="D465" s="11">
        <v>768215237</v>
      </c>
      <c r="E465" s="11">
        <v>9195993367</v>
      </c>
      <c r="F465" s="1" t="s">
        <v>15</v>
      </c>
      <c r="G465" s="4">
        <f>32926+(364+182)</f>
        <v>33472</v>
      </c>
      <c r="H465" s="67" t="str">
        <f t="shared" si="21"/>
        <v>Aug</v>
      </c>
      <c r="I465" s="9">
        <f t="shared" ca="1" si="22"/>
        <v>25</v>
      </c>
      <c r="J465" s="8" t="s">
        <v>34</v>
      </c>
      <c r="K465" s="7">
        <v>13800</v>
      </c>
      <c r="L465" s="6">
        <v>3</v>
      </c>
      <c r="M465" s="31">
        <f t="shared" si="23"/>
        <v>13800</v>
      </c>
      <c r="N465" s="65"/>
      <c r="O465" s="14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5">
      <c r="A466" s="14" t="s">
        <v>313</v>
      </c>
      <c r="B466" s="12" t="s">
        <v>17</v>
      </c>
      <c r="C466" s="14" t="s">
        <v>37</v>
      </c>
      <c r="D466" s="15">
        <v>535539723</v>
      </c>
      <c r="E466" s="15">
        <v>2523492633</v>
      </c>
      <c r="F466" s="14" t="s">
        <v>15</v>
      </c>
      <c r="G466" s="10">
        <f>32928+(364+182)</f>
        <v>33474</v>
      </c>
      <c r="H466" s="67" t="str">
        <f t="shared" si="21"/>
        <v>Aug</v>
      </c>
      <c r="I466" s="9">
        <f t="shared" ca="1" si="22"/>
        <v>25</v>
      </c>
      <c r="J466" s="8" t="s">
        <v>34</v>
      </c>
      <c r="K466" s="7">
        <v>30445</v>
      </c>
      <c r="L466" s="6">
        <v>1</v>
      </c>
      <c r="M466" s="31">
        <f t="shared" si="23"/>
        <v>30445</v>
      </c>
      <c r="N466" s="65"/>
      <c r="O466" s="68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5">
      <c r="A467" s="1" t="s">
        <v>312</v>
      </c>
      <c r="B467" s="12" t="s">
        <v>17</v>
      </c>
      <c r="C467" s="1" t="s">
        <v>20</v>
      </c>
      <c r="D467" s="11">
        <v>910964196</v>
      </c>
      <c r="E467" s="11">
        <v>9194361873</v>
      </c>
      <c r="F467" s="1" t="s">
        <v>12</v>
      </c>
      <c r="G467" s="4">
        <f>33273+(364+182)</f>
        <v>33819</v>
      </c>
      <c r="H467" s="67" t="str">
        <f t="shared" si="21"/>
        <v>Aug</v>
      </c>
      <c r="I467" s="9">
        <f t="shared" ca="1" si="22"/>
        <v>24</v>
      </c>
      <c r="J467" s="8"/>
      <c r="K467" s="7">
        <v>49530</v>
      </c>
      <c r="L467" s="6">
        <v>2</v>
      </c>
      <c r="M467" s="31">
        <f t="shared" si="23"/>
        <v>49530</v>
      </c>
      <c r="N467" s="65"/>
      <c r="O467" s="14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5">
      <c r="A468" s="1" t="s">
        <v>311</v>
      </c>
      <c r="B468" s="12" t="s">
        <v>39</v>
      </c>
      <c r="C468" s="1" t="s">
        <v>6</v>
      </c>
      <c r="D468" s="11">
        <v>610340294</v>
      </c>
      <c r="E468" s="11">
        <v>9198443818</v>
      </c>
      <c r="F468" s="1" t="s">
        <v>12</v>
      </c>
      <c r="G468" s="4">
        <f>33274+(364+182)</f>
        <v>33820</v>
      </c>
      <c r="H468" s="67" t="str">
        <f t="shared" si="21"/>
        <v>Aug</v>
      </c>
      <c r="I468" s="9">
        <f t="shared" ca="1" si="22"/>
        <v>24</v>
      </c>
      <c r="J468" s="8"/>
      <c r="K468" s="7">
        <v>70300</v>
      </c>
      <c r="L468" s="6">
        <v>3</v>
      </c>
      <c r="M468" s="31">
        <f t="shared" si="23"/>
        <v>70300</v>
      </c>
      <c r="N468" s="65"/>
      <c r="O468" s="14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5">
      <c r="A469" s="1" t="s">
        <v>310</v>
      </c>
      <c r="B469" s="12" t="s">
        <v>13</v>
      </c>
      <c r="C469" s="1" t="s">
        <v>44</v>
      </c>
      <c r="D469" s="11">
        <v>685953695</v>
      </c>
      <c r="E469" s="11">
        <v>9196756847</v>
      </c>
      <c r="F469" s="1" t="s">
        <v>5</v>
      </c>
      <c r="G469" s="4">
        <f>33277+(364+182)</f>
        <v>33823</v>
      </c>
      <c r="H469" s="67" t="str">
        <f t="shared" si="21"/>
        <v>Aug</v>
      </c>
      <c r="I469" s="9">
        <f t="shared" ca="1" si="22"/>
        <v>24</v>
      </c>
      <c r="J469" s="8" t="s">
        <v>4</v>
      </c>
      <c r="K469" s="7">
        <v>82760</v>
      </c>
      <c r="L469" s="6">
        <v>4</v>
      </c>
      <c r="M469" s="31">
        <f t="shared" si="23"/>
        <v>82760</v>
      </c>
      <c r="N469" s="65"/>
      <c r="O469" s="14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5">
      <c r="A470" s="1" t="s">
        <v>309</v>
      </c>
      <c r="B470" s="12" t="s">
        <v>13</v>
      </c>
      <c r="C470" s="1" t="s">
        <v>37</v>
      </c>
      <c r="D470" s="11">
        <v>608796012</v>
      </c>
      <c r="E470" s="11">
        <v>9194075460</v>
      </c>
      <c r="F470" s="1" t="s">
        <v>5</v>
      </c>
      <c r="G470" s="4">
        <f>33285+(364+182)</f>
        <v>33831</v>
      </c>
      <c r="H470" s="67" t="str">
        <f t="shared" si="21"/>
        <v>Aug</v>
      </c>
      <c r="I470" s="9">
        <f t="shared" ca="1" si="22"/>
        <v>24</v>
      </c>
      <c r="J470" s="8" t="s">
        <v>32</v>
      </c>
      <c r="K470" s="7">
        <v>79760</v>
      </c>
      <c r="L470" s="6">
        <v>5</v>
      </c>
      <c r="M470" s="31">
        <f t="shared" si="23"/>
        <v>79760</v>
      </c>
      <c r="N470" s="65"/>
      <c r="O470" s="14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5">
      <c r="A471" s="1" t="s">
        <v>308</v>
      </c>
      <c r="B471" s="12" t="s">
        <v>10</v>
      </c>
      <c r="C471" s="1" t="s">
        <v>95</v>
      </c>
      <c r="D471" s="11">
        <v>742946482</v>
      </c>
      <c r="E471" s="11">
        <v>9197077326</v>
      </c>
      <c r="F471" s="1" t="s">
        <v>5</v>
      </c>
      <c r="G471" s="4">
        <f>33286+(364+182)</f>
        <v>33832</v>
      </c>
      <c r="H471" s="67" t="str">
        <f t="shared" si="21"/>
        <v>Aug</v>
      </c>
      <c r="I471" s="9">
        <f t="shared" ca="1" si="22"/>
        <v>24</v>
      </c>
      <c r="J471" s="8" t="s">
        <v>32</v>
      </c>
      <c r="K471" s="7">
        <v>39160</v>
      </c>
      <c r="L471" s="6">
        <v>3</v>
      </c>
      <c r="M471" s="31">
        <f t="shared" si="23"/>
        <v>39160</v>
      </c>
      <c r="N471" s="65"/>
      <c r="O471" s="14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5">
      <c r="A472" s="14" t="s">
        <v>307</v>
      </c>
      <c r="B472" s="12" t="s">
        <v>56</v>
      </c>
      <c r="C472" s="14" t="s">
        <v>30</v>
      </c>
      <c r="D472" s="15">
        <v>411526157</v>
      </c>
      <c r="E472" s="15">
        <v>9195818082</v>
      </c>
      <c r="F472" s="14" t="s">
        <v>0</v>
      </c>
      <c r="G472" s="10">
        <f>33300+(364+182)</f>
        <v>33846</v>
      </c>
      <c r="H472" s="67" t="str">
        <f t="shared" si="21"/>
        <v>Aug</v>
      </c>
      <c r="I472" s="9">
        <f t="shared" ca="1" si="22"/>
        <v>24</v>
      </c>
      <c r="J472" s="8"/>
      <c r="K472" s="7">
        <v>35680</v>
      </c>
      <c r="L472" s="6">
        <v>2</v>
      </c>
      <c r="M472" s="31">
        <f t="shared" si="23"/>
        <v>35680</v>
      </c>
      <c r="N472" s="65"/>
      <c r="O472" s="68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5">
      <c r="A473" s="1" t="s">
        <v>306</v>
      </c>
      <c r="B473" s="12" t="s">
        <v>13</v>
      </c>
      <c r="C473" s="1" t="s">
        <v>26</v>
      </c>
      <c r="D473" s="11">
        <v>870106287</v>
      </c>
      <c r="E473" s="11">
        <v>2528611970</v>
      </c>
      <c r="F473" s="1" t="s">
        <v>15</v>
      </c>
      <c r="G473" s="4">
        <f>34002+(364+182)</f>
        <v>34548</v>
      </c>
      <c r="H473" s="67" t="str">
        <f t="shared" si="21"/>
        <v>Aug</v>
      </c>
      <c r="I473" s="9">
        <f t="shared" ca="1" si="22"/>
        <v>22</v>
      </c>
      <c r="J473" s="8" t="s">
        <v>8</v>
      </c>
      <c r="K473" s="7">
        <v>38920</v>
      </c>
      <c r="L473" s="6">
        <v>4</v>
      </c>
      <c r="M473" s="31">
        <f t="shared" si="23"/>
        <v>38920</v>
      </c>
      <c r="N473" s="65"/>
      <c r="O473" s="14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5">
      <c r="A474" s="1" t="s">
        <v>305</v>
      </c>
      <c r="B474" s="12" t="s">
        <v>13</v>
      </c>
      <c r="C474" s="1" t="s">
        <v>72</v>
      </c>
      <c r="D474" s="11">
        <v>661397587</v>
      </c>
      <c r="E474" s="11">
        <v>9196126835</v>
      </c>
      <c r="F474" s="1" t="s">
        <v>12</v>
      </c>
      <c r="G474" s="4">
        <f>34366+(364+182)</f>
        <v>34912</v>
      </c>
      <c r="H474" s="67" t="str">
        <f t="shared" si="21"/>
        <v>Aug</v>
      </c>
      <c r="I474" s="9">
        <f t="shared" ca="1" si="22"/>
        <v>21</v>
      </c>
      <c r="J474" s="8"/>
      <c r="K474" s="7">
        <v>40560</v>
      </c>
      <c r="L474" s="6">
        <v>5</v>
      </c>
      <c r="M474" s="31">
        <f t="shared" si="23"/>
        <v>40560</v>
      </c>
      <c r="N474" s="65"/>
      <c r="O474" s="14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5">
      <c r="A475" s="1" t="s">
        <v>304</v>
      </c>
      <c r="B475" s="12" t="s">
        <v>10</v>
      </c>
      <c r="C475" s="1" t="s">
        <v>22</v>
      </c>
      <c r="D475" s="11">
        <v>445693854</v>
      </c>
      <c r="E475" s="11">
        <v>9192891217</v>
      </c>
      <c r="F475" s="1" t="s">
        <v>12</v>
      </c>
      <c r="G475" s="4">
        <f>34369+(364+182)</f>
        <v>34915</v>
      </c>
      <c r="H475" s="67" t="str">
        <f t="shared" si="21"/>
        <v>Aug</v>
      </c>
      <c r="I475" s="9">
        <f t="shared" ca="1" si="22"/>
        <v>21</v>
      </c>
      <c r="J475" s="8"/>
      <c r="K475" s="7">
        <v>76870</v>
      </c>
      <c r="L475" s="6">
        <v>5</v>
      </c>
      <c r="M475" s="31">
        <f t="shared" si="23"/>
        <v>76870</v>
      </c>
      <c r="N475" s="65"/>
      <c r="O475" s="14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5">
      <c r="A476" s="1" t="s">
        <v>303</v>
      </c>
      <c r="B476" s="12" t="s">
        <v>10</v>
      </c>
      <c r="C476" s="1" t="s">
        <v>6</v>
      </c>
      <c r="D476" s="11">
        <v>749768847</v>
      </c>
      <c r="E476" s="11">
        <v>2528552110</v>
      </c>
      <c r="F476" s="1" t="s">
        <v>12</v>
      </c>
      <c r="G476" s="4">
        <f>34734+(364+182)</f>
        <v>35280</v>
      </c>
      <c r="H476" s="67" t="str">
        <f t="shared" si="21"/>
        <v>Aug</v>
      </c>
      <c r="I476" s="9">
        <f t="shared" ca="1" si="22"/>
        <v>20</v>
      </c>
      <c r="J476" s="8"/>
      <c r="K476" s="7">
        <v>41770</v>
      </c>
      <c r="L476" s="6">
        <v>5</v>
      </c>
      <c r="M476" s="31">
        <f t="shared" si="23"/>
        <v>41770</v>
      </c>
      <c r="N476" s="65"/>
      <c r="O476" s="14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5">
      <c r="A477" s="1" t="s">
        <v>302</v>
      </c>
      <c r="B477" s="12" t="s">
        <v>56</v>
      </c>
      <c r="C477" s="1" t="s">
        <v>60</v>
      </c>
      <c r="D477" s="11">
        <v>634954970</v>
      </c>
      <c r="E477" s="11">
        <v>9194900864</v>
      </c>
      <c r="F477" s="1" t="s">
        <v>5</v>
      </c>
      <c r="G477" s="4">
        <f>34736+(364+182)</f>
        <v>35282</v>
      </c>
      <c r="H477" s="67" t="str">
        <f t="shared" si="21"/>
        <v>Aug</v>
      </c>
      <c r="I477" s="9">
        <f t="shared" ca="1" si="22"/>
        <v>20</v>
      </c>
      <c r="J477" s="8" t="s">
        <v>32</v>
      </c>
      <c r="K477" s="7">
        <v>57560</v>
      </c>
      <c r="L477" s="6">
        <v>4</v>
      </c>
      <c r="M477" s="31">
        <f t="shared" si="23"/>
        <v>57560</v>
      </c>
      <c r="N477" s="65"/>
      <c r="O477" s="14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5">
      <c r="A478" s="1" t="s">
        <v>301</v>
      </c>
      <c r="B478" s="12" t="s">
        <v>39</v>
      </c>
      <c r="C478" s="1" t="s">
        <v>22</v>
      </c>
      <c r="D478" s="11">
        <v>174159111</v>
      </c>
      <c r="E478" s="11">
        <v>9191675237</v>
      </c>
      <c r="F478" s="1" t="s">
        <v>5</v>
      </c>
      <c r="G478" s="4">
        <f>34740+(364+182)</f>
        <v>35286</v>
      </c>
      <c r="H478" s="67" t="str">
        <f t="shared" si="21"/>
        <v>Aug</v>
      </c>
      <c r="I478" s="9">
        <f t="shared" ca="1" si="22"/>
        <v>20</v>
      </c>
      <c r="J478" s="8" t="s">
        <v>34</v>
      </c>
      <c r="K478" s="7">
        <v>72700</v>
      </c>
      <c r="L478" s="6">
        <v>5</v>
      </c>
      <c r="M478" s="31">
        <f t="shared" si="23"/>
        <v>72700</v>
      </c>
      <c r="N478" s="65"/>
      <c r="O478" s="14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5">
      <c r="A479" s="1" t="s">
        <v>300</v>
      </c>
      <c r="B479" s="12" t="s">
        <v>2</v>
      </c>
      <c r="C479" s="1" t="s">
        <v>6</v>
      </c>
      <c r="D479" s="11">
        <v>758001890</v>
      </c>
      <c r="E479" s="11">
        <v>2521202348</v>
      </c>
      <c r="F479" s="1" t="s">
        <v>15</v>
      </c>
      <c r="G479" s="4">
        <f>34751+(364+182)</f>
        <v>35297</v>
      </c>
      <c r="H479" s="67" t="str">
        <f t="shared" si="21"/>
        <v>Aug</v>
      </c>
      <c r="I479" s="9">
        <f t="shared" ca="1" si="22"/>
        <v>20</v>
      </c>
      <c r="J479" s="8" t="s">
        <v>4</v>
      </c>
      <c r="K479" s="7">
        <v>38105</v>
      </c>
      <c r="L479" s="6">
        <v>2</v>
      </c>
      <c r="M479" s="31">
        <f t="shared" si="23"/>
        <v>38105</v>
      </c>
      <c r="N479" s="65"/>
      <c r="O479" s="14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5">
      <c r="A480" s="1" t="s">
        <v>299</v>
      </c>
      <c r="B480" s="12" t="s">
        <v>13</v>
      </c>
      <c r="C480" s="1" t="s">
        <v>22</v>
      </c>
      <c r="D480" s="11">
        <v>556327593</v>
      </c>
      <c r="E480" s="11">
        <v>2523324762</v>
      </c>
      <c r="F480" s="1" t="s">
        <v>12</v>
      </c>
      <c r="G480" s="4">
        <f>34755+(364+182)</f>
        <v>35301</v>
      </c>
      <c r="H480" s="67" t="str">
        <f t="shared" si="21"/>
        <v>Aug</v>
      </c>
      <c r="I480" s="9">
        <f t="shared" ca="1" si="22"/>
        <v>20</v>
      </c>
      <c r="J480" s="8"/>
      <c r="K480" s="7">
        <v>60070</v>
      </c>
      <c r="L480" s="6">
        <v>2</v>
      </c>
      <c r="M480" s="31">
        <f t="shared" si="23"/>
        <v>60070</v>
      </c>
      <c r="N480" s="65"/>
      <c r="O480" s="14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5">
      <c r="A481" s="1" t="s">
        <v>298</v>
      </c>
      <c r="B481" s="12" t="s">
        <v>56</v>
      </c>
      <c r="C481" s="1" t="s">
        <v>6</v>
      </c>
      <c r="D481" s="11">
        <v>799754905</v>
      </c>
      <c r="E481" s="11">
        <v>2526757210</v>
      </c>
      <c r="F481" s="1" t="s">
        <v>5</v>
      </c>
      <c r="G481" s="4">
        <f>34761+(364+182)</f>
        <v>35307</v>
      </c>
      <c r="H481" s="67" t="str">
        <f t="shared" si="21"/>
        <v>Aug</v>
      </c>
      <c r="I481" s="9">
        <f t="shared" ca="1" si="22"/>
        <v>20</v>
      </c>
      <c r="J481" s="8" t="s">
        <v>32</v>
      </c>
      <c r="K481" s="7">
        <v>31690</v>
      </c>
      <c r="L481" s="6">
        <v>4</v>
      </c>
      <c r="M481" s="31">
        <f t="shared" si="23"/>
        <v>31690</v>
      </c>
      <c r="N481" s="65"/>
      <c r="O481" s="14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5">
      <c r="A482" s="1" t="s">
        <v>297</v>
      </c>
      <c r="B482" s="12" t="s">
        <v>39</v>
      </c>
      <c r="C482" s="1" t="s">
        <v>26</v>
      </c>
      <c r="D482" s="11">
        <v>415228597</v>
      </c>
      <c r="E482" s="11">
        <v>9196252690</v>
      </c>
      <c r="F482" s="1" t="s">
        <v>5</v>
      </c>
      <c r="G482" s="4">
        <f>35121+(364+182)</f>
        <v>35667</v>
      </c>
      <c r="H482" s="67" t="str">
        <f t="shared" si="21"/>
        <v>Aug</v>
      </c>
      <c r="I482" s="9">
        <f t="shared" ca="1" si="22"/>
        <v>19</v>
      </c>
      <c r="J482" s="8" t="s">
        <v>32</v>
      </c>
      <c r="K482" s="7">
        <v>40920</v>
      </c>
      <c r="L482" s="6">
        <v>4</v>
      </c>
      <c r="M482" s="31">
        <f t="shared" si="23"/>
        <v>40920</v>
      </c>
      <c r="N482" s="65"/>
      <c r="O482" s="14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5">
      <c r="A483" s="1" t="s">
        <v>296</v>
      </c>
      <c r="B483" s="12" t="s">
        <v>13</v>
      </c>
      <c r="C483" s="1" t="s">
        <v>44</v>
      </c>
      <c r="D483" s="11">
        <v>195245117</v>
      </c>
      <c r="E483" s="11">
        <v>9193451072</v>
      </c>
      <c r="F483" s="1" t="s">
        <v>0</v>
      </c>
      <c r="G483" s="4">
        <f>35127+(364+182)</f>
        <v>35673</v>
      </c>
      <c r="H483" s="67" t="str">
        <f t="shared" si="21"/>
        <v>Aug</v>
      </c>
      <c r="I483" s="9">
        <f t="shared" ca="1" si="22"/>
        <v>19</v>
      </c>
      <c r="J483" s="8"/>
      <c r="K483" s="7">
        <v>12676</v>
      </c>
      <c r="L483" s="6">
        <v>2</v>
      </c>
      <c r="M483" s="31">
        <f t="shared" si="23"/>
        <v>12676</v>
      </c>
      <c r="N483" s="65"/>
      <c r="O483" s="14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5">
      <c r="A484" s="1" t="s">
        <v>295</v>
      </c>
      <c r="B484" s="12" t="s">
        <v>17</v>
      </c>
      <c r="C484" s="1" t="s">
        <v>20</v>
      </c>
      <c r="D484" s="11">
        <v>470719383</v>
      </c>
      <c r="E484" s="11">
        <v>9197848542</v>
      </c>
      <c r="F484" s="1" t="s">
        <v>5</v>
      </c>
      <c r="G484" s="4">
        <f>35463+(364+182)</f>
        <v>36009</v>
      </c>
      <c r="H484" s="67" t="str">
        <f t="shared" si="21"/>
        <v>Aug</v>
      </c>
      <c r="I484" s="9">
        <f t="shared" ca="1" si="22"/>
        <v>18</v>
      </c>
      <c r="J484" s="8" t="s">
        <v>32</v>
      </c>
      <c r="K484" s="7">
        <v>75120</v>
      </c>
      <c r="L484" s="6">
        <v>5</v>
      </c>
      <c r="M484" s="31">
        <f t="shared" si="23"/>
        <v>75120</v>
      </c>
      <c r="N484" s="65"/>
      <c r="O484" s="14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5">
      <c r="A485" s="1" t="s">
        <v>294</v>
      </c>
      <c r="B485" s="12" t="s">
        <v>10</v>
      </c>
      <c r="C485" s="1" t="s">
        <v>20</v>
      </c>
      <c r="D485" s="11">
        <v>596008829</v>
      </c>
      <c r="E485" s="11">
        <v>9198721709</v>
      </c>
      <c r="F485" s="1" t="s">
        <v>12</v>
      </c>
      <c r="G485" s="4">
        <f>35465+(364+182)</f>
        <v>36011</v>
      </c>
      <c r="H485" s="67" t="str">
        <f t="shared" si="21"/>
        <v>Aug</v>
      </c>
      <c r="I485" s="9">
        <f t="shared" ca="1" si="22"/>
        <v>18</v>
      </c>
      <c r="J485" s="8"/>
      <c r="K485" s="7">
        <v>45050</v>
      </c>
      <c r="L485" s="6">
        <v>1</v>
      </c>
      <c r="M485" s="31">
        <f t="shared" si="23"/>
        <v>45050</v>
      </c>
      <c r="N485" s="65"/>
      <c r="O485" s="14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5">
      <c r="A486" s="1" t="s">
        <v>293</v>
      </c>
      <c r="B486" s="12" t="s">
        <v>17</v>
      </c>
      <c r="C486" s="1" t="s">
        <v>52</v>
      </c>
      <c r="D486" s="11">
        <v>644489557</v>
      </c>
      <c r="E486" s="11">
        <v>2526532463</v>
      </c>
      <c r="F486" s="1" t="s">
        <v>5</v>
      </c>
      <c r="G486" s="4">
        <f>35466+(364+182)</f>
        <v>36012</v>
      </c>
      <c r="H486" s="67" t="str">
        <f t="shared" si="21"/>
        <v>Aug</v>
      </c>
      <c r="I486" s="9">
        <f t="shared" ca="1" si="22"/>
        <v>18</v>
      </c>
      <c r="J486" s="8" t="s">
        <v>34</v>
      </c>
      <c r="K486" s="7">
        <v>78950</v>
      </c>
      <c r="L486" s="6">
        <v>1</v>
      </c>
      <c r="M486" s="31">
        <f t="shared" si="23"/>
        <v>78950</v>
      </c>
      <c r="N486" s="65"/>
      <c r="O486" s="14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5">
      <c r="A487" s="1" t="s">
        <v>292</v>
      </c>
      <c r="B487" s="12" t="s">
        <v>13</v>
      </c>
      <c r="C487" s="1" t="s">
        <v>6</v>
      </c>
      <c r="D487" s="11">
        <v>249416723</v>
      </c>
      <c r="E487" s="11">
        <v>2521628807</v>
      </c>
      <c r="F487" s="1" t="s">
        <v>5</v>
      </c>
      <c r="G487" s="4">
        <f>35479+(364+182)</f>
        <v>36025</v>
      </c>
      <c r="H487" s="67" t="str">
        <f t="shared" si="21"/>
        <v>Aug</v>
      </c>
      <c r="I487" s="9">
        <f t="shared" ca="1" si="22"/>
        <v>18</v>
      </c>
      <c r="J487" s="8" t="s">
        <v>34</v>
      </c>
      <c r="K487" s="7">
        <v>64470</v>
      </c>
      <c r="L487" s="6">
        <v>5</v>
      </c>
      <c r="M487" s="31">
        <f t="shared" si="23"/>
        <v>64470</v>
      </c>
      <c r="N487" s="65"/>
      <c r="O487" s="14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5">
      <c r="A488" s="1" t="s">
        <v>291</v>
      </c>
      <c r="B488" s="12" t="s">
        <v>13</v>
      </c>
      <c r="C488" s="1" t="s">
        <v>22</v>
      </c>
      <c r="D488" s="11">
        <v>699386024</v>
      </c>
      <c r="E488" s="11">
        <v>2525842116</v>
      </c>
      <c r="F488" s="1" t="s">
        <v>0</v>
      </c>
      <c r="G488" s="4">
        <f>35482+(364+182)</f>
        <v>36028</v>
      </c>
      <c r="H488" s="67" t="str">
        <f t="shared" si="21"/>
        <v>Aug</v>
      </c>
      <c r="I488" s="9">
        <f t="shared" ca="1" si="22"/>
        <v>18</v>
      </c>
      <c r="J488" s="8"/>
      <c r="K488" s="7">
        <v>16688</v>
      </c>
      <c r="L488" s="6">
        <v>3</v>
      </c>
      <c r="M488" s="31">
        <f t="shared" si="23"/>
        <v>16688</v>
      </c>
      <c r="N488" s="65"/>
      <c r="O488" s="14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5">
      <c r="A489" s="1" t="s">
        <v>290</v>
      </c>
      <c r="B489" s="12" t="s">
        <v>10</v>
      </c>
      <c r="C489" s="1" t="s">
        <v>26</v>
      </c>
      <c r="D489" s="11">
        <v>163292583</v>
      </c>
      <c r="E489" s="11">
        <v>2522005810</v>
      </c>
      <c r="F489" s="1" t="s">
        <v>12</v>
      </c>
      <c r="G489" s="4">
        <f>35492+(364+182)</f>
        <v>36038</v>
      </c>
      <c r="H489" s="67" t="str">
        <f t="shared" si="21"/>
        <v>Aug</v>
      </c>
      <c r="I489" s="9">
        <f t="shared" ca="1" si="22"/>
        <v>18</v>
      </c>
      <c r="J489" s="8"/>
      <c r="K489" s="7">
        <v>30340</v>
      </c>
      <c r="L489" s="6">
        <v>3</v>
      </c>
      <c r="M489" s="31">
        <f t="shared" si="23"/>
        <v>30340</v>
      </c>
      <c r="N489" s="65"/>
      <c r="O489" s="14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5">
      <c r="A490" s="1" t="s">
        <v>289</v>
      </c>
      <c r="B490" s="12" t="s">
        <v>2</v>
      </c>
      <c r="C490" s="1" t="s">
        <v>22</v>
      </c>
      <c r="D490" s="11">
        <v>239847790</v>
      </c>
      <c r="E490" s="11">
        <v>2524045531</v>
      </c>
      <c r="F490" s="1" t="s">
        <v>12</v>
      </c>
      <c r="G490" s="4">
        <f>35829+(364+182)</f>
        <v>36375</v>
      </c>
      <c r="H490" s="67" t="str">
        <f t="shared" si="21"/>
        <v>Aug</v>
      </c>
      <c r="I490" s="9">
        <f t="shared" ca="1" si="22"/>
        <v>17</v>
      </c>
      <c r="J490" s="8"/>
      <c r="K490" s="7">
        <v>71300</v>
      </c>
      <c r="L490" s="6">
        <v>5</v>
      </c>
      <c r="M490" s="31">
        <f t="shared" si="23"/>
        <v>71300</v>
      </c>
      <c r="N490" s="65"/>
      <c r="O490" s="14"/>
      <c r="P490" s="5"/>
      <c r="Q490" s="5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5">
      <c r="A491" s="1" t="s">
        <v>288</v>
      </c>
      <c r="B491" s="12" t="s">
        <v>17</v>
      </c>
      <c r="C491" s="1" t="s">
        <v>22</v>
      </c>
      <c r="D491" s="11">
        <v>358017400</v>
      </c>
      <c r="E491" s="11">
        <v>2523265407</v>
      </c>
      <c r="F491" s="1" t="s">
        <v>0</v>
      </c>
      <c r="G491" s="4">
        <f>35834+(364+182)</f>
        <v>36380</v>
      </c>
      <c r="H491" s="67" t="str">
        <f t="shared" si="21"/>
        <v>Aug</v>
      </c>
      <c r="I491" s="9">
        <f t="shared" ca="1" si="22"/>
        <v>17</v>
      </c>
      <c r="J491" s="8"/>
      <c r="K491" s="7">
        <v>36052</v>
      </c>
      <c r="L491" s="6">
        <v>5</v>
      </c>
      <c r="M491" s="31">
        <f t="shared" si="23"/>
        <v>36052</v>
      </c>
      <c r="N491" s="65"/>
      <c r="O491" s="14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5">
      <c r="A492" s="1" t="s">
        <v>287</v>
      </c>
      <c r="B492" s="12" t="s">
        <v>56</v>
      </c>
      <c r="C492" s="1" t="s">
        <v>60</v>
      </c>
      <c r="D492" s="11">
        <v>662974752</v>
      </c>
      <c r="E492" s="11">
        <v>2526040465</v>
      </c>
      <c r="F492" s="1" t="s">
        <v>5</v>
      </c>
      <c r="G492" s="4">
        <f>35846+(364+182)</f>
        <v>36392</v>
      </c>
      <c r="H492" s="67" t="str">
        <f t="shared" si="21"/>
        <v>Aug</v>
      </c>
      <c r="I492" s="9">
        <f t="shared" ca="1" si="22"/>
        <v>17</v>
      </c>
      <c r="J492" s="8" t="s">
        <v>4</v>
      </c>
      <c r="K492" s="7">
        <v>51410</v>
      </c>
      <c r="L492" s="6">
        <v>4</v>
      </c>
      <c r="M492" s="31">
        <f t="shared" si="23"/>
        <v>51410</v>
      </c>
      <c r="N492" s="65"/>
      <c r="O492" s="14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5">
      <c r="A493" s="1" t="s">
        <v>286</v>
      </c>
      <c r="B493" s="12" t="s">
        <v>17</v>
      </c>
      <c r="C493" s="1" t="s">
        <v>22</v>
      </c>
      <c r="D493" s="11">
        <v>867100310</v>
      </c>
      <c r="E493" s="11">
        <v>9191376854</v>
      </c>
      <c r="F493" s="1" t="s">
        <v>5</v>
      </c>
      <c r="G493" s="4">
        <f>35847+(364+182)</f>
        <v>36393</v>
      </c>
      <c r="H493" s="67" t="str">
        <f t="shared" si="21"/>
        <v>Aug</v>
      </c>
      <c r="I493" s="9">
        <f t="shared" ca="1" si="22"/>
        <v>17</v>
      </c>
      <c r="J493" s="8" t="s">
        <v>4</v>
      </c>
      <c r="K493" s="7">
        <v>65910</v>
      </c>
      <c r="L493" s="6">
        <v>5</v>
      </c>
      <c r="M493" s="31">
        <f t="shared" si="23"/>
        <v>65910</v>
      </c>
      <c r="N493" s="65"/>
      <c r="O493" s="14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5">
      <c r="A494" s="1" t="s">
        <v>285</v>
      </c>
      <c r="B494" s="12" t="s">
        <v>2</v>
      </c>
      <c r="C494" s="1" t="s">
        <v>37</v>
      </c>
      <c r="D494" s="11">
        <v>456946966</v>
      </c>
      <c r="E494" s="11">
        <v>9194680033</v>
      </c>
      <c r="F494" s="1" t="s">
        <v>5</v>
      </c>
      <c r="G494" s="4">
        <f>36218+(364+182)</f>
        <v>36764</v>
      </c>
      <c r="H494" s="67" t="str">
        <f t="shared" si="21"/>
        <v>Aug</v>
      </c>
      <c r="I494" s="9">
        <f t="shared" ca="1" si="22"/>
        <v>16</v>
      </c>
      <c r="J494" s="8" t="s">
        <v>8</v>
      </c>
      <c r="K494" s="7">
        <v>74840</v>
      </c>
      <c r="L494" s="6">
        <v>4</v>
      </c>
      <c r="M494" s="31">
        <f t="shared" si="23"/>
        <v>74840</v>
      </c>
      <c r="N494" s="65"/>
      <c r="O494" s="14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5">
      <c r="A495" s="1" t="s">
        <v>284</v>
      </c>
      <c r="B495" s="12" t="s">
        <v>39</v>
      </c>
      <c r="C495" s="1" t="s">
        <v>95</v>
      </c>
      <c r="D495" s="11">
        <v>292006053</v>
      </c>
      <c r="E495" s="11">
        <v>9197045091</v>
      </c>
      <c r="F495" s="1" t="s">
        <v>12</v>
      </c>
      <c r="G495" s="4">
        <f>36219+(364+182)</f>
        <v>36765</v>
      </c>
      <c r="H495" s="67" t="str">
        <f t="shared" si="21"/>
        <v>Aug</v>
      </c>
      <c r="I495" s="9">
        <f t="shared" ca="1" si="22"/>
        <v>16</v>
      </c>
      <c r="J495" s="8"/>
      <c r="K495" s="7">
        <v>74500</v>
      </c>
      <c r="L495" s="6">
        <v>4</v>
      </c>
      <c r="M495" s="31">
        <f t="shared" si="23"/>
        <v>74500</v>
      </c>
      <c r="N495" s="65"/>
      <c r="O495" s="14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5">
      <c r="A496" s="1" t="s">
        <v>283</v>
      </c>
      <c r="B496" s="12" t="s">
        <v>17</v>
      </c>
      <c r="C496" s="1" t="s">
        <v>44</v>
      </c>
      <c r="D496" s="11">
        <v>469591073</v>
      </c>
      <c r="E496" s="11">
        <v>2523327522</v>
      </c>
      <c r="F496" s="1" t="s">
        <v>5</v>
      </c>
      <c r="G496" s="4">
        <f>36567+(364+182)</f>
        <v>37113</v>
      </c>
      <c r="H496" s="67" t="str">
        <f t="shared" si="21"/>
        <v>Aug</v>
      </c>
      <c r="I496" s="9">
        <f t="shared" ca="1" si="22"/>
        <v>15</v>
      </c>
      <c r="J496" s="8" t="s">
        <v>19</v>
      </c>
      <c r="K496" s="7">
        <v>61150</v>
      </c>
      <c r="L496" s="6">
        <v>4</v>
      </c>
      <c r="M496" s="31">
        <f t="shared" si="23"/>
        <v>61150</v>
      </c>
      <c r="N496" s="65"/>
      <c r="O496" s="14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5">
      <c r="A497" s="1" t="s">
        <v>282</v>
      </c>
      <c r="B497" s="12" t="s">
        <v>39</v>
      </c>
      <c r="C497" s="1" t="s">
        <v>28</v>
      </c>
      <c r="D497" s="11">
        <v>972791650</v>
      </c>
      <c r="E497" s="11">
        <v>2525236892</v>
      </c>
      <c r="F497" s="1" t="s">
        <v>15</v>
      </c>
      <c r="G497" s="4">
        <f>36924+(364+182)</f>
        <v>37470</v>
      </c>
      <c r="H497" s="67" t="str">
        <f t="shared" si="21"/>
        <v>Aug</v>
      </c>
      <c r="I497" s="9">
        <f t="shared" ca="1" si="22"/>
        <v>14</v>
      </c>
      <c r="J497" s="8" t="s">
        <v>32</v>
      </c>
      <c r="K497" s="7">
        <v>33810</v>
      </c>
      <c r="L497" s="6">
        <v>5</v>
      </c>
      <c r="M497" s="31">
        <f t="shared" si="23"/>
        <v>33810</v>
      </c>
      <c r="N497" s="65"/>
      <c r="O497" s="14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5">
      <c r="A498" s="1" t="s">
        <v>281</v>
      </c>
      <c r="B498" s="12" t="s">
        <v>56</v>
      </c>
      <c r="C498" s="1" t="s">
        <v>6</v>
      </c>
      <c r="D498" s="11">
        <v>120361975</v>
      </c>
      <c r="E498" s="11">
        <v>2521789943</v>
      </c>
      <c r="F498" s="1" t="s">
        <v>5</v>
      </c>
      <c r="G498" s="4">
        <f>36949+(364+182)</f>
        <v>37495</v>
      </c>
      <c r="H498" s="67" t="str">
        <f t="shared" si="21"/>
        <v>Aug</v>
      </c>
      <c r="I498" s="9">
        <f t="shared" ca="1" si="22"/>
        <v>14</v>
      </c>
      <c r="J498" s="8" t="s">
        <v>8</v>
      </c>
      <c r="K498" s="7">
        <v>60300</v>
      </c>
      <c r="L498" s="6">
        <v>2</v>
      </c>
      <c r="M498" s="31">
        <f t="shared" si="23"/>
        <v>60300</v>
      </c>
      <c r="N498" s="65"/>
      <c r="O498" s="14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5">
      <c r="A499" s="1" t="s">
        <v>280</v>
      </c>
      <c r="B499" s="12" t="s">
        <v>10</v>
      </c>
      <c r="C499" s="1" t="s">
        <v>22</v>
      </c>
      <c r="D499" s="11">
        <v>886332647</v>
      </c>
      <c r="E499" s="11">
        <v>2526698101</v>
      </c>
      <c r="F499" s="1" t="s">
        <v>5</v>
      </c>
      <c r="G499" s="4">
        <f>37302+(364+182)</f>
        <v>37848</v>
      </c>
      <c r="H499" s="67" t="str">
        <f t="shared" si="21"/>
        <v>Aug</v>
      </c>
      <c r="I499" s="9">
        <f t="shared" ca="1" si="22"/>
        <v>13</v>
      </c>
      <c r="J499" s="8" t="s">
        <v>34</v>
      </c>
      <c r="K499" s="7">
        <v>76910</v>
      </c>
      <c r="L499" s="6">
        <v>2</v>
      </c>
      <c r="M499" s="31">
        <f t="shared" si="23"/>
        <v>76910</v>
      </c>
      <c r="N499" s="65"/>
      <c r="O499" s="14"/>
      <c r="P499" s="5"/>
      <c r="Q499" s="5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5">
      <c r="A500" s="1" t="s">
        <v>279</v>
      </c>
      <c r="B500" s="12" t="s">
        <v>17</v>
      </c>
      <c r="C500" s="1" t="s">
        <v>28</v>
      </c>
      <c r="D500" s="11">
        <v>972086665</v>
      </c>
      <c r="E500" s="11">
        <v>2526007063</v>
      </c>
      <c r="F500" s="1" t="s">
        <v>5</v>
      </c>
      <c r="G500" s="4">
        <f>37681+(364+182)</f>
        <v>38227</v>
      </c>
      <c r="H500" s="67" t="str">
        <f t="shared" si="21"/>
        <v>Aug</v>
      </c>
      <c r="I500" s="9">
        <f t="shared" ca="1" si="22"/>
        <v>12</v>
      </c>
      <c r="J500" s="8" t="s">
        <v>4</v>
      </c>
      <c r="K500" s="7">
        <v>86200</v>
      </c>
      <c r="L500" s="6">
        <v>3</v>
      </c>
      <c r="M500" s="31">
        <f t="shared" si="23"/>
        <v>86200</v>
      </c>
      <c r="N500" s="65"/>
      <c r="O500" s="14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5">
      <c r="A501" s="1" t="s">
        <v>278</v>
      </c>
      <c r="B501" s="12" t="s">
        <v>13</v>
      </c>
      <c r="C501" s="1" t="s">
        <v>247</v>
      </c>
      <c r="D501" s="11">
        <v>850210766</v>
      </c>
      <c r="E501" s="11">
        <v>2527838614</v>
      </c>
      <c r="F501" s="1" t="s">
        <v>5</v>
      </c>
      <c r="G501" s="4">
        <f>38041+(364+182)</f>
        <v>38587</v>
      </c>
      <c r="H501" s="67" t="str">
        <f t="shared" si="21"/>
        <v>Aug</v>
      </c>
      <c r="I501" s="9">
        <f t="shared" ca="1" si="22"/>
        <v>11</v>
      </c>
      <c r="J501" s="8" t="s">
        <v>32</v>
      </c>
      <c r="K501" s="7">
        <v>47350</v>
      </c>
      <c r="L501" s="6">
        <v>5</v>
      </c>
      <c r="M501" s="31">
        <f t="shared" si="23"/>
        <v>47350</v>
      </c>
      <c r="N501" s="65"/>
      <c r="O501" s="14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5">
      <c r="A502" s="1" t="s">
        <v>277</v>
      </c>
      <c r="B502" s="12" t="s">
        <v>56</v>
      </c>
      <c r="C502" s="1" t="s">
        <v>28</v>
      </c>
      <c r="D502" s="11">
        <v>120479503</v>
      </c>
      <c r="E502" s="11">
        <v>9196069116</v>
      </c>
      <c r="F502" s="1" t="s">
        <v>15</v>
      </c>
      <c r="G502" s="4">
        <f>38753+(364+182)</f>
        <v>39299</v>
      </c>
      <c r="H502" s="67" t="str">
        <f t="shared" si="21"/>
        <v>Aug</v>
      </c>
      <c r="I502" s="9">
        <f t="shared" ca="1" si="22"/>
        <v>9</v>
      </c>
      <c r="J502" s="8" t="s">
        <v>8</v>
      </c>
      <c r="K502" s="7">
        <v>47760</v>
      </c>
      <c r="L502" s="6">
        <v>3</v>
      </c>
      <c r="M502" s="31">
        <f t="shared" si="23"/>
        <v>47760</v>
      </c>
      <c r="N502" s="65"/>
      <c r="O502" s="14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5">
      <c r="A503" s="1" t="s">
        <v>276</v>
      </c>
      <c r="B503" s="12" t="s">
        <v>2</v>
      </c>
      <c r="C503" s="1" t="s">
        <v>20</v>
      </c>
      <c r="D503" s="11">
        <v>858800513</v>
      </c>
      <c r="E503" s="11">
        <v>9193547588</v>
      </c>
      <c r="F503" s="1" t="s">
        <v>5</v>
      </c>
      <c r="G503" s="4">
        <f>38766+(364+182)</f>
        <v>39312</v>
      </c>
      <c r="H503" s="67" t="str">
        <f t="shared" si="21"/>
        <v>Aug</v>
      </c>
      <c r="I503" s="9">
        <f t="shared" ca="1" si="22"/>
        <v>9</v>
      </c>
      <c r="J503" s="8" t="s">
        <v>34</v>
      </c>
      <c r="K503" s="7">
        <v>71030</v>
      </c>
      <c r="L503" s="6">
        <v>3</v>
      </c>
      <c r="M503" s="31">
        <f t="shared" si="23"/>
        <v>71030</v>
      </c>
      <c r="N503" s="65"/>
      <c r="O503" s="14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5">
      <c r="A504" s="1" t="s">
        <v>275</v>
      </c>
      <c r="B504" s="12" t="s">
        <v>2</v>
      </c>
      <c r="C504" s="1" t="s">
        <v>28</v>
      </c>
      <c r="D504" s="11">
        <v>443238477</v>
      </c>
      <c r="E504" s="11">
        <v>9198624601</v>
      </c>
      <c r="F504" s="1" t="s">
        <v>5</v>
      </c>
      <c r="G504" s="4">
        <f>39132+(364+182)</f>
        <v>39678</v>
      </c>
      <c r="H504" s="67" t="str">
        <f t="shared" si="21"/>
        <v>Aug</v>
      </c>
      <c r="I504" s="9">
        <f t="shared" ca="1" si="22"/>
        <v>8</v>
      </c>
      <c r="J504" s="8" t="s">
        <v>4</v>
      </c>
      <c r="K504" s="7">
        <v>80090</v>
      </c>
      <c r="L504" s="6">
        <v>2</v>
      </c>
      <c r="M504" s="31">
        <f t="shared" si="23"/>
        <v>80090</v>
      </c>
      <c r="N504" s="65"/>
      <c r="O504" s="14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5">
      <c r="A505" s="1" t="s">
        <v>274</v>
      </c>
      <c r="B505" s="12" t="s">
        <v>10</v>
      </c>
      <c r="C505" s="1" t="s">
        <v>6</v>
      </c>
      <c r="D505" s="11">
        <v>651999482</v>
      </c>
      <c r="E505" s="11">
        <v>2523014821</v>
      </c>
      <c r="F505" s="1" t="s">
        <v>5</v>
      </c>
      <c r="G505" s="4">
        <f>39133+(364+182)</f>
        <v>39679</v>
      </c>
      <c r="H505" s="67" t="str">
        <f t="shared" si="21"/>
        <v>Aug</v>
      </c>
      <c r="I505" s="9">
        <f t="shared" ca="1" si="22"/>
        <v>8</v>
      </c>
      <c r="J505" s="8" t="s">
        <v>32</v>
      </c>
      <c r="K505" s="7">
        <v>22820</v>
      </c>
      <c r="L505" s="6">
        <v>5</v>
      </c>
      <c r="M505" s="31">
        <f t="shared" si="23"/>
        <v>22820</v>
      </c>
      <c r="N505" s="65"/>
      <c r="O505" s="14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5">
      <c r="A506" s="1" t="s">
        <v>273</v>
      </c>
      <c r="B506" s="12" t="s">
        <v>56</v>
      </c>
      <c r="C506" s="1" t="s">
        <v>72</v>
      </c>
      <c r="D506" s="11">
        <v>281005046</v>
      </c>
      <c r="E506" s="11">
        <v>2527051004</v>
      </c>
      <c r="F506" s="1" t="s">
        <v>12</v>
      </c>
      <c r="G506" s="4">
        <f>39508+(364+182)</f>
        <v>40054</v>
      </c>
      <c r="H506" s="67" t="str">
        <f t="shared" si="21"/>
        <v>Aug</v>
      </c>
      <c r="I506" s="9">
        <f t="shared" ca="1" si="22"/>
        <v>7</v>
      </c>
      <c r="J506" s="8"/>
      <c r="K506" s="7">
        <v>56920</v>
      </c>
      <c r="L506" s="6">
        <v>4</v>
      </c>
      <c r="M506" s="31">
        <f t="shared" si="23"/>
        <v>56920</v>
      </c>
      <c r="N506" s="65"/>
      <c r="O506" s="14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5">
      <c r="A507" s="1" t="s">
        <v>272</v>
      </c>
      <c r="B507" s="12" t="s">
        <v>2</v>
      </c>
      <c r="C507" s="1" t="s">
        <v>28</v>
      </c>
      <c r="D507" s="11">
        <v>851400058</v>
      </c>
      <c r="E507" s="11">
        <v>9196012031</v>
      </c>
      <c r="F507" s="1" t="s">
        <v>15</v>
      </c>
      <c r="G507" s="13">
        <f>39847+(364+182)</f>
        <v>40393</v>
      </c>
      <c r="H507" s="67" t="str">
        <f t="shared" si="21"/>
        <v>Aug</v>
      </c>
      <c r="I507" s="9">
        <f t="shared" ca="1" si="22"/>
        <v>6</v>
      </c>
      <c r="J507" s="8" t="s">
        <v>32</v>
      </c>
      <c r="K507" s="7">
        <v>16925</v>
      </c>
      <c r="L507" s="6">
        <v>1</v>
      </c>
      <c r="M507" s="31">
        <f t="shared" si="23"/>
        <v>16925</v>
      </c>
      <c r="N507" s="65"/>
      <c r="O507" s="14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5">
      <c r="A508" s="1" t="s">
        <v>271</v>
      </c>
      <c r="B508" s="12" t="s">
        <v>17</v>
      </c>
      <c r="C508" s="1" t="s">
        <v>72</v>
      </c>
      <c r="D508" s="11">
        <v>518690148</v>
      </c>
      <c r="E508" s="11">
        <v>2526500529</v>
      </c>
      <c r="F508" s="1" t="s">
        <v>5</v>
      </c>
      <c r="G508" s="4">
        <f>39853+(364+182)</f>
        <v>40399</v>
      </c>
      <c r="H508" s="67" t="str">
        <f t="shared" si="21"/>
        <v>Aug</v>
      </c>
      <c r="I508" s="9">
        <f t="shared" ca="1" si="22"/>
        <v>6</v>
      </c>
      <c r="J508" s="8" t="s">
        <v>19</v>
      </c>
      <c r="K508" s="7">
        <v>32640</v>
      </c>
      <c r="L508" s="6">
        <v>4</v>
      </c>
      <c r="M508" s="31">
        <f t="shared" si="23"/>
        <v>32640</v>
      </c>
      <c r="N508" s="65"/>
      <c r="O508" s="14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5">
      <c r="A509" s="1" t="s">
        <v>270</v>
      </c>
      <c r="B509" s="12" t="s">
        <v>39</v>
      </c>
      <c r="C509" s="1" t="s">
        <v>247</v>
      </c>
      <c r="D509" s="11">
        <v>914041569</v>
      </c>
      <c r="E509" s="11">
        <v>9196082608</v>
      </c>
      <c r="F509" s="1" t="s">
        <v>5</v>
      </c>
      <c r="G509" s="13">
        <f>39854+(364+182)</f>
        <v>40400</v>
      </c>
      <c r="H509" s="67" t="str">
        <f t="shared" si="21"/>
        <v>Aug</v>
      </c>
      <c r="I509" s="9">
        <f t="shared" ca="1" si="22"/>
        <v>6</v>
      </c>
      <c r="J509" s="8" t="s">
        <v>4</v>
      </c>
      <c r="K509" s="7">
        <v>79150</v>
      </c>
      <c r="L509" s="6">
        <v>2</v>
      </c>
      <c r="M509" s="31">
        <f t="shared" si="23"/>
        <v>79150</v>
      </c>
      <c r="N509" s="65"/>
      <c r="O509" s="14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5">
      <c r="A510" s="1" t="s">
        <v>269</v>
      </c>
      <c r="B510" s="12" t="s">
        <v>39</v>
      </c>
      <c r="C510" s="1" t="s">
        <v>28</v>
      </c>
      <c r="D510" s="11">
        <v>623823805</v>
      </c>
      <c r="E510" s="11">
        <v>9192602559</v>
      </c>
      <c r="F510" s="1" t="s">
        <v>0</v>
      </c>
      <c r="G510" s="18">
        <f>39857+(364+182)</f>
        <v>40403</v>
      </c>
      <c r="H510" s="67" t="str">
        <f t="shared" si="21"/>
        <v>Aug</v>
      </c>
      <c r="I510" s="9">
        <f t="shared" ca="1" si="22"/>
        <v>6</v>
      </c>
      <c r="J510" s="8"/>
      <c r="K510" s="7">
        <v>15056</v>
      </c>
      <c r="L510" s="6">
        <v>5</v>
      </c>
      <c r="M510" s="31">
        <f t="shared" si="23"/>
        <v>15056</v>
      </c>
      <c r="N510" s="65"/>
      <c r="O510" s="14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5">
      <c r="A511" s="1" t="s">
        <v>268</v>
      </c>
      <c r="B511" s="12" t="s">
        <v>17</v>
      </c>
      <c r="C511" s="1" t="s">
        <v>22</v>
      </c>
      <c r="D511" s="11">
        <v>278129861</v>
      </c>
      <c r="E511" s="11">
        <v>9198561246</v>
      </c>
      <c r="F511" s="1" t="s">
        <v>12</v>
      </c>
      <c r="G511" s="13">
        <f>39858+(364+182)</f>
        <v>40404</v>
      </c>
      <c r="H511" s="67" t="str">
        <f t="shared" si="21"/>
        <v>Aug</v>
      </c>
      <c r="I511" s="9">
        <f t="shared" ca="1" si="22"/>
        <v>6</v>
      </c>
      <c r="J511" s="8"/>
      <c r="K511" s="7">
        <v>39550</v>
      </c>
      <c r="L511" s="6">
        <v>5</v>
      </c>
      <c r="M511" s="31">
        <f t="shared" si="23"/>
        <v>39550</v>
      </c>
      <c r="N511" s="65"/>
      <c r="O511" s="14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5">
      <c r="A512" s="1" t="s">
        <v>267</v>
      </c>
      <c r="B512" s="12" t="s">
        <v>39</v>
      </c>
      <c r="C512" s="1" t="s">
        <v>22</v>
      </c>
      <c r="D512" s="11">
        <v>502200672</v>
      </c>
      <c r="E512" s="11">
        <v>2527925201</v>
      </c>
      <c r="F512" s="1" t="s">
        <v>12</v>
      </c>
      <c r="G512" s="13">
        <f>39864+(364+182)</f>
        <v>40410</v>
      </c>
      <c r="H512" s="67" t="str">
        <f t="shared" si="21"/>
        <v>Aug</v>
      </c>
      <c r="I512" s="9">
        <f t="shared" ca="1" si="22"/>
        <v>6</v>
      </c>
      <c r="J512" s="8"/>
      <c r="K512" s="7">
        <v>57680</v>
      </c>
      <c r="L512" s="6">
        <v>4</v>
      </c>
      <c r="M512" s="31">
        <f t="shared" si="23"/>
        <v>57680</v>
      </c>
      <c r="N512" s="65"/>
      <c r="O512" s="14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5">
      <c r="A513" s="1" t="s">
        <v>266</v>
      </c>
      <c r="B513" s="12" t="s">
        <v>39</v>
      </c>
      <c r="C513" s="1" t="s">
        <v>22</v>
      </c>
      <c r="D513" s="11">
        <v>570756015</v>
      </c>
      <c r="E513" s="11">
        <v>2522238535</v>
      </c>
      <c r="F513" s="1" t="s">
        <v>15</v>
      </c>
      <c r="G513" s="13">
        <f>39875+(364+182)</f>
        <v>40421</v>
      </c>
      <c r="H513" s="67" t="str">
        <f t="shared" si="21"/>
        <v>Aug</v>
      </c>
      <c r="I513" s="9">
        <f t="shared" ca="1" si="22"/>
        <v>6</v>
      </c>
      <c r="J513" s="8" t="s">
        <v>34</v>
      </c>
      <c r="K513" s="7">
        <v>49355</v>
      </c>
      <c r="L513" s="6">
        <v>5</v>
      </c>
      <c r="M513" s="31">
        <f t="shared" si="23"/>
        <v>49355</v>
      </c>
      <c r="N513" s="65"/>
      <c r="O513" s="14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5">
      <c r="A514" s="1" t="s">
        <v>265</v>
      </c>
      <c r="B514" s="12" t="s">
        <v>17</v>
      </c>
      <c r="C514" s="1" t="s">
        <v>72</v>
      </c>
      <c r="D514" s="11">
        <v>113699123</v>
      </c>
      <c r="E514" s="11">
        <v>2526563683</v>
      </c>
      <c r="F514" s="1" t="s">
        <v>5</v>
      </c>
      <c r="G514" s="4">
        <f>32571+(364+182)</f>
        <v>33117</v>
      </c>
      <c r="H514" s="67" t="str">
        <f t="shared" si="21"/>
        <v>Sep</v>
      </c>
      <c r="I514" s="9">
        <f t="shared" ca="1" si="22"/>
        <v>26</v>
      </c>
      <c r="J514" s="8" t="s">
        <v>19</v>
      </c>
      <c r="K514" s="7">
        <v>35360</v>
      </c>
      <c r="L514" s="6">
        <v>5</v>
      </c>
      <c r="M514" s="31">
        <f t="shared" si="23"/>
        <v>35360</v>
      </c>
      <c r="N514" s="65"/>
      <c r="O514" s="14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5">
      <c r="A515" s="1" t="s">
        <v>264</v>
      </c>
      <c r="B515" s="12" t="s">
        <v>13</v>
      </c>
      <c r="C515" s="1" t="s">
        <v>22</v>
      </c>
      <c r="D515" s="11">
        <v>528258211</v>
      </c>
      <c r="E515" s="11">
        <v>9194727385</v>
      </c>
      <c r="F515" s="1" t="s">
        <v>5</v>
      </c>
      <c r="G515" s="4">
        <f>32582+(364+182)</f>
        <v>33128</v>
      </c>
      <c r="H515" s="67" t="str">
        <f t="shared" ref="H515:H578" si="24">CHOOSE(MONTH(G515),"Jan","Feb","Mar","Apr","May","Jun","Jul","Aug","Sep","Oct","Nov","Dec")</f>
        <v>Sep</v>
      </c>
      <c r="I515" s="9">
        <f t="shared" ref="I515:I578" ca="1" si="25">DATEDIF(G515,TODAY(),"Y")</f>
        <v>26</v>
      </c>
      <c r="J515" s="8" t="s">
        <v>19</v>
      </c>
      <c r="K515" s="7">
        <v>46110</v>
      </c>
      <c r="L515" s="6">
        <v>4</v>
      </c>
      <c r="M515" s="31">
        <f t="shared" ref="M515:M578" si="26">ROUND(K515*P513+K515,0)</f>
        <v>46110</v>
      </c>
      <c r="N515" s="65"/>
      <c r="O515" s="14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5">
      <c r="A516" s="1" t="s">
        <v>263</v>
      </c>
      <c r="B516" s="12" t="s">
        <v>13</v>
      </c>
      <c r="C516" s="1" t="s">
        <v>6</v>
      </c>
      <c r="D516" s="11">
        <v>904497673</v>
      </c>
      <c r="E516" s="11">
        <v>2521277028</v>
      </c>
      <c r="F516" s="1" t="s">
        <v>12</v>
      </c>
      <c r="G516" s="4">
        <f>32598+(364+182)</f>
        <v>33144</v>
      </c>
      <c r="H516" s="67" t="str">
        <f t="shared" si="24"/>
        <v>Sep</v>
      </c>
      <c r="I516" s="9">
        <f t="shared" ca="1" si="25"/>
        <v>26</v>
      </c>
      <c r="J516" s="8"/>
      <c r="K516" s="7">
        <v>23340</v>
      </c>
      <c r="L516" s="6">
        <v>4</v>
      </c>
      <c r="M516" s="31">
        <f t="shared" si="26"/>
        <v>23340</v>
      </c>
      <c r="N516" s="65"/>
      <c r="O516" s="14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5">
      <c r="A517" s="14" t="s">
        <v>262</v>
      </c>
      <c r="B517" s="12" t="s">
        <v>10</v>
      </c>
      <c r="C517" s="14" t="s">
        <v>37</v>
      </c>
      <c r="D517" s="15">
        <v>415076748</v>
      </c>
      <c r="E517" s="15">
        <v>9195230846</v>
      </c>
      <c r="F517" s="14" t="s">
        <v>0</v>
      </c>
      <c r="G517" s="10">
        <f>32936+(364+182)</f>
        <v>33482</v>
      </c>
      <c r="H517" s="67" t="str">
        <f t="shared" si="24"/>
        <v>Sep</v>
      </c>
      <c r="I517" s="9">
        <f t="shared" ca="1" si="25"/>
        <v>25</v>
      </c>
      <c r="J517" s="8" t="s">
        <v>32</v>
      </c>
      <c r="K517" s="7">
        <v>29070</v>
      </c>
      <c r="L517" s="6">
        <v>3</v>
      </c>
      <c r="M517" s="31">
        <f t="shared" si="26"/>
        <v>29070</v>
      </c>
      <c r="N517" s="65"/>
      <c r="O517" s="68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5">
      <c r="A518" s="1" t="s">
        <v>261</v>
      </c>
      <c r="B518" s="12" t="s">
        <v>13</v>
      </c>
      <c r="C518" s="1" t="s">
        <v>6</v>
      </c>
      <c r="D518" s="11">
        <v>970466937</v>
      </c>
      <c r="E518" s="11">
        <v>9192042331</v>
      </c>
      <c r="F518" s="1" t="s">
        <v>12</v>
      </c>
      <c r="G518" s="4">
        <f>32949+(364+182)</f>
        <v>33495</v>
      </c>
      <c r="H518" s="67" t="str">
        <f t="shared" si="24"/>
        <v>Sep</v>
      </c>
      <c r="I518" s="9">
        <f t="shared" ca="1" si="25"/>
        <v>25</v>
      </c>
      <c r="J518" s="8"/>
      <c r="K518" s="7">
        <v>62480</v>
      </c>
      <c r="L518" s="6">
        <v>5</v>
      </c>
      <c r="M518" s="31">
        <f t="shared" si="26"/>
        <v>62480</v>
      </c>
      <c r="N518" s="65"/>
      <c r="O518" s="14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5">
      <c r="A519" s="1" t="s">
        <v>260</v>
      </c>
      <c r="B519" s="12" t="s">
        <v>17</v>
      </c>
      <c r="C519" s="1" t="s">
        <v>28</v>
      </c>
      <c r="D519" s="11">
        <v>290385638</v>
      </c>
      <c r="E519" s="11">
        <v>9194518022</v>
      </c>
      <c r="F519" s="1" t="s">
        <v>15</v>
      </c>
      <c r="G519" s="4">
        <f>32956+(364+182)</f>
        <v>33502</v>
      </c>
      <c r="H519" s="67" t="str">
        <f t="shared" si="24"/>
        <v>Sep</v>
      </c>
      <c r="I519" s="9">
        <f t="shared" ca="1" si="25"/>
        <v>25</v>
      </c>
      <c r="J519" s="8" t="s">
        <v>34</v>
      </c>
      <c r="K519" s="7">
        <v>35045</v>
      </c>
      <c r="L519" s="6">
        <v>4</v>
      </c>
      <c r="M519" s="31">
        <f t="shared" si="26"/>
        <v>35045</v>
      </c>
      <c r="N519" s="65"/>
      <c r="O519" s="14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25">
      <c r="A520" s="1" t="s">
        <v>259</v>
      </c>
      <c r="B520" s="12" t="s">
        <v>17</v>
      </c>
      <c r="C520" s="1" t="s">
        <v>6</v>
      </c>
      <c r="D520" s="11">
        <v>111616346</v>
      </c>
      <c r="E520" s="11">
        <v>2525717431</v>
      </c>
      <c r="F520" s="1" t="s">
        <v>12</v>
      </c>
      <c r="G520" s="4">
        <f>32960+(364+182)</f>
        <v>33506</v>
      </c>
      <c r="H520" s="67" t="str">
        <f t="shared" si="24"/>
        <v>Sep</v>
      </c>
      <c r="I520" s="9">
        <f t="shared" ca="1" si="25"/>
        <v>25</v>
      </c>
      <c r="J520" s="8"/>
      <c r="K520" s="7">
        <v>61134</v>
      </c>
      <c r="L520" s="6">
        <v>4</v>
      </c>
      <c r="M520" s="31">
        <f t="shared" si="26"/>
        <v>61134</v>
      </c>
      <c r="N520" s="65"/>
      <c r="O520" s="14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5">
      <c r="A521" s="1" t="s">
        <v>258</v>
      </c>
      <c r="B521" s="12" t="s">
        <v>17</v>
      </c>
      <c r="C521" s="1" t="s">
        <v>22</v>
      </c>
      <c r="D521" s="11">
        <v>561530671</v>
      </c>
      <c r="E521" s="11">
        <v>9192999652</v>
      </c>
      <c r="F521" s="1" t="s">
        <v>5</v>
      </c>
      <c r="G521" s="4">
        <f>32964+(364+182)</f>
        <v>33510</v>
      </c>
      <c r="H521" s="67" t="str">
        <f t="shared" si="24"/>
        <v>Sep</v>
      </c>
      <c r="I521" s="9">
        <f t="shared" ca="1" si="25"/>
        <v>25</v>
      </c>
      <c r="J521" s="8" t="s">
        <v>34</v>
      </c>
      <c r="K521" s="7">
        <v>54500</v>
      </c>
      <c r="L521" s="6">
        <v>5</v>
      </c>
      <c r="M521" s="31">
        <f t="shared" si="26"/>
        <v>54500</v>
      </c>
      <c r="N521" s="65"/>
      <c r="O521" s="14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5">
      <c r="A522" s="1" t="s">
        <v>257</v>
      </c>
      <c r="B522" s="12" t="s">
        <v>17</v>
      </c>
      <c r="C522" s="1" t="s">
        <v>52</v>
      </c>
      <c r="D522" s="11">
        <v>627977314</v>
      </c>
      <c r="E522" s="11">
        <v>2521525844</v>
      </c>
      <c r="F522" s="1" t="s">
        <v>5</v>
      </c>
      <c r="G522" s="4">
        <f>33306+(364+182)</f>
        <v>33852</v>
      </c>
      <c r="H522" s="67" t="str">
        <f t="shared" si="24"/>
        <v>Sep</v>
      </c>
      <c r="I522" s="9">
        <f t="shared" ca="1" si="25"/>
        <v>24</v>
      </c>
      <c r="J522" s="8" t="s">
        <v>8</v>
      </c>
      <c r="K522" s="7">
        <v>86240</v>
      </c>
      <c r="L522" s="6">
        <v>1</v>
      </c>
      <c r="M522" s="31">
        <f t="shared" si="26"/>
        <v>86240</v>
      </c>
      <c r="N522" s="65"/>
      <c r="O522" s="14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5">
      <c r="A523" s="1" t="s">
        <v>256</v>
      </c>
      <c r="B523" s="12" t="s">
        <v>10</v>
      </c>
      <c r="C523" s="1" t="s">
        <v>72</v>
      </c>
      <c r="D523" s="11">
        <v>291841866</v>
      </c>
      <c r="E523" s="11">
        <v>9191534053</v>
      </c>
      <c r="F523" s="1" t="s">
        <v>5</v>
      </c>
      <c r="G523" s="4">
        <f>33326+(364+182)</f>
        <v>33872</v>
      </c>
      <c r="H523" s="67" t="str">
        <f t="shared" si="24"/>
        <v>Sep</v>
      </c>
      <c r="I523" s="9">
        <f t="shared" ca="1" si="25"/>
        <v>24</v>
      </c>
      <c r="J523" s="8" t="s">
        <v>32</v>
      </c>
      <c r="K523" s="7">
        <v>64510</v>
      </c>
      <c r="L523" s="6">
        <v>3</v>
      </c>
      <c r="M523" s="31">
        <f t="shared" si="26"/>
        <v>64510</v>
      </c>
      <c r="N523" s="65"/>
      <c r="O523" s="14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5">
      <c r="A524" s="1" t="s">
        <v>255</v>
      </c>
      <c r="B524" s="12" t="s">
        <v>17</v>
      </c>
      <c r="C524" s="1" t="s">
        <v>72</v>
      </c>
      <c r="D524" s="11">
        <v>603301910</v>
      </c>
      <c r="E524" s="11">
        <v>9196514650</v>
      </c>
      <c r="F524" s="1" t="s">
        <v>5</v>
      </c>
      <c r="G524" s="4">
        <f>33667+(364+182)</f>
        <v>34213</v>
      </c>
      <c r="H524" s="67" t="str">
        <f t="shared" si="24"/>
        <v>Sep</v>
      </c>
      <c r="I524" s="9">
        <f t="shared" ca="1" si="25"/>
        <v>23</v>
      </c>
      <c r="J524" s="8" t="s">
        <v>32</v>
      </c>
      <c r="K524" s="7">
        <v>72900</v>
      </c>
      <c r="L524" s="6">
        <v>3</v>
      </c>
      <c r="M524" s="31">
        <f t="shared" si="26"/>
        <v>72900</v>
      </c>
      <c r="N524" s="65"/>
      <c r="O524" s="14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5">
      <c r="A525" s="1" t="s">
        <v>254</v>
      </c>
      <c r="B525" s="12" t="s">
        <v>17</v>
      </c>
      <c r="C525" s="1" t="s">
        <v>22</v>
      </c>
      <c r="D525" s="11">
        <v>313358310</v>
      </c>
      <c r="E525" s="11">
        <v>9195442791</v>
      </c>
      <c r="F525" s="1" t="s">
        <v>5</v>
      </c>
      <c r="G525" s="4">
        <f>33676+(364+182)</f>
        <v>34222</v>
      </c>
      <c r="H525" s="67" t="str">
        <f t="shared" si="24"/>
        <v>Sep</v>
      </c>
      <c r="I525" s="9">
        <f t="shared" ca="1" si="25"/>
        <v>23</v>
      </c>
      <c r="J525" s="8" t="s">
        <v>32</v>
      </c>
      <c r="K525" s="7">
        <v>62688</v>
      </c>
      <c r="L525" s="6">
        <v>2</v>
      </c>
      <c r="M525" s="31">
        <f t="shared" si="26"/>
        <v>62688</v>
      </c>
      <c r="N525" s="65"/>
      <c r="O525" s="14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5">
      <c r="A526" s="1" t="s">
        <v>253</v>
      </c>
      <c r="B526" s="12" t="s">
        <v>56</v>
      </c>
      <c r="C526" s="1" t="s">
        <v>20</v>
      </c>
      <c r="D526" s="11">
        <v>783624212</v>
      </c>
      <c r="E526" s="11">
        <v>9193164024</v>
      </c>
      <c r="F526" s="1" t="s">
        <v>15</v>
      </c>
      <c r="G526" s="4">
        <f>34037+(364+182)</f>
        <v>34583</v>
      </c>
      <c r="H526" s="67" t="str">
        <f t="shared" si="24"/>
        <v>Sep</v>
      </c>
      <c r="I526" s="9">
        <f t="shared" ca="1" si="25"/>
        <v>22</v>
      </c>
      <c r="J526" s="8" t="s">
        <v>34</v>
      </c>
      <c r="K526" s="7">
        <v>15260</v>
      </c>
      <c r="L526" s="6">
        <v>2</v>
      </c>
      <c r="M526" s="31">
        <f t="shared" si="26"/>
        <v>15260</v>
      </c>
      <c r="N526" s="65"/>
      <c r="O526" s="14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5">
      <c r="A527" s="1" t="s">
        <v>252</v>
      </c>
      <c r="B527" s="12" t="s">
        <v>10</v>
      </c>
      <c r="C527" s="1" t="s">
        <v>60</v>
      </c>
      <c r="D527" s="11">
        <v>991764142</v>
      </c>
      <c r="E527" s="11">
        <v>9192490678</v>
      </c>
      <c r="F527" s="1" t="s">
        <v>12</v>
      </c>
      <c r="G527" s="4">
        <f>34401+(364+182)</f>
        <v>34947</v>
      </c>
      <c r="H527" s="67" t="str">
        <f t="shared" si="24"/>
        <v>Sep</v>
      </c>
      <c r="I527" s="9">
        <f t="shared" ca="1" si="25"/>
        <v>21</v>
      </c>
      <c r="J527" s="8"/>
      <c r="K527" s="7">
        <v>81930</v>
      </c>
      <c r="L527" s="6">
        <v>5</v>
      </c>
      <c r="M527" s="31">
        <f t="shared" si="26"/>
        <v>81930</v>
      </c>
      <c r="N527" s="65"/>
      <c r="O527" s="14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25">
      <c r="A528" s="1" t="s">
        <v>251</v>
      </c>
      <c r="B528" s="12" t="s">
        <v>39</v>
      </c>
      <c r="C528" s="1" t="s">
        <v>6</v>
      </c>
      <c r="D528" s="11">
        <v>145495793</v>
      </c>
      <c r="E528" s="11">
        <v>2521603964</v>
      </c>
      <c r="F528" s="1" t="s">
        <v>15</v>
      </c>
      <c r="G528" s="4">
        <f>34414+(364+182)</f>
        <v>34960</v>
      </c>
      <c r="H528" s="67" t="str">
        <f t="shared" si="24"/>
        <v>Sep</v>
      </c>
      <c r="I528" s="9">
        <f t="shared" ca="1" si="25"/>
        <v>21</v>
      </c>
      <c r="J528" s="8" t="s">
        <v>8</v>
      </c>
      <c r="K528" s="7">
        <v>23000</v>
      </c>
      <c r="L528" s="6">
        <v>4</v>
      </c>
      <c r="M528" s="31">
        <f t="shared" si="26"/>
        <v>23000</v>
      </c>
      <c r="N528" s="65"/>
      <c r="O528" s="14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25">
      <c r="A529" s="1" t="s">
        <v>250</v>
      </c>
      <c r="B529" s="12" t="s">
        <v>13</v>
      </c>
      <c r="C529" s="1" t="s">
        <v>20</v>
      </c>
      <c r="D529" s="11">
        <v>565952209</v>
      </c>
      <c r="E529" s="11">
        <v>2522889972</v>
      </c>
      <c r="F529" s="1" t="s">
        <v>5</v>
      </c>
      <c r="G529" s="4">
        <f>34425+(364+182)</f>
        <v>34971</v>
      </c>
      <c r="H529" s="67" t="str">
        <f t="shared" si="24"/>
        <v>Sep</v>
      </c>
      <c r="I529" s="9">
        <f t="shared" ca="1" si="25"/>
        <v>21</v>
      </c>
      <c r="J529" s="8" t="s">
        <v>4</v>
      </c>
      <c r="K529" s="7">
        <v>67050</v>
      </c>
      <c r="L529" s="6">
        <v>4</v>
      </c>
      <c r="M529" s="31">
        <f t="shared" si="26"/>
        <v>67050</v>
      </c>
      <c r="N529" s="65"/>
      <c r="O529" s="14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25">
      <c r="A530" s="1" t="s">
        <v>249</v>
      </c>
      <c r="B530" s="12" t="s">
        <v>56</v>
      </c>
      <c r="C530" s="1" t="s">
        <v>20</v>
      </c>
      <c r="D530" s="11">
        <v>682907379</v>
      </c>
      <c r="E530" s="11">
        <v>2521854525</v>
      </c>
      <c r="F530" s="1" t="s">
        <v>5</v>
      </c>
      <c r="G530" s="4">
        <f>34765+(364+182)</f>
        <v>35311</v>
      </c>
      <c r="H530" s="67" t="str">
        <f t="shared" si="24"/>
        <v>Sep</v>
      </c>
      <c r="I530" s="9">
        <f t="shared" ca="1" si="25"/>
        <v>20</v>
      </c>
      <c r="J530" s="8" t="s">
        <v>19</v>
      </c>
      <c r="K530" s="7">
        <v>39520</v>
      </c>
      <c r="L530" s="6">
        <v>5</v>
      </c>
      <c r="M530" s="31">
        <f t="shared" si="26"/>
        <v>39520</v>
      </c>
      <c r="N530" s="65"/>
      <c r="O530" s="14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5">
      <c r="A531" s="1" t="s">
        <v>248</v>
      </c>
      <c r="B531" s="12" t="s">
        <v>17</v>
      </c>
      <c r="C531" s="1" t="s">
        <v>247</v>
      </c>
      <c r="D531" s="11">
        <v>999789446</v>
      </c>
      <c r="E531" s="11">
        <v>2521696804</v>
      </c>
      <c r="F531" s="1" t="s">
        <v>5</v>
      </c>
      <c r="G531" s="4">
        <f>34783+(364+182)</f>
        <v>35329</v>
      </c>
      <c r="H531" s="67" t="str">
        <f t="shared" si="24"/>
        <v>Sep</v>
      </c>
      <c r="I531" s="9">
        <f t="shared" ca="1" si="25"/>
        <v>20</v>
      </c>
      <c r="J531" s="8" t="s">
        <v>32</v>
      </c>
      <c r="K531" s="7">
        <v>66740</v>
      </c>
      <c r="L531" s="6">
        <v>2</v>
      </c>
      <c r="M531" s="31">
        <f t="shared" si="26"/>
        <v>66740</v>
      </c>
      <c r="N531" s="65"/>
      <c r="O531" s="14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5">
      <c r="A532" s="1" t="s">
        <v>246</v>
      </c>
      <c r="B532" s="12" t="s">
        <v>10</v>
      </c>
      <c r="C532" s="1" t="s">
        <v>6</v>
      </c>
      <c r="D532" s="11">
        <v>733358713</v>
      </c>
      <c r="E532" s="11">
        <v>9196648050</v>
      </c>
      <c r="F532" s="1" t="s">
        <v>12</v>
      </c>
      <c r="G532" s="4">
        <f>34792+(364+182)</f>
        <v>35338</v>
      </c>
      <c r="H532" s="67" t="str">
        <f t="shared" si="24"/>
        <v>Sep</v>
      </c>
      <c r="I532" s="9">
        <f t="shared" ca="1" si="25"/>
        <v>20</v>
      </c>
      <c r="J532" s="8"/>
      <c r="K532" s="7">
        <v>87830</v>
      </c>
      <c r="L532" s="6">
        <v>2</v>
      </c>
      <c r="M532" s="31">
        <f t="shared" si="26"/>
        <v>87830</v>
      </c>
      <c r="N532" s="65"/>
      <c r="O532" s="14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5">
      <c r="A533" s="1" t="s">
        <v>245</v>
      </c>
      <c r="B533" s="12" t="s">
        <v>17</v>
      </c>
      <c r="C533" s="1" t="s">
        <v>125</v>
      </c>
      <c r="D533" s="11">
        <v>243350742</v>
      </c>
      <c r="E533" s="11">
        <v>2528304204</v>
      </c>
      <c r="F533" s="1" t="s">
        <v>0</v>
      </c>
      <c r="G533" s="4">
        <f>35128+(364+182)</f>
        <v>35674</v>
      </c>
      <c r="H533" s="67" t="str">
        <f t="shared" si="24"/>
        <v>Sep</v>
      </c>
      <c r="I533" s="9">
        <f t="shared" ca="1" si="25"/>
        <v>19</v>
      </c>
      <c r="J533" s="8"/>
      <c r="K533" s="7">
        <v>20028</v>
      </c>
      <c r="L533" s="6">
        <v>4</v>
      </c>
      <c r="M533" s="31">
        <f t="shared" si="26"/>
        <v>20028</v>
      </c>
      <c r="N533" s="65"/>
      <c r="O533" s="14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5">
      <c r="A534" s="1" t="s">
        <v>244</v>
      </c>
      <c r="B534" s="12" t="s">
        <v>13</v>
      </c>
      <c r="C534" s="1" t="s">
        <v>60</v>
      </c>
      <c r="D534" s="11">
        <v>479081328</v>
      </c>
      <c r="E534" s="11">
        <v>2525368383</v>
      </c>
      <c r="F534" s="1" t="s">
        <v>12</v>
      </c>
      <c r="G534" s="4">
        <f>35136+(364+182)</f>
        <v>35682</v>
      </c>
      <c r="H534" s="67" t="str">
        <f t="shared" si="24"/>
        <v>Sep</v>
      </c>
      <c r="I534" s="9">
        <f t="shared" ca="1" si="25"/>
        <v>19</v>
      </c>
      <c r="J534" s="8"/>
      <c r="K534" s="7">
        <v>63850</v>
      </c>
      <c r="L534" s="6">
        <v>2</v>
      </c>
      <c r="M534" s="31">
        <f t="shared" si="26"/>
        <v>63850</v>
      </c>
      <c r="N534" s="65"/>
      <c r="O534" s="14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5">
      <c r="A535" s="1" t="s">
        <v>243</v>
      </c>
      <c r="B535" s="12" t="s">
        <v>17</v>
      </c>
      <c r="C535" s="1" t="s">
        <v>52</v>
      </c>
      <c r="D535" s="11">
        <v>863736129</v>
      </c>
      <c r="E535" s="11">
        <v>2522778445</v>
      </c>
      <c r="F535" s="1" t="s">
        <v>15</v>
      </c>
      <c r="G535" s="4">
        <f>35142+(364+182)</f>
        <v>35688</v>
      </c>
      <c r="H535" s="67" t="str">
        <f t="shared" si="24"/>
        <v>Sep</v>
      </c>
      <c r="I535" s="9">
        <f t="shared" ca="1" si="25"/>
        <v>19</v>
      </c>
      <c r="J535" s="8" t="s">
        <v>4</v>
      </c>
      <c r="K535" s="7">
        <v>42740</v>
      </c>
      <c r="L535" s="6">
        <v>2</v>
      </c>
      <c r="M535" s="31">
        <f t="shared" si="26"/>
        <v>42740</v>
      </c>
      <c r="N535" s="65"/>
      <c r="O535" s="14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5">
      <c r="A536" s="1" t="s">
        <v>242</v>
      </c>
      <c r="B536" s="12" t="s">
        <v>13</v>
      </c>
      <c r="C536" s="1" t="s">
        <v>22</v>
      </c>
      <c r="D536" s="11">
        <v>965916299</v>
      </c>
      <c r="E536" s="11">
        <v>9193552027</v>
      </c>
      <c r="F536" s="1" t="s">
        <v>5</v>
      </c>
      <c r="G536" s="4">
        <f>35147+(364+182)</f>
        <v>35693</v>
      </c>
      <c r="H536" s="67" t="str">
        <f t="shared" si="24"/>
        <v>Sep</v>
      </c>
      <c r="I536" s="9">
        <f t="shared" ca="1" si="25"/>
        <v>19</v>
      </c>
      <c r="J536" s="8" t="s">
        <v>34</v>
      </c>
      <c r="K536" s="7">
        <v>24340</v>
      </c>
      <c r="L536" s="6">
        <v>4</v>
      </c>
      <c r="M536" s="31">
        <f t="shared" si="26"/>
        <v>24340</v>
      </c>
      <c r="N536" s="65"/>
      <c r="O536" s="14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5">
      <c r="A537" s="1" t="s">
        <v>241</v>
      </c>
      <c r="B537" s="12" t="s">
        <v>17</v>
      </c>
      <c r="C537" s="1" t="s">
        <v>20</v>
      </c>
      <c r="D537" s="11">
        <v>676030562</v>
      </c>
      <c r="E537" s="11">
        <v>9198253211</v>
      </c>
      <c r="F537" s="1" t="s">
        <v>5</v>
      </c>
      <c r="G537" s="4">
        <f>35149+(364+182)</f>
        <v>35695</v>
      </c>
      <c r="H537" s="67" t="str">
        <f t="shared" si="24"/>
        <v>Sep</v>
      </c>
      <c r="I537" s="9">
        <f t="shared" ca="1" si="25"/>
        <v>19</v>
      </c>
      <c r="J537" s="8" t="s">
        <v>32</v>
      </c>
      <c r="K537" s="7">
        <v>60100</v>
      </c>
      <c r="L537" s="6">
        <v>1</v>
      </c>
      <c r="M537" s="31">
        <f t="shared" si="26"/>
        <v>60100</v>
      </c>
      <c r="N537" s="65"/>
      <c r="O537" s="14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5">
      <c r="A538" s="1" t="s">
        <v>240</v>
      </c>
      <c r="B538" s="12" t="s">
        <v>56</v>
      </c>
      <c r="C538" s="1" t="s">
        <v>22</v>
      </c>
      <c r="D538" s="11">
        <v>698472533</v>
      </c>
      <c r="E538" s="11">
        <v>9192917217</v>
      </c>
      <c r="F538" s="1" t="s">
        <v>12</v>
      </c>
      <c r="G538" s="4">
        <f>35153+(364+182)</f>
        <v>35699</v>
      </c>
      <c r="H538" s="67" t="str">
        <f t="shared" si="24"/>
        <v>Sep</v>
      </c>
      <c r="I538" s="9">
        <f t="shared" ca="1" si="25"/>
        <v>19</v>
      </c>
      <c r="J538" s="8"/>
      <c r="K538" s="7">
        <v>36230</v>
      </c>
      <c r="L538" s="6">
        <v>2</v>
      </c>
      <c r="M538" s="31">
        <f t="shared" si="26"/>
        <v>36230</v>
      </c>
      <c r="N538" s="65"/>
      <c r="O538" s="14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5">
      <c r="A539" s="1" t="s">
        <v>239</v>
      </c>
      <c r="B539" s="12" t="s">
        <v>13</v>
      </c>
      <c r="C539" s="1" t="s">
        <v>20</v>
      </c>
      <c r="D539" s="11">
        <v>597131266</v>
      </c>
      <c r="E539" s="11">
        <v>9195043141</v>
      </c>
      <c r="F539" s="1" t="s">
        <v>5</v>
      </c>
      <c r="G539" s="4">
        <f>35157+(364+182)</f>
        <v>35703</v>
      </c>
      <c r="H539" s="67" t="str">
        <f t="shared" si="24"/>
        <v>Sep</v>
      </c>
      <c r="I539" s="9">
        <f t="shared" ca="1" si="25"/>
        <v>19</v>
      </c>
      <c r="J539" s="8" t="s">
        <v>34</v>
      </c>
      <c r="K539" s="7">
        <v>66430</v>
      </c>
      <c r="L539" s="6">
        <v>2</v>
      </c>
      <c r="M539" s="31">
        <f t="shared" si="26"/>
        <v>66430</v>
      </c>
      <c r="N539" s="65"/>
      <c r="O539" s="14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5">
      <c r="A540" s="1" t="s">
        <v>238</v>
      </c>
      <c r="B540" s="12" t="s">
        <v>39</v>
      </c>
      <c r="C540" s="1" t="s">
        <v>9</v>
      </c>
      <c r="D540" s="11">
        <v>550291321</v>
      </c>
      <c r="E540" s="11">
        <v>9192529195</v>
      </c>
      <c r="F540" s="1" t="s">
        <v>12</v>
      </c>
      <c r="G540" s="4">
        <f>35501+(364+182)</f>
        <v>36047</v>
      </c>
      <c r="H540" s="67" t="str">
        <f t="shared" si="24"/>
        <v>Sep</v>
      </c>
      <c r="I540" s="9">
        <f t="shared" ca="1" si="25"/>
        <v>18</v>
      </c>
      <c r="J540" s="8"/>
      <c r="K540" s="7">
        <v>72480</v>
      </c>
      <c r="L540" s="6">
        <v>2</v>
      </c>
      <c r="M540" s="31">
        <f t="shared" si="26"/>
        <v>72480</v>
      </c>
      <c r="N540" s="65"/>
      <c r="O540" s="14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5">
      <c r="A541" s="1" t="s">
        <v>237</v>
      </c>
      <c r="B541" s="12" t="s">
        <v>10</v>
      </c>
      <c r="C541" s="1" t="s">
        <v>6</v>
      </c>
      <c r="D541" s="11">
        <v>658842625</v>
      </c>
      <c r="E541" s="11">
        <v>9193788281</v>
      </c>
      <c r="F541" s="1" t="s">
        <v>15</v>
      </c>
      <c r="G541" s="4">
        <f>35507+(364+182)</f>
        <v>36053</v>
      </c>
      <c r="H541" s="67" t="str">
        <f t="shared" si="24"/>
        <v>Sep</v>
      </c>
      <c r="I541" s="9">
        <f t="shared" ca="1" si="25"/>
        <v>18</v>
      </c>
      <c r="J541" s="8" t="s">
        <v>8</v>
      </c>
      <c r="K541" s="7">
        <v>46105</v>
      </c>
      <c r="L541" s="6">
        <v>5</v>
      </c>
      <c r="M541" s="31">
        <f t="shared" si="26"/>
        <v>46105</v>
      </c>
      <c r="N541" s="65"/>
      <c r="O541" s="14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5">
      <c r="A542" s="1" t="s">
        <v>236</v>
      </c>
      <c r="B542" s="12" t="s">
        <v>39</v>
      </c>
      <c r="C542" s="1" t="s">
        <v>26</v>
      </c>
      <c r="D542" s="11">
        <v>126492342</v>
      </c>
      <c r="E542" s="11">
        <v>9196299247</v>
      </c>
      <c r="F542" s="1" t="s">
        <v>0</v>
      </c>
      <c r="G542" s="4">
        <f>35513+(364+182)</f>
        <v>36059</v>
      </c>
      <c r="H542" s="67" t="str">
        <f t="shared" si="24"/>
        <v>Sep</v>
      </c>
      <c r="I542" s="9">
        <f t="shared" ca="1" si="25"/>
        <v>18</v>
      </c>
      <c r="J542" s="8"/>
      <c r="K542" s="7">
        <v>18500</v>
      </c>
      <c r="L542" s="6">
        <v>5</v>
      </c>
      <c r="M542" s="31">
        <f t="shared" si="26"/>
        <v>18500</v>
      </c>
      <c r="N542" s="65"/>
      <c r="O542" s="14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5">
      <c r="A543" s="1" t="s">
        <v>235</v>
      </c>
      <c r="B543" s="12" t="s">
        <v>10</v>
      </c>
      <c r="C543" s="1" t="s">
        <v>20</v>
      </c>
      <c r="D543" s="11">
        <v>993383806</v>
      </c>
      <c r="E543" s="11">
        <v>2521810581</v>
      </c>
      <c r="F543" s="1" t="s">
        <v>0</v>
      </c>
      <c r="G543" s="4">
        <f>35521+(364+182)</f>
        <v>36067</v>
      </c>
      <c r="H543" s="67" t="str">
        <f t="shared" si="24"/>
        <v>Sep</v>
      </c>
      <c r="I543" s="9">
        <f t="shared" ca="1" si="25"/>
        <v>18</v>
      </c>
      <c r="J543" s="8"/>
      <c r="K543" s="7">
        <v>37612</v>
      </c>
      <c r="L543" s="6">
        <v>4</v>
      </c>
      <c r="M543" s="31">
        <f t="shared" si="26"/>
        <v>37612</v>
      </c>
      <c r="N543" s="65"/>
      <c r="O543" s="14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5">
      <c r="A544" s="1" t="s">
        <v>234</v>
      </c>
      <c r="B544" s="12" t="s">
        <v>17</v>
      </c>
      <c r="C544" s="1" t="s">
        <v>52</v>
      </c>
      <c r="D544" s="11">
        <v>548704405</v>
      </c>
      <c r="E544" s="11">
        <v>2526458440</v>
      </c>
      <c r="F544" s="1" t="s">
        <v>12</v>
      </c>
      <c r="G544" s="4">
        <f>35860+(364+182)</f>
        <v>36406</v>
      </c>
      <c r="H544" s="67" t="str">
        <f t="shared" si="24"/>
        <v>Sep</v>
      </c>
      <c r="I544" s="9">
        <f t="shared" ca="1" si="25"/>
        <v>17</v>
      </c>
      <c r="J544" s="8"/>
      <c r="K544" s="7">
        <v>60800</v>
      </c>
      <c r="L544" s="6">
        <v>4</v>
      </c>
      <c r="M544" s="31">
        <f t="shared" si="26"/>
        <v>60800</v>
      </c>
      <c r="N544" s="65"/>
      <c r="O544" s="14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5">
      <c r="A545" s="1" t="s">
        <v>233</v>
      </c>
      <c r="B545" s="12" t="s">
        <v>13</v>
      </c>
      <c r="C545" s="1" t="s">
        <v>52</v>
      </c>
      <c r="D545" s="11">
        <v>489667166</v>
      </c>
      <c r="E545" s="11">
        <v>2522238881</v>
      </c>
      <c r="F545" s="1" t="s">
        <v>5</v>
      </c>
      <c r="G545" s="4">
        <f>35861+(364+182)</f>
        <v>36407</v>
      </c>
      <c r="H545" s="67" t="str">
        <f t="shared" si="24"/>
        <v>Sep</v>
      </c>
      <c r="I545" s="9">
        <f t="shared" ca="1" si="25"/>
        <v>17</v>
      </c>
      <c r="J545" s="8" t="s">
        <v>34</v>
      </c>
      <c r="K545" s="7">
        <v>45880</v>
      </c>
      <c r="L545" s="6">
        <v>5</v>
      </c>
      <c r="M545" s="31">
        <f t="shared" si="26"/>
        <v>45880</v>
      </c>
      <c r="N545" s="65"/>
      <c r="O545" s="14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5">
      <c r="A546" s="1" t="s">
        <v>232</v>
      </c>
      <c r="B546" s="12" t="s">
        <v>10</v>
      </c>
      <c r="C546" s="1" t="s">
        <v>20</v>
      </c>
      <c r="D546" s="11">
        <v>177332873</v>
      </c>
      <c r="E546" s="11">
        <v>9195915044</v>
      </c>
      <c r="F546" s="1" t="s">
        <v>5</v>
      </c>
      <c r="G546" s="4">
        <f>35867+(364+182)</f>
        <v>36413</v>
      </c>
      <c r="H546" s="67" t="str">
        <f t="shared" si="24"/>
        <v>Sep</v>
      </c>
      <c r="I546" s="9">
        <f t="shared" ca="1" si="25"/>
        <v>17</v>
      </c>
      <c r="J546" s="8" t="s">
        <v>32</v>
      </c>
      <c r="K546" s="7">
        <v>40060</v>
      </c>
      <c r="L546" s="6">
        <v>3</v>
      </c>
      <c r="M546" s="31">
        <f t="shared" si="26"/>
        <v>40060</v>
      </c>
      <c r="N546" s="65"/>
      <c r="O546" s="14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5">
      <c r="A547" s="1" t="s">
        <v>231</v>
      </c>
      <c r="B547" s="12" t="s">
        <v>10</v>
      </c>
      <c r="C547" s="1" t="s">
        <v>72</v>
      </c>
      <c r="D547" s="11">
        <v>525507320</v>
      </c>
      <c r="E547" s="11">
        <v>2523938131</v>
      </c>
      <c r="F547" s="1" t="s">
        <v>5</v>
      </c>
      <c r="G547" s="4">
        <f>35868+(364+182)</f>
        <v>36414</v>
      </c>
      <c r="H547" s="67" t="str">
        <f t="shared" si="24"/>
        <v>Sep</v>
      </c>
      <c r="I547" s="9">
        <f t="shared" ca="1" si="25"/>
        <v>17</v>
      </c>
      <c r="J547" s="8" t="s">
        <v>8</v>
      </c>
      <c r="K547" s="7">
        <v>39680</v>
      </c>
      <c r="L547" s="6">
        <v>5</v>
      </c>
      <c r="M547" s="31">
        <f t="shared" si="26"/>
        <v>39680</v>
      </c>
      <c r="N547" s="65"/>
      <c r="O547" s="14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5">
      <c r="A548" s="1" t="s">
        <v>230</v>
      </c>
      <c r="B548" s="12" t="s">
        <v>13</v>
      </c>
      <c r="C548" s="1" t="s">
        <v>20</v>
      </c>
      <c r="D548" s="11">
        <v>594680949</v>
      </c>
      <c r="E548" s="11">
        <v>9192375580</v>
      </c>
      <c r="F548" s="1" t="s">
        <v>15</v>
      </c>
      <c r="G548" s="4">
        <f>35876+(364+182)</f>
        <v>36422</v>
      </c>
      <c r="H548" s="67" t="str">
        <f t="shared" si="24"/>
        <v>Sep</v>
      </c>
      <c r="I548" s="9">
        <f t="shared" ca="1" si="25"/>
        <v>17</v>
      </c>
      <c r="J548" s="8" t="s">
        <v>4</v>
      </c>
      <c r="K548" s="7">
        <v>17270</v>
      </c>
      <c r="L548" s="6">
        <v>5</v>
      </c>
      <c r="M548" s="31">
        <f t="shared" si="26"/>
        <v>17270</v>
      </c>
      <c r="N548" s="65"/>
      <c r="O548" s="14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5">
      <c r="A549" s="1" t="s">
        <v>229</v>
      </c>
      <c r="B549" s="12" t="s">
        <v>13</v>
      </c>
      <c r="C549" s="1" t="s">
        <v>52</v>
      </c>
      <c r="D549" s="11">
        <v>393973492</v>
      </c>
      <c r="E549" s="11">
        <v>2522869792</v>
      </c>
      <c r="F549" s="1" t="s">
        <v>15</v>
      </c>
      <c r="G549" s="4">
        <f>35877+(364+182)</f>
        <v>36423</v>
      </c>
      <c r="H549" s="67" t="str">
        <f t="shared" si="24"/>
        <v>Sep</v>
      </c>
      <c r="I549" s="9">
        <f t="shared" ca="1" si="25"/>
        <v>17</v>
      </c>
      <c r="J549" s="8" t="s">
        <v>8</v>
      </c>
      <c r="K549" s="7">
        <v>47350</v>
      </c>
      <c r="L549" s="6">
        <v>1</v>
      </c>
      <c r="M549" s="31">
        <f t="shared" si="26"/>
        <v>47350</v>
      </c>
      <c r="N549" s="65"/>
      <c r="O549" s="14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5">
      <c r="A550" s="1" t="s">
        <v>228</v>
      </c>
      <c r="B550" s="12" t="s">
        <v>13</v>
      </c>
      <c r="C550" s="1" t="s">
        <v>20</v>
      </c>
      <c r="D550" s="11">
        <v>559376297</v>
      </c>
      <c r="E550" s="11">
        <v>9194888110</v>
      </c>
      <c r="F550" s="1" t="s">
        <v>5</v>
      </c>
      <c r="G550" s="4">
        <f>35885+(364+182)</f>
        <v>36431</v>
      </c>
      <c r="H550" s="67" t="str">
        <f t="shared" si="24"/>
        <v>Sep</v>
      </c>
      <c r="I550" s="9">
        <f t="shared" ca="1" si="25"/>
        <v>17</v>
      </c>
      <c r="J550" s="8" t="s">
        <v>32</v>
      </c>
      <c r="K550" s="7">
        <v>35820</v>
      </c>
      <c r="L550" s="6">
        <v>2</v>
      </c>
      <c r="M550" s="31">
        <f t="shared" si="26"/>
        <v>35820</v>
      </c>
      <c r="N550" s="65"/>
      <c r="O550" s="14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5">
      <c r="A551" s="1" t="s">
        <v>227</v>
      </c>
      <c r="B551" s="12" t="s">
        <v>39</v>
      </c>
      <c r="C551" s="1" t="s">
        <v>37</v>
      </c>
      <c r="D551" s="11">
        <v>767961463</v>
      </c>
      <c r="E551" s="11">
        <v>2523646601</v>
      </c>
      <c r="F551" s="1" t="s">
        <v>12</v>
      </c>
      <c r="G551" s="4">
        <f>36231+(364+182)</f>
        <v>36777</v>
      </c>
      <c r="H551" s="67" t="str">
        <f t="shared" si="24"/>
        <v>Sep</v>
      </c>
      <c r="I551" s="9">
        <f t="shared" ca="1" si="25"/>
        <v>16</v>
      </c>
      <c r="J551" s="8"/>
      <c r="K551" s="7">
        <v>76690</v>
      </c>
      <c r="L551" s="6">
        <v>3</v>
      </c>
      <c r="M551" s="31">
        <f t="shared" si="26"/>
        <v>76690</v>
      </c>
      <c r="N551" s="65"/>
      <c r="O551" s="68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25">
      <c r="A552" s="1" t="s">
        <v>226</v>
      </c>
      <c r="B552" s="12" t="s">
        <v>13</v>
      </c>
      <c r="C552" s="1" t="s">
        <v>22</v>
      </c>
      <c r="D552" s="11">
        <v>938723321</v>
      </c>
      <c r="E552" s="11">
        <v>9196456972</v>
      </c>
      <c r="F552" s="1" t="s">
        <v>12</v>
      </c>
      <c r="G552" s="4">
        <f>36241+(364+182)</f>
        <v>36787</v>
      </c>
      <c r="H552" s="67" t="str">
        <f t="shared" si="24"/>
        <v>Sep</v>
      </c>
      <c r="I552" s="9">
        <f t="shared" ca="1" si="25"/>
        <v>16</v>
      </c>
      <c r="J552" s="8"/>
      <c r="K552" s="7">
        <v>89640</v>
      </c>
      <c r="L552" s="6">
        <v>4</v>
      </c>
      <c r="M552" s="31">
        <f t="shared" si="26"/>
        <v>89640</v>
      </c>
      <c r="N552" s="65"/>
      <c r="O552" s="14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5">
      <c r="A553" s="1" t="s">
        <v>225</v>
      </c>
      <c r="B553" s="12" t="s">
        <v>39</v>
      </c>
      <c r="C553" s="1" t="s">
        <v>60</v>
      </c>
      <c r="D553" s="11">
        <v>372693786</v>
      </c>
      <c r="E553" s="11">
        <v>9198211050</v>
      </c>
      <c r="F553" s="1" t="s">
        <v>15</v>
      </c>
      <c r="G553" s="4">
        <f>36592+(364+182)</f>
        <v>37138</v>
      </c>
      <c r="H553" s="67" t="str">
        <f t="shared" si="24"/>
        <v>Sep</v>
      </c>
      <c r="I553" s="9">
        <f t="shared" ca="1" si="25"/>
        <v>15</v>
      </c>
      <c r="J553" s="8" t="s">
        <v>34</v>
      </c>
      <c r="K553" s="7">
        <v>31110</v>
      </c>
      <c r="L553" s="6">
        <v>1</v>
      </c>
      <c r="M553" s="31">
        <f t="shared" si="26"/>
        <v>31110</v>
      </c>
      <c r="N553" s="65"/>
      <c r="O553" s="14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5">
      <c r="A554" s="1" t="s">
        <v>224</v>
      </c>
      <c r="B554" s="12" t="s">
        <v>17</v>
      </c>
      <c r="C554" s="1" t="s">
        <v>22</v>
      </c>
      <c r="D554" s="11">
        <v>505680981</v>
      </c>
      <c r="E554" s="11">
        <v>2527557761</v>
      </c>
      <c r="F554" s="1" t="s">
        <v>5</v>
      </c>
      <c r="G554" s="4">
        <f>36592+(364+182)</f>
        <v>37138</v>
      </c>
      <c r="H554" s="67" t="str">
        <f t="shared" si="24"/>
        <v>Sep</v>
      </c>
      <c r="I554" s="9">
        <f t="shared" ca="1" si="25"/>
        <v>15</v>
      </c>
      <c r="J554" s="8" t="s">
        <v>32</v>
      </c>
      <c r="K554" s="7">
        <v>29130</v>
      </c>
      <c r="L554" s="6">
        <v>1</v>
      </c>
      <c r="M554" s="31">
        <f t="shared" si="26"/>
        <v>29130</v>
      </c>
      <c r="N554" s="65"/>
      <c r="O554" s="14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5">
      <c r="A555" s="1" t="s">
        <v>223</v>
      </c>
      <c r="B555" s="12" t="s">
        <v>10</v>
      </c>
      <c r="C555" s="1" t="s">
        <v>60</v>
      </c>
      <c r="D555" s="11">
        <v>168147877</v>
      </c>
      <c r="E555" s="11">
        <v>9196530760</v>
      </c>
      <c r="F555" s="1" t="s">
        <v>15</v>
      </c>
      <c r="G555" s="4">
        <f>36595+(364+182)</f>
        <v>37141</v>
      </c>
      <c r="H555" s="67" t="str">
        <f t="shared" si="24"/>
        <v>Sep</v>
      </c>
      <c r="I555" s="9">
        <f t="shared" ca="1" si="25"/>
        <v>15</v>
      </c>
      <c r="J555" s="8" t="s">
        <v>8</v>
      </c>
      <c r="K555" s="7">
        <v>15910</v>
      </c>
      <c r="L555" s="6">
        <v>3</v>
      </c>
      <c r="M555" s="31">
        <f t="shared" si="26"/>
        <v>15910</v>
      </c>
      <c r="N555" s="65"/>
      <c r="O555" s="14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5">
      <c r="A556" s="1" t="s">
        <v>222</v>
      </c>
      <c r="B556" s="12" t="s">
        <v>2</v>
      </c>
      <c r="C556" s="1" t="s">
        <v>6</v>
      </c>
      <c r="D556" s="11">
        <v>971128623</v>
      </c>
      <c r="E556" s="11">
        <v>9194375399</v>
      </c>
      <c r="F556" s="1" t="s">
        <v>12</v>
      </c>
      <c r="G556" s="4">
        <f>36595+(364+182)</f>
        <v>37141</v>
      </c>
      <c r="H556" s="67" t="str">
        <f t="shared" si="24"/>
        <v>Sep</v>
      </c>
      <c r="I556" s="9">
        <f t="shared" ca="1" si="25"/>
        <v>15</v>
      </c>
      <c r="J556" s="8"/>
      <c r="K556" s="7">
        <v>25530</v>
      </c>
      <c r="L556" s="6">
        <v>3</v>
      </c>
      <c r="M556" s="31">
        <f t="shared" si="26"/>
        <v>25530</v>
      </c>
      <c r="N556" s="65"/>
      <c r="O556" s="14"/>
      <c r="P556" s="5"/>
      <c r="Q556" s="5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25">
      <c r="A557" s="1" t="s">
        <v>221</v>
      </c>
      <c r="B557" s="12" t="s">
        <v>13</v>
      </c>
      <c r="C557" s="1" t="s">
        <v>50</v>
      </c>
      <c r="D557" s="11">
        <v>875920441</v>
      </c>
      <c r="E557" s="11">
        <v>9191715499</v>
      </c>
      <c r="F557" s="1" t="s">
        <v>15</v>
      </c>
      <c r="G557" s="4">
        <f>36959+(364+182)</f>
        <v>37505</v>
      </c>
      <c r="H557" s="67" t="str">
        <f t="shared" si="24"/>
        <v>Sep</v>
      </c>
      <c r="I557" s="9">
        <f t="shared" ca="1" si="25"/>
        <v>14</v>
      </c>
      <c r="J557" s="8" t="s">
        <v>8</v>
      </c>
      <c r="K557" s="7">
        <v>51800</v>
      </c>
      <c r="L557" s="6">
        <v>1</v>
      </c>
      <c r="M557" s="31">
        <f t="shared" si="26"/>
        <v>51800</v>
      </c>
      <c r="N557" s="65"/>
      <c r="O557" s="14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25">
      <c r="A558" s="1" t="s">
        <v>220</v>
      </c>
      <c r="B558" s="12" t="s">
        <v>17</v>
      </c>
      <c r="C558" s="1" t="s">
        <v>20</v>
      </c>
      <c r="D558" s="11">
        <v>468053610</v>
      </c>
      <c r="E558" s="11">
        <v>2525344270</v>
      </c>
      <c r="F558" s="1" t="s">
        <v>5</v>
      </c>
      <c r="G558" s="4">
        <f>36963+(364+182)</f>
        <v>37509</v>
      </c>
      <c r="H558" s="67" t="str">
        <f t="shared" si="24"/>
        <v>Sep</v>
      </c>
      <c r="I558" s="9">
        <f t="shared" ca="1" si="25"/>
        <v>14</v>
      </c>
      <c r="J558" s="8" t="s">
        <v>4</v>
      </c>
      <c r="K558" s="7">
        <v>69080</v>
      </c>
      <c r="L558" s="6">
        <v>3</v>
      </c>
      <c r="M558" s="31">
        <f t="shared" si="26"/>
        <v>69080</v>
      </c>
      <c r="N558" s="65"/>
      <c r="O558" s="14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25">
      <c r="A559" s="1" t="s">
        <v>219</v>
      </c>
      <c r="B559" s="12" t="s">
        <v>13</v>
      </c>
      <c r="C559" s="1" t="s">
        <v>22</v>
      </c>
      <c r="D559" s="11">
        <v>160662505</v>
      </c>
      <c r="E559" s="11">
        <v>2526427045</v>
      </c>
      <c r="F559" s="1" t="s">
        <v>12</v>
      </c>
      <c r="G559" s="4">
        <f>36980+(364+182)</f>
        <v>37526</v>
      </c>
      <c r="H559" s="67" t="str">
        <f t="shared" si="24"/>
        <v>Sep</v>
      </c>
      <c r="I559" s="9">
        <f t="shared" ca="1" si="25"/>
        <v>14</v>
      </c>
      <c r="J559" s="8"/>
      <c r="K559" s="7">
        <v>61580</v>
      </c>
      <c r="L559" s="6">
        <v>3</v>
      </c>
      <c r="M559" s="31">
        <f t="shared" si="26"/>
        <v>61580</v>
      </c>
      <c r="N559" s="65"/>
      <c r="O559" s="14"/>
      <c r="P559" s="5"/>
      <c r="Q559" s="5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25">
      <c r="A560" s="1" t="s">
        <v>218</v>
      </c>
      <c r="B560" s="12" t="s">
        <v>13</v>
      </c>
      <c r="C560" s="1" t="s">
        <v>20</v>
      </c>
      <c r="D560" s="11">
        <v>903618594</v>
      </c>
      <c r="E560" s="11">
        <v>9194733288</v>
      </c>
      <c r="F560" s="1" t="s">
        <v>5</v>
      </c>
      <c r="G560" s="4">
        <f>37320+(364+182)</f>
        <v>37866</v>
      </c>
      <c r="H560" s="67" t="str">
        <f t="shared" si="24"/>
        <v>Sep</v>
      </c>
      <c r="I560" s="9">
        <f t="shared" ca="1" si="25"/>
        <v>13</v>
      </c>
      <c r="J560" s="8" t="s">
        <v>34</v>
      </c>
      <c r="K560" s="7">
        <v>54230</v>
      </c>
      <c r="L560" s="6">
        <v>5</v>
      </c>
      <c r="M560" s="31">
        <f t="shared" si="26"/>
        <v>54230</v>
      </c>
      <c r="N560" s="65"/>
      <c r="O560" s="14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25">
      <c r="A561" s="1" t="s">
        <v>217</v>
      </c>
      <c r="B561" s="12" t="s">
        <v>13</v>
      </c>
      <c r="C561" s="1" t="s">
        <v>84</v>
      </c>
      <c r="D561" s="11">
        <v>272036635</v>
      </c>
      <c r="E561" s="11">
        <v>2521656242</v>
      </c>
      <c r="F561" s="1" t="s">
        <v>5</v>
      </c>
      <c r="G561" s="4">
        <f>37337+(364+182)</f>
        <v>37883</v>
      </c>
      <c r="H561" s="67" t="str">
        <f t="shared" si="24"/>
        <v>Sep</v>
      </c>
      <c r="I561" s="9">
        <f t="shared" ca="1" si="25"/>
        <v>13</v>
      </c>
      <c r="J561" s="8" t="s">
        <v>32</v>
      </c>
      <c r="K561" s="7">
        <v>86530</v>
      </c>
      <c r="L561" s="6">
        <v>1</v>
      </c>
      <c r="M561" s="31">
        <f t="shared" si="26"/>
        <v>86530</v>
      </c>
      <c r="N561" s="65"/>
      <c r="O561" s="14"/>
      <c r="P561" s="5"/>
      <c r="Q561" s="5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25">
      <c r="A562" s="1" t="s">
        <v>216</v>
      </c>
      <c r="B562" s="12" t="s">
        <v>39</v>
      </c>
      <c r="C562" s="1" t="s">
        <v>52</v>
      </c>
      <c r="D562" s="11">
        <v>649292883</v>
      </c>
      <c r="E562" s="11">
        <v>9198413896</v>
      </c>
      <c r="F562" s="1" t="s">
        <v>5</v>
      </c>
      <c r="G562" s="4">
        <f>37691+(364+182)</f>
        <v>38237</v>
      </c>
      <c r="H562" s="67" t="str">
        <f t="shared" si="24"/>
        <v>Sep</v>
      </c>
      <c r="I562" s="9">
        <f t="shared" ca="1" si="25"/>
        <v>12</v>
      </c>
      <c r="J562" s="8" t="s">
        <v>4</v>
      </c>
      <c r="K562" s="7">
        <v>31910</v>
      </c>
      <c r="L562" s="6">
        <v>5</v>
      </c>
      <c r="M562" s="31">
        <f t="shared" si="26"/>
        <v>31910</v>
      </c>
      <c r="N562" s="65"/>
      <c r="O562" s="14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25">
      <c r="A563" s="1" t="s">
        <v>215</v>
      </c>
      <c r="B563" s="12" t="s">
        <v>39</v>
      </c>
      <c r="C563" s="1" t="s">
        <v>26</v>
      </c>
      <c r="D563" s="11">
        <v>733413074</v>
      </c>
      <c r="E563" s="11">
        <v>9192224790</v>
      </c>
      <c r="F563" s="1" t="s">
        <v>12</v>
      </c>
      <c r="G563" s="4">
        <f>38424+(364+182)</f>
        <v>38970</v>
      </c>
      <c r="H563" s="67" t="str">
        <f t="shared" si="24"/>
        <v>Sep</v>
      </c>
      <c r="I563" s="9">
        <f t="shared" ca="1" si="25"/>
        <v>10</v>
      </c>
      <c r="J563" s="8"/>
      <c r="K563" s="7">
        <v>83070</v>
      </c>
      <c r="L563" s="6">
        <v>3</v>
      </c>
      <c r="M563" s="31">
        <f t="shared" si="26"/>
        <v>83070</v>
      </c>
      <c r="N563" s="65"/>
      <c r="O563" s="14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25">
      <c r="A564" s="1" t="s">
        <v>214</v>
      </c>
      <c r="B564" s="12" t="s">
        <v>10</v>
      </c>
      <c r="C564" s="1" t="s">
        <v>20</v>
      </c>
      <c r="D564" s="11">
        <v>575270646</v>
      </c>
      <c r="E564" s="11">
        <v>9197819805</v>
      </c>
      <c r="F564" s="1" t="s">
        <v>5</v>
      </c>
      <c r="G564" s="4">
        <f>38802+(364+182)</f>
        <v>39348</v>
      </c>
      <c r="H564" s="67" t="str">
        <f t="shared" si="24"/>
        <v>Sep</v>
      </c>
      <c r="I564" s="9">
        <f t="shared" ca="1" si="25"/>
        <v>9</v>
      </c>
      <c r="J564" s="8" t="s">
        <v>32</v>
      </c>
      <c r="K564" s="7">
        <v>46220</v>
      </c>
      <c r="L564" s="6">
        <v>2</v>
      </c>
      <c r="M564" s="31">
        <f t="shared" si="26"/>
        <v>46220</v>
      </c>
      <c r="N564" s="65"/>
      <c r="O564" s="14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25">
      <c r="A565" s="1" t="s">
        <v>213</v>
      </c>
      <c r="B565" s="12" t="s">
        <v>17</v>
      </c>
      <c r="C565" s="1" t="s">
        <v>20</v>
      </c>
      <c r="D565" s="11">
        <v>415299442</v>
      </c>
      <c r="E565" s="11">
        <v>2521408985</v>
      </c>
      <c r="F565" s="1" t="s">
        <v>5</v>
      </c>
      <c r="G565" s="4">
        <f>39150+(364+182)</f>
        <v>39696</v>
      </c>
      <c r="H565" s="67" t="str">
        <f t="shared" si="24"/>
        <v>Sep</v>
      </c>
      <c r="I565" s="9">
        <f t="shared" ca="1" si="25"/>
        <v>8</v>
      </c>
      <c r="J565" s="8" t="s">
        <v>32</v>
      </c>
      <c r="K565" s="7">
        <v>69320</v>
      </c>
      <c r="L565" s="6">
        <v>3</v>
      </c>
      <c r="M565" s="31">
        <f t="shared" si="26"/>
        <v>69320</v>
      </c>
      <c r="N565" s="65"/>
      <c r="O565" s="14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25">
      <c r="A566" s="14" t="s">
        <v>212</v>
      </c>
      <c r="B566" s="12" t="s">
        <v>39</v>
      </c>
      <c r="C566" s="14" t="s">
        <v>37</v>
      </c>
      <c r="D566" s="15">
        <v>297852686</v>
      </c>
      <c r="E566" s="15">
        <v>2525832994</v>
      </c>
      <c r="F566" s="14" t="s">
        <v>5</v>
      </c>
      <c r="G566" s="10">
        <f>39158+(364+182)</f>
        <v>39704</v>
      </c>
      <c r="H566" s="67" t="str">
        <f t="shared" si="24"/>
        <v>Sep</v>
      </c>
      <c r="I566" s="9">
        <f t="shared" ca="1" si="25"/>
        <v>8</v>
      </c>
      <c r="J566" s="8" t="s">
        <v>8</v>
      </c>
      <c r="K566" s="7">
        <v>58290</v>
      </c>
      <c r="L566" s="6">
        <v>5</v>
      </c>
      <c r="M566" s="31">
        <f t="shared" si="26"/>
        <v>58290</v>
      </c>
      <c r="N566" s="65"/>
      <c r="O566" s="68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25">
      <c r="A567" s="1" t="s">
        <v>211</v>
      </c>
      <c r="B567" s="12" t="s">
        <v>13</v>
      </c>
      <c r="C567" s="1" t="s">
        <v>52</v>
      </c>
      <c r="D567" s="11">
        <v>932553359</v>
      </c>
      <c r="E567" s="11">
        <v>9192376215</v>
      </c>
      <c r="F567" s="1" t="s">
        <v>12</v>
      </c>
      <c r="G567" s="4">
        <f>39174+(364+182)</f>
        <v>39720</v>
      </c>
      <c r="H567" s="67" t="str">
        <f t="shared" si="24"/>
        <v>Sep</v>
      </c>
      <c r="I567" s="9">
        <f t="shared" ca="1" si="25"/>
        <v>8</v>
      </c>
      <c r="J567" s="8"/>
      <c r="K567" s="7">
        <v>43320</v>
      </c>
      <c r="L567" s="6">
        <v>5</v>
      </c>
      <c r="M567" s="31">
        <f t="shared" si="26"/>
        <v>43320</v>
      </c>
      <c r="N567" s="65"/>
      <c r="O567" s="14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25">
      <c r="A568" s="1" t="s">
        <v>210</v>
      </c>
      <c r="B568" s="12" t="s">
        <v>10</v>
      </c>
      <c r="C568" s="1" t="s">
        <v>52</v>
      </c>
      <c r="D568" s="11">
        <v>491830893</v>
      </c>
      <c r="E568" s="11">
        <v>2524713634</v>
      </c>
      <c r="F568" s="1" t="s">
        <v>5</v>
      </c>
      <c r="G568" s="4">
        <f>39532+(364+182)</f>
        <v>40078</v>
      </c>
      <c r="H568" s="67" t="str">
        <f t="shared" si="24"/>
        <v>Sep</v>
      </c>
      <c r="I568" s="9">
        <f t="shared" ca="1" si="25"/>
        <v>7</v>
      </c>
      <c r="J568" s="8" t="s">
        <v>4</v>
      </c>
      <c r="K568" s="7">
        <v>23190</v>
      </c>
      <c r="L568" s="6">
        <v>5</v>
      </c>
      <c r="M568" s="31">
        <f t="shared" si="26"/>
        <v>23190</v>
      </c>
      <c r="N568" s="65"/>
      <c r="O568" s="14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25">
      <c r="A569" s="1" t="s">
        <v>209</v>
      </c>
      <c r="B569" s="12" t="s">
        <v>2</v>
      </c>
      <c r="C569" s="1" t="s">
        <v>60</v>
      </c>
      <c r="D569" s="11">
        <v>506165137</v>
      </c>
      <c r="E569" s="11">
        <v>9193613417</v>
      </c>
      <c r="F569" s="1" t="s">
        <v>5</v>
      </c>
      <c r="G569" s="4">
        <f>39537+(364+182)</f>
        <v>40083</v>
      </c>
      <c r="H569" s="67" t="str">
        <f t="shared" si="24"/>
        <v>Sep</v>
      </c>
      <c r="I569" s="9">
        <f t="shared" ca="1" si="25"/>
        <v>7</v>
      </c>
      <c r="J569" s="8" t="s">
        <v>4</v>
      </c>
      <c r="K569" s="7">
        <v>44150</v>
      </c>
      <c r="L569" s="6">
        <v>4</v>
      </c>
      <c r="M569" s="31">
        <f t="shared" si="26"/>
        <v>44150</v>
      </c>
      <c r="N569" s="65"/>
      <c r="O569" s="14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25">
      <c r="A570" s="1" t="s">
        <v>208</v>
      </c>
      <c r="B570" s="12" t="s">
        <v>17</v>
      </c>
      <c r="C570" s="1" t="s">
        <v>26</v>
      </c>
      <c r="D570" s="11">
        <v>873100939</v>
      </c>
      <c r="E570" s="11">
        <v>9191259179</v>
      </c>
      <c r="F570" s="1" t="s">
        <v>5</v>
      </c>
      <c r="G570" s="4">
        <f>39539+(364+182)</f>
        <v>40085</v>
      </c>
      <c r="H570" s="67" t="str">
        <f t="shared" si="24"/>
        <v>Sep</v>
      </c>
      <c r="I570" s="9">
        <f t="shared" ca="1" si="25"/>
        <v>7</v>
      </c>
      <c r="J570" s="8" t="s">
        <v>32</v>
      </c>
      <c r="K570" s="7">
        <v>41490</v>
      </c>
      <c r="L570" s="6">
        <v>5</v>
      </c>
      <c r="M570" s="31">
        <f t="shared" si="26"/>
        <v>41490</v>
      </c>
      <c r="N570" s="65"/>
      <c r="O570" s="14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25">
      <c r="A571" s="1" t="s">
        <v>207</v>
      </c>
      <c r="B571" s="12" t="s">
        <v>13</v>
      </c>
      <c r="C571" s="1" t="s">
        <v>22</v>
      </c>
      <c r="D571" s="11">
        <v>953109212</v>
      </c>
      <c r="E571" s="11">
        <v>9191664940</v>
      </c>
      <c r="F571" s="1" t="s">
        <v>5</v>
      </c>
      <c r="G571" s="4">
        <f>39892+(364+182)</f>
        <v>40438</v>
      </c>
      <c r="H571" s="67" t="str">
        <f t="shared" si="24"/>
        <v>Sep</v>
      </c>
      <c r="I571" s="9">
        <f t="shared" ca="1" si="25"/>
        <v>6</v>
      </c>
      <c r="J571" s="8" t="s">
        <v>19</v>
      </c>
      <c r="K571" s="7">
        <v>59150</v>
      </c>
      <c r="L571" s="6">
        <v>4</v>
      </c>
      <c r="M571" s="31">
        <f t="shared" si="26"/>
        <v>59150</v>
      </c>
      <c r="N571" s="65"/>
      <c r="O571" s="14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25">
      <c r="A572" s="1" t="s">
        <v>206</v>
      </c>
      <c r="B572" s="12" t="s">
        <v>17</v>
      </c>
      <c r="C572" s="1" t="s">
        <v>60</v>
      </c>
      <c r="D572" s="11">
        <v>999156829</v>
      </c>
      <c r="E572" s="11">
        <v>2521401774</v>
      </c>
      <c r="F572" s="1" t="s">
        <v>5</v>
      </c>
      <c r="G572" s="4">
        <f>39901+(364+182)</f>
        <v>40447</v>
      </c>
      <c r="H572" s="67" t="str">
        <f t="shared" si="24"/>
        <v>Sep</v>
      </c>
      <c r="I572" s="9">
        <f t="shared" ca="1" si="25"/>
        <v>6</v>
      </c>
      <c r="J572" s="8" t="s">
        <v>32</v>
      </c>
      <c r="K572" s="7">
        <v>33970</v>
      </c>
      <c r="L572" s="6">
        <v>4</v>
      </c>
      <c r="M572" s="31">
        <f t="shared" si="26"/>
        <v>33970</v>
      </c>
      <c r="N572" s="65"/>
      <c r="O572" s="14"/>
      <c r="P572" s="5"/>
      <c r="Q572" s="5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25">
      <c r="A573" s="1" t="s">
        <v>205</v>
      </c>
      <c r="B573" s="12" t="s">
        <v>13</v>
      </c>
      <c r="C573" s="1" t="s">
        <v>20</v>
      </c>
      <c r="D573" s="11">
        <v>876777922</v>
      </c>
      <c r="E573" s="11">
        <v>2527358099</v>
      </c>
      <c r="F573" s="1" t="s">
        <v>12</v>
      </c>
      <c r="G573" s="13">
        <f>39903+(364+182)</f>
        <v>40449</v>
      </c>
      <c r="H573" s="67" t="str">
        <f t="shared" si="24"/>
        <v>Sep</v>
      </c>
      <c r="I573" s="9">
        <f t="shared" ca="1" si="25"/>
        <v>6</v>
      </c>
      <c r="J573" s="8"/>
      <c r="K573" s="7">
        <v>88840</v>
      </c>
      <c r="L573" s="6">
        <v>5</v>
      </c>
      <c r="M573" s="31">
        <f t="shared" si="26"/>
        <v>88840</v>
      </c>
      <c r="N573" s="65"/>
      <c r="O573" s="14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25">
      <c r="A574" s="1" t="s">
        <v>204</v>
      </c>
      <c r="B574" s="12" t="s">
        <v>13</v>
      </c>
      <c r="C574" s="1" t="s">
        <v>74</v>
      </c>
      <c r="D574" s="11">
        <v>285295419</v>
      </c>
      <c r="E574" s="11">
        <v>9197904981</v>
      </c>
      <c r="F574" s="1" t="s">
        <v>0</v>
      </c>
      <c r="G574" s="4">
        <f>32612+(364+182)</f>
        <v>33158</v>
      </c>
      <c r="H574" s="67" t="str">
        <f t="shared" si="24"/>
        <v>Oct</v>
      </c>
      <c r="I574" s="9">
        <f t="shared" ca="1" si="25"/>
        <v>26</v>
      </c>
      <c r="J574" s="8"/>
      <c r="K574" s="7">
        <v>33232</v>
      </c>
      <c r="L574" s="6">
        <v>4</v>
      </c>
      <c r="M574" s="31">
        <f t="shared" si="26"/>
        <v>33232</v>
      </c>
      <c r="N574" s="65"/>
      <c r="O574" s="14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25">
      <c r="A575" s="1" t="s">
        <v>203</v>
      </c>
      <c r="B575" s="12" t="s">
        <v>39</v>
      </c>
      <c r="C575" s="1" t="s">
        <v>74</v>
      </c>
      <c r="D575" s="11">
        <v>671360508</v>
      </c>
      <c r="E575" s="11">
        <v>2528385730</v>
      </c>
      <c r="F575" s="1" t="s">
        <v>15</v>
      </c>
      <c r="G575" s="17">
        <f>32614+(364+182)</f>
        <v>33160</v>
      </c>
      <c r="H575" s="67" t="str">
        <f t="shared" si="24"/>
        <v>Oct</v>
      </c>
      <c r="I575" s="9">
        <f t="shared" ca="1" si="25"/>
        <v>26</v>
      </c>
      <c r="J575" s="8" t="s">
        <v>34</v>
      </c>
      <c r="K575" s="7">
        <v>39620</v>
      </c>
      <c r="L575" s="6">
        <v>5</v>
      </c>
      <c r="M575" s="31">
        <f t="shared" si="26"/>
        <v>39620</v>
      </c>
      <c r="N575" s="65"/>
      <c r="O575" s="14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25">
      <c r="A576" s="1" t="s">
        <v>202</v>
      </c>
      <c r="B576" s="12" t="s">
        <v>39</v>
      </c>
      <c r="C576" s="1" t="s">
        <v>22</v>
      </c>
      <c r="D576" s="11">
        <v>484442635</v>
      </c>
      <c r="E576" s="11">
        <v>2527194901</v>
      </c>
      <c r="F576" s="1" t="s">
        <v>12</v>
      </c>
      <c r="G576" s="4">
        <f>32621+(364+182)</f>
        <v>33167</v>
      </c>
      <c r="H576" s="67" t="str">
        <f t="shared" si="24"/>
        <v>Oct</v>
      </c>
      <c r="I576" s="9">
        <f t="shared" ca="1" si="25"/>
        <v>26</v>
      </c>
      <c r="J576" s="8"/>
      <c r="K576" s="7">
        <v>23020</v>
      </c>
      <c r="L576" s="6">
        <v>4</v>
      </c>
      <c r="M576" s="31">
        <f t="shared" si="26"/>
        <v>23020</v>
      </c>
      <c r="N576" s="65"/>
      <c r="O576" s="14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25">
      <c r="A577" s="1" t="s">
        <v>201</v>
      </c>
      <c r="B577" s="12" t="s">
        <v>2</v>
      </c>
      <c r="C577" s="1" t="s">
        <v>74</v>
      </c>
      <c r="D577" s="11">
        <v>834061135</v>
      </c>
      <c r="E577" s="11">
        <v>9198472270</v>
      </c>
      <c r="F577" s="1" t="s">
        <v>5</v>
      </c>
      <c r="G577" s="4">
        <f>32967+(364+182)</f>
        <v>33513</v>
      </c>
      <c r="H577" s="67" t="str">
        <f t="shared" si="24"/>
        <v>Oct</v>
      </c>
      <c r="I577" s="9">
        <f t="shared" ca="1" si="25"/>
        <v>25</v>
      </c>
      <c r="J577" s="8" t="s">
        <v>19</v>
      </c>
      <c r="K577" s="7">
        <v>44560</v>
      </c>
      <c r="L577" s="6">
        <v>2</v>
      </c>
      <c r="M577" s="31">
        <f t="shared" si="26"/>
        <v>44560</v>
      </c>
      <c r="N577" s="65"/>
      <c r="O577" s="14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25">
      <c r="A578" s="1" t="s">
        <v>200</v>
      </c>
      <c r="B578" s="12" t="s">
        <v>17</v>
      </c>
      <c r="C578" s="1" t="s">
        <v>22</v>
      </c>
      <c r="D578" s="11">
        <v>387131597</v>
      </c>
      <c r="E578" s="11">
        <v>9191963194</v>
      </c>
      <c r="F578" s="1" t="s">
        <v>12</v>
      </c>
      <c r="G578" s="4">
        <f>32969+(364+182)</f>
        <v>33515</v>
      </c>
      <c r="H578" s="67" t="str">
        <f t="shared" si="24"/>
        <v>Oct</v>
      </c>
      <c r="I578" s="9">
        <f t="shared" ca="1" si="25"/>
        <v>25</v>
      </c>
      <c r="J578" s="8"/>
      <c r="K578" s="7">
        <v>52750</v>
      </c>
      <c r="L578" s="6">
        <v>1</v>
      </c>
      <c r="M578" s="31">
        <f t="shared" si="26"/>
        <v>52750</v>
      </c>
      <c r="N578" s="65"/>
      <c r="O578" s="14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25">
      <c r="A579" s="1" t="s">
        <v>199</v>
      </c>
      <c r="B579" s="12" t="s">
        <v>17</v>
      </c>
      <c r="C579" s="1" t="s">
        <v>22</v>
      </c>
      <c r="D579" s="11">
        <v>880747384</v>
      </c>
      <c r="E579" s="11">
        <v>9195220001</v>
      </c>
      <c r="F579" s="1" t="s">
        <v>5</v>
      </c>
      <c r="G579" s="4">
        <f>32980+(364+182)</f>
        <v>33526</v>
      </c>
      <c r="H579" s="67" t="str">
        <f t="shared" ref="H579:H642" si="27">CHOOSE(MONTH(G579),"Jan","Feb","Mar","Apr","May","Jun","Jul","Aug","Sep","Oct","Nov","Dec")</f>
        <v>Oct</v>
      </c>
      <c r="I579" s="9">
        <f t="shared" ref="I579:I642" ca="1" si="28">DATEDIF(G579,TODAY(),"Y")</f>
        <v>25</v>
      </c>
      <c r="J579" s="8" t="s">
        <v>19</v>
      </c>
      <c r="K579" s="7">
        <v>79400</v>
      </c>
      <c r="L579" s="6">
        <v>4</v>
      </c>
      <c r="M579" s="31">
        <f t="shared" ref="M579:M642" si="29">ROUND(K579*P577+K579,0)</f>
        <v>79400</v>
      </c>
      <c r="N579" s="65"/>
      <c r="O579" s="14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25">
      <c r="A580" s="1" t="s">
        <v>198</v>
      </c>
      <c r="B580" s="12" t="s">
        <v>17</v>
      </c>
      <c r="C580" s="1" t="s">
        <v>26</v>
      </c>
      <c r="D580" s="11">
        <v>631405285</v>
      </c>
      <c r="E580" s="11">
        <v>2527491979</v>
      </c>
      <c r="F580" s="1" t="s">
        <v>5</v>
      </c>
      <c r="G580" s="4">
        <f>32981+(364+182)</f>
        <v>33527</v>
      </c>
      <c r="H580" s="67" t="str">
        <f t="shared" si="27"/>
        <v>Oct</v>
      </c>
      <c r="I580" s="9">
        <f t="shared" ca="1" si="28"/>
        <v>25</v>
      </c>
      <c r="J580" s="8" t="s">
        <v>4</v>
      </c>
      <c r="K580" s="7">
        <v>85920</v>
      </c>
      <c r="L580" s="6">
        <v>4</v>
      </c>
      <c r="M580" s="31">
        <f t="shared" si="29"/>
        <v>85920</v>
      </c>
      <c r="N580" s="65"/>
      <c r="O580" s="14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25">
      <c r="A581" s="1" t="s">
        <v>197</v>
      </c>
      <c r="B581" s="12" t="s">
        <v>17</v>
      </c>
      <c r="C581" s="1" t="s">
        <v>74</v>
      </c>
      <c r="D581" s="11">
        <v>444159297</v>
      </c>
      <c r="E581" s="11">
        <v>2522456406</v>
      </c>
      <c r="F581" s="1" t="s">
        <v>5</v>
      </c>
      <c r="G581" s="4">
        <f>32990+(364+182)</f>
        <v>33536</v>
      </c>
      <c r="H581" s="67" t="str">
        <f t="shared" si="27"/>
        <v>Oct</v>
      </c>
      <c r="I581" s="9">
        <f t="shared" ca="1" si="28"/>
        <v>25</v>
      </c>
      <c r="J581" s="8" t="s">
        <v>32</v>
      </c>
      <c r="K581" s="7">
        <v>81530</v>
      </c>
      <c r="L581" s="6">
        <v>5</v>
      </c>
      <c r="M581" s="31">
        <f t="shared" si="29"/>
        <v>81530</v>
      </c>
      <c r="N581" s="65"/>
      <c r="O581" s="14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25">
      <c r="A582" s="1" t="s">
        <v>196</v>
      </c>
      <c r="B582" s="12" t="s">
        <v>13</v>
      </c>
      <c r="C582" s="1" t="s">
        <v>28</v>
      </c>
      <c r="D582" s="11">
        <v>868128171</v>
      </c>
      <c r="E582" s="11">
        <v>2525048978</v>
      </c>
      <c r="F582" s="1" t="s">
        <v>5</v>
      </c>
      <c r="G582" s="4">
        <f>33332+(364+182)</f>
        <v>33878</v>
      </c>
      <c r="H582" s="67" t="str">
        <f t="shared" si="27"/>
        <v>Oct</v>
      </c>
      <c r="I582" s="9">
        <f t="shared" ca="1" si="28"/>
        <v>24</v>
      </c>
      <c r="J582" s="8" t="s">
        <v>8</v>
      </c>
      <c r="K582" s="7">
        <v>75370</v>
      </c>
      <c r="L582" s="6">
        <v>2</v>
      </c>
      <c r="M582" s="31">
        <f t="shared" si="29"/>
        <v>75370</v>
      </c>
      <c r="N582" s="65"/>
      <c r="O582" s="14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25">
      <c r="A583" s="1" t="s">
        <v>195</v>
      </c>
      <c r="B583" s="12" t="s">
        <v>17</v>
      </c>
      <c r="C583" s="1" t="s">
        <v>28</v>
      </c>
      <c r="D583" s="11">
        <v>150132247</v>
      </c>
      <c r="E583" s="11">
        <v>9198561612</v>
      </c>
      <c r="F583" s="1" t="s">
        <v>5</v>
      </c>
      <c r="G583" s="4">
        <f>33335+(364+182)</f>
        <v>33881</v>
      </c>
      <c r="H583" s="67" t="str">
        <f t="shared" si="27"/>
        <v>Oct</v>
      </c>
      <c r="I583" s="9">
        <f t="shared" ca="1" si="28"/>
        <v>24</v>
      </c>
      <c r="J583" s="8" t="s">
        <v>8</v>
      </c>
      <c r="K583" s="7">
        <v>46910</v>
      </c>
      <c r="L583" s="6">
        <v>3</v>
      </c>
      <c r="M583" s="31">
        <f t="shared" si="29"/>
        <v>46910</v>
      </c>
      <c r="N583" s="65"/>
      <c r="O583" s="14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25">
      <c r="A584" s="1" t="s">
        <v>194</v>
      </c>
      <c r="B584" s="12" t="s">
        <v>2</v>
      </c>
      <c r="C584" s="1" t="s">
        <v>52</v>
      </c>
      <c r="D584" s="11">
        <v>878902154</v>
      </c>
      <c r="E584" s="11">
        <v>9191155509</v>
      </c>
      <c r="F584" s="1" t="s">
        <v>15</v>
      </c>
      <c r="G584" s="4">
        <f>33344+(364+182)</f>
        <v>33890</v>
      </c>
      <c r="H584" s="67" t="str">
        <f t="shared" si="27"/>
        <v>Oct</v>
      </c>
      <c r="I584" s="9">
        <f t="shared" ca="1" si="28"/>
        <v>24</v>
      </c>
      <c r="J584" s="8" t="s">
        <v>4</v>
      </c>
      <c r="K584" s="7">
        <v>25885</v>
      </c>
      <c r="L584" s="6">
        <v>5</v>
      </c>
      <c r="M584" s="31">
        <f t="shared" si="29"/>
        <v>25885</v>
      </c>
      <c r="N584" s="65"/>
      <c r="O584" s="14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25">
      <c r="A585" s="1" t="s">
        <v>193</v>
      </c>
      <c r="B585" s="12" t="s">
        <v>13</v>
      </c>
      <c r="C585" s="1" t="s">
        <v>26</v>
      </c>
      <c r="D585" s="11">
        <v>951516517</v>
      </c>
      <c r="E585" s="11">
        <v>2524936058</v>
      </c>
      <c r="F585" s="1" t="s">
        <v>5</v>
      </c>
      <c r="G585" s="4">
        <f>33349+(364+182)</f>
        <v>33895</v>
      </c>
      <c r="H585" s="67" t="str">
        <f t="shared" si="27"/>
        <v>Oct</v>
      </c>
      <c r="I585" s="9">
        <f t="shared" ca="1" si="28"/>
        <v>24</v>
      </c>
      <c r="J585" s="8" t="s">
        <v>4</v>
      </c>
      <c r="K585" s="7">
        <v>71670</v>
      </c>
      <c r="L585" s="6">
        <v>4</v>
      </c>
      <c r="M585" s="31">
        <f t="shared" si="29"/>
        <v>71670</v>
      </c>
      <c r="N585" s="65"/>
      <c r="O585" s="14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25">
      <c r="A586" s="1" t="s">
        <v>192</v>
      </c>
      <c r="B586" s="12" t="s">
        <v>13</v>
      </c>
      <c r="C586" s="1" t="s">
        <v>9</v>
      </c>
      <c r="D586" s="11">
        <v>802700229</v>
      </c>
      <c r="E586" s="11">
        <v>2524264889</v>
      </c>
      <c r="F586" s="1" t="s">
        <v>5</v>
      </c>
      <c r="G586" s="4">
        <f>33358+(364+182)</f>
        <v>33904</v>
      </c>
      <c r="H586" s="67" t="str">
        <f t="shared" si="27"/>
        <v>Oct</v>
      </c>
      <c r="I586" s="9">
        <f t="shared" ca="1" si="28"/>
        <v>24</v>
      </c>
      <c r="J586" s="8" t="s">
        <v>34</v>
      </c>
      <c r="K586" s="7">
        <v>87980</v>
      </c>
      <c r="L586" s="6">
        <v>1</v>
      </c>
      <c r="M586" s="31">
        <f t="shared" si="29"/>
        <v>87980</v>
      </c>
      <c r="N586" s="65"/>
      <c r="O586" s="14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25">
      <c r="A587" s="1" t="s">
        <v>191</v>
      </c>
      <c r="B587" s="12" t="s">
        <v>10</v>
      </c>
      <c r="C587" s="1" t="s">
        <v>20</v>
      </c>
      <c r="D587" s="11">
        <v>647552282</v>
      </c>
      <c r="E587" s="11">
        <v>9193392642</v>
      </c>
      <c r="F587" s="1" t="s">
        <v>12</v>
      </c>
      <c r="G587" s="4">
        <f>33719+(364+182)</f>
        <v>34265</v>
      </c>
      <c r="H587" s="67" t="str">
        <f t="shared" si="27"/>
        <v>Oct</v>
      </c>
      <c r="I587" s="9">
        <f t="shared" ca="1" si="28"/>
        <v>23</v>
      </c>
      <c r="J587" s="8"/>
      <c r="K587" s="7">
        <v>35460</v>
      </c>
      <c r="L587" s="6">
        <v>3</v>
      </c>
      <c r="M587" s="31">
        <f t="shared" si="29"/>
        <v>35460</v>
      </c>
      <c r="N587" s="65"/>
      <c r="O587" s="14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25">
      <c r="A588" s="1" t="s">
        <v>190</v>
      </c>
      <c r="B588" s="12" t="s">
        <v>56</v>
      </c>
      <c r="C588" s="1" t="s">
        <v>28</v>
      </c>
      <c r="D588" s="11">
        <v>302854692</v>
      </c>
      <c r="E588" s="11">
        <v>2528651774</v>
      </c>
      <c r="F588" s="1" t="s">
        <v>15</v>
      </c>
      <c r="G588" s="4">
        <f>34071+(364+182)</f>
        <v>34617</v>
      </c>
      <c r="H588" s="67" t="str">
        <f t="shared" si="27"/>
        <v>Oct</v>
      </c>
      <c r="I588" s="9">
        <f t="shared" ca="1" si="28"/>
        <v>22</v>
      </c>
      <c r="J588" s="8" t="s">
        <v>32</v>
      </c>
      <c r="K588" s="7">
        <v>13435</v>
      </c>
      <c r="L588" s="6">
        <v>1</v>
      </c>
      <c r="M588" s="31">
        <f t="shared" si="29"/>
        <v>13435</v>
      </c>
      <c r="N588" s="65"/>
      <c r="O588" s="14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25">
      <c r="A589" s="1" t="s">
        <v>189</v>
      </c>
      <c r="B589" s="12" t="s">
        <v>39</v>
      </c>
      <c r="C589" s="1" t="s">
        <v>22</v>
      </c>
      <c r="D589" s="11">
        <v>476243591</v>
      </c>
      <c r="E589" s="11">
        <v>9197188067</v>
      </c>
      <c r="F589" s="1" t="s">
        <v>5</v>
      </c>
      <c r="G589" s="4">
        <f>34443+(364+182)</f>
        <v>34989</v>
      </c>
      <c r="H589" s="67" t="str">
        <f t="shared" si="27"/>
        <v>Oct</v>
      </c>
      <c r="I589" s="9">
        <f t="shared" ca="1" si="28"/>
        <v>21</v>
      </c>
      <c r="J589" s="8" t="s">
        <v>32</v>
      </c>
      <c r="K589" s="7">
        <v>50570</v>
      </c>
      <c r="L589" s="6">
        <v>4</v>
      </c>
      <c r="M589" s="31">
        <f t="shared" si="29"/>
        <v>50570</v>
      </c>
      <c r="N589" s="65"/>
      <c r="O589" s="14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25">
      <c r="A590" s="1" t="s">
        <v>188</v>
      </c>
      <c r="B590" s="12" t="s">
        <v>2</v>
      </c>
      <c r="C590" s="1" t="s">
        <v>26</v>
      </c>
      <c r="D590" s="11">
        <v>964243524</v>
      </c>
      <c r="E590" s="11">
        <v>2522339143</v>
      </c>
      <c r="F590" s="1" t="s">
        <v>5</v>
      </c>
      <c r="G590" s="4">
        <f>34450+(364+182)</f>
        <v>34996</v>
      </c>
      <c r="H590" s="67" t="str">
        <f t="shared" si="27"/>
        <v>Oct</v>
      </c>
      <c r="I590" s="9">
        <f t="shared" ca="1" si="28"/>
        <v>21</v>
      </c>
      <c r="J590" s="8" t="s">
        <v>32</v>
      </c>
      <c r="K590" s="7">
        <v>67890</v>
      </c>
      <c r="L590" s="6">
        <v>5</v>
      </c>
      <c r="M590" s="31">
        <f t="shared" si="29"/>
        <v>67890</v>
      </c>
      <c r="N590" s="65"/>
      <c r="O590" s="14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25">
      <c r="A591" s="1" t="s">
        <v>187</v>
      </c>
      <c r="B591" s="12" t="s">
        <v>39</v>
      </c>
      <c r="C591" s="1" t="s">
        <v>28</v>
      </c>
      <c r="D591" s="11">
        <v>869524136</v>
      </c>
      <c r="E591" s="11">
        <v>9193640748</v>
      </c>
      <c r="F591" s="1" t="s">
        <v>5</v>
      </c>
      <c r="G591" s="4">
        <f>34793+(364+182)</f>
        <v>35339</v>
      </c>
      <c r="H591" s="67" t="str">
        <f t="shared" si="27"/>
        <v>Oct</v>
      </c>
      <c r="I591" s="9">
        <f t="shared" ca="1" si="28"/>
        <v>20</v>
      </c>
      <c r="J591" s="8" t="s">
        <v>4</v>
      </c>
      <c r="K591" s="7">
        <v>43410</v>
      </c>
      <c r="L591" s="6">
        <v>1</v>
      </c>
      <c r="M591" s="31">
        <f t="shared" si="29"/>
        <v>43410</v>
      </c>
      <c r="N591" s="65"/>
      <c r="O591" s="14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25">
      <c r="A592" s="1" t="s">
        <v>186</v>
      </c>
      <c r="B592" s="12" t="s">
        <v>56</v>
      </c>
      <c r="C592" s="1" t="s">
        <v>20</v>
      </c>
      <c r="D592" s="11">
        <v>624234626</v>
      </c>
      <c r="E592" s="11">
        <v>2523077504</v>
      </c>
      <c r="F592" s="1" t="s">
        <v>15</v>
      </c>
      <c r="G592" s="4">
        <f>34797+(364+182)</f>
        <v>35343</v>
      </c>
      <c r="H592" s="67" t="str">
        <f t="shared" si="27"/>
        <v>Oct</v>
      </c>
      <c r="I592" s="9">
        <f t="shared" ca="1" si="28"/>
        <v>20</v>
      </c>
      <c r="J592" s="8" t="s">
        <v>32</v>
      </c>
      <c r="K592" s="7">
        <v>46645</v>
      </c>
      <c r="L592" s="6">
        <v>5</v>
      </c>
      <c r="M592" s="31">
        <f t="shared" si="29"/>
        <v>46645</v>
      </c>
      <c r="N592" s="65"/>
      <c r="O592" s="14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25">
      <c r="A593" s="1" t="s">
        <v>185</v>
      </c>
      <c r="B593" s="12" t="s">
        <v>17</v>
      </c>
      <c r="C593" s="1" t="s">
        <v>20</v>
      </c>
      <c r="D593" s="11">
        <v>592631929</v>
      </c>
      <c r="E593" s="11">
        <v>2523922629</v>
      </c>
      <c r="F593" s="1" t="s">
        <v>12</v>
      </c>
      <c r="G593" s="4">
        <f>34803+(364+182)</f>
        <v>35349</v>
      </c>
      <c r="H593" s="67" t="str">
        <f t="shared" si="27"/>
        <v>Oct</v>
      </c>
      <c r="I593" s="9">
        <f t="shared" ca="1" si="28"/>
        <v>20</v>
      </c>
      <c r="J593" s="8"/>
      <c r="K593" s="7">
        <v>52940</v>
      </c>
      <c r="L593" s="6">
        <v>4</v>
      </c>
      <c r="M593" s="31">
        <f t="shared" si="29"/>
        <v>52940</v>
      </c>
      <c r="N593" s="65"/>
      <c r="O593" s="14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25">
      <c r="A594" s="1" t="s">
        <v>184</v>
      </c>
      <c r="B594" s="12" t="s">
        <v>17</v>
      </c>
      <c r="C594" s="1" t="s">
        <v>20</v>
      </c>
      <c r="D594" s="11">
        <v>371001908</v>
      </c>
      <c r="E594" s="11">
        <v>2527061632</v>
      </c>
      <c r="F594" s="1" t="s">
        <v>5</v>
      </c>
      <c r="G594" s="4">
        <f>34810+(364+182)</f>
        <v>35356</v>
      </c>
      <c r="H594" s="67" t="str">
        <f t="shared" si="27"/>
        <v>Oct</v>
      </c>
      <c r="I594" s="9">
        <f t="shared" ca="1" si="28"/>
        <v>20</v>
      </c>
      <c r="J594" s="8" t="s">
        <v>34</v>
      </c>
      <c r="K594" s="7">
        <v>45480</v>
      </c>
      <c r="L594" s="6">
        <v>4</v>
      </c>
      <c r="M594" s="31">
        <f t="shared" si="29"/>
        <v>45480</v>
      </c>
      <c r="N594" s="65"/>
      <c r="O594" s="14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25">
      <c r="A595" s="1" t="s">
        <v>183</v>
      </c>
      <c r="B595" s="12" t="s">
        <v>17</v>
      </c>
      <c r="C595" s="1" t="s">
        <v>52</v>
      </c>
      <c r="D595" s="11">
        <v>562497973</v>
      </c>
      <c r="E595" s="11">
        <v>2524111882</v>
      </c>
      <c r="F595" s="1" t="s">
        <v>5</v>
      </c>
      <c r="G595" s="4">
        <f>34810+(364+182)</f>
        <v>35356</v>
      </c>
      <c r="H595" s="67" t="str">
        <f t="shared" si="27"/>
        <v>Oct</v>
      </c>
      <c r="I595" s="9">
        <f t="shared" ca="1" si="28"/>
        <v>20</v>
      </c>
      <c r="J595" s="8" t="s">
        <v>34</v>
      </c>
      <c r="K595" s="7">
        <v>63030</v>
      </c>
      <c r="L595" s="6">
        <v>1</v>
      </c>
      <c r="M595" s="31">
        <f t="shared" si="29"/>
        <v>63030</v>
      </c>
      <c r="N595" s="65"/>
      <c r="O595" s="14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25">
      <c r="A596" s="1" t="s">
        <v>182</v>
      </c>
      <c r="B596" s="12" t="s">
        <v>2</v>
      </c>
      <c r="C596" s="1" t="s">
        <v>20</v>
      </c>
      <c r="D596" s="11">
        <v>906321388</v>
      </c>
      <c r="E596" s="11">
        <v>2527919826</v>
      </c>
      <c r="F596" s="1" t="s">
        <v>12</v>
      </c>
      <c r="G596" s="4">
        <f>34814+(364+182)</f>
        <v>35360</v>
      </c>
      <c r="H596" s="67" t="str">
        <f t="shared" si="27"/>
        <v>Oct</v>
      </c>
      <c r="I596" s="9">
        <f t="shared" ca="1" si="28"/>
        <v>20</v>
      </c>
      <c r="J596" s="8"/>
      <c r="K596" s="7">
        <v>28260</v>
      </c>
      <c r="L596" s="6">
        <v>5</v>
      </c>
      <c r="M596" s="31">
        <f t="shared" si="29"/>
        <v>28260</v>
      </c>
      <c r="N596" s="65"/>
      <c r="O596" s="14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25">
      <c r="A597" s="1" t="s">
        <v>181</v>
      </c>
      <c r="B597" s="12" t="s">
        <v>2</v>
      </c>
      <c r="C597" s="1" t="s">
        <v>20</v>
      </c>
      <c r="D597" s="11">
        <v>523758324</v>
      </c>
      <c r="E597" s="11">
        <v>9191308831</v>
      </c>
      <c r="F597" s="1" t="s">
        <v>5</v>
      </c>
      <c r="G597" s="4">
        <f>34815+(364+182)</f>
        <v>35361</v>
      </c>
      <c r="H597" s="67" t="str">
        <f t="shared" si="27"/>
        <v>Oct</v>
      </c>
      <c r="I597" s="9">
        <f t="shared" ca="1" si="28"/>
        <v>20</v>
      </c>
      <c r="J597" s="8" t="s">
        <v>32</v>
      </c>
      <c r="K597" s="7">
        <v>59320</v>
      </c>
      <c r="L597" s="6">
        <v>4</v>
      </c>
      <c r="M597" s="31">
        <f t="shared" si="29"/>
        <v>59320</v>
      </c>
      <c r="N597" s="65"/>
      <c r="O597" s="14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25">
      <c r="A598" s="1" t="s">
        <v>180</v>
      </c>
      <c r="B598" s="12" t="s">
        <v>17</v>
      </c>
      <c r="C598" s="1" t="s">
        <v>6</v>
      </c>
      <c r="D598" s="11">
        <v>793256568</v>
      </c>
      <c r="E598" s="11">
        <v>9196999991</v>
      </c>
      <c r="F598" s="1" t="s">
        <v>5</v>
      </c>
      <c r="G598" s="4">
        <f>34818+(364+182)</f>
        <v>35364</v>
      </c>
      <c r="H598" s="67" t="str">
        <f t="shared" si="27"/>
        <v>Oct</v>
      </c>
      <c r="I598" s="9">
        <f t="shared" ca="1" si="28"/>
        <v>20</v>
      </c>
      <c r="J598" s="8" t="s">
        <v>32</v>
      </c>
      <c r="K598" s="7">
        <v>27130</v>
      </c>
      <c r="L598" s="6">
        <v>5</v>
      </c>
      <c r="M598" s="31">
        <f t="shared" si="29"/>
        <v>27130</v>
      </c>
      <c r="N598" s="65"/>
      <c r="O598" s="14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25">
      <c r="A599" s="1" t="s">
        <v>179</v>
      </c>
      <c r="B599" s="12" t="s">
        <v>39</v>
      </c>
      <c r="C599" s="1" t="s">
        <v>20</v>
      </c>
      <c r="D599" s="11">
        <v>136620388</v>
      </c>
      <c r="E599" s="11">
        <v>9195119214</v>
      </c>
      <c r="F599" s="1" t="s">
        <v>5</v>
      </c>
      <c r="G599" s="4">
        <f>35168+(364+182)</f>
        <v>35714</v>
      </c>
      <c r="H599" s="67" t="str">
        <f t="shared" si="27"/>
        <v>Oct</v>
      </c>
      <c r="I599" s="9">
        <f t="shared" ca="1" si="28"/>
        <v>19</v>
      </c>
      <c r="J599" s="8" t="s">
        <v>34</v>
      </c>
      <c r="K599" s="7">
        <v>70020</v>
      </c>
      <c r="L599" s="6">
        <v>3</v>
      </c>
      <c r="M599" s="31">
        <f t="shared" si="29"/>
        <v>70020</v>
      </c>
      <c r="N599" s="65"/>
      <c r="O599" s="14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25">
      <c r="A600" s="1" t="s">
        <v>178</v>
      </c>
      <c r="B600" s="12" t="s">
        <v>10</v>
      </c>
      <c r="C600" s="1" t="s">
        <v>52</v>
      </c>
      <c r="D600" s="11">
        <v>269873478</v>
      </c>
      <c r="E600" s="11">
        <v>9198244224</v>
      </c>
      <c r="F600" s="1" t="s">
        <v>5</v>
      </c>
      <c r="G600" s="4">
        <f>35169+(364+182)</f>
        <v>35715</v>
      </c>
      <c r="H600" s="67" t="str">
        <f t="shared" si="27"/>
        <v>Oct</v>
      </c>
      <c r="I600" s="9">
        <f t="shared" ca="1" si="28"/>
        <v>19</v>
      </c>
      <c r="J600" s="8" t="s">
        <v>4</v>
      </c>
      <c r="K600" s="7">
        <v>32120</v>
      </c>
      <c r="L600" s="6">
        <v>1</v>
      </c>
      <c r="M600" s="31">
        <f t="shared" si="29"/>
        <v>32120</v>
      </c>
      <c r="N600" s="65"/>
      <c r="O600" s="14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25">
      <c r="A601" s="1" t="s">
        <v>177</v>
      </c>
      <c r="B601" s="12" t="s">
        <v>56</v>
      </c>
      <c r="C601" s="1" t="s">
        <v>9</v>
      </c>
      <c r="D601" s="11">
        <v>859204644</v>
      </c>
      <c r="E601" s="11">
        <v>9191617913</v>
      </c>
      <c r="F601" s="1" t="s">
        <v>12</v>
      </c>
      <c r="G601" s="4">
        <f>35178+(364+182)</f>
        <v>35724</v>
      </c>
      <c r="H601" s="67" t="str">
        <f t="shared" si="27"/>
        <v>Oct</v>
      </c>
      <c r="I601" s="9">
        <f t="shared" ca="1" si="28"/>
        <v>19</v>
      </c>
      <c r="J601" s="8"/>
      <c r="K601" s="7">
        <v>86470</v>
      </c>
      <c r="L601" s="6">
        <v>4</v>
      </c>
      <c r="M601" s="31">
        <f t="shared" si="29"/>
        <v>86470</v>
      </c>
      <c r="N601" s="65"/>
      <c r="O601" s="14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25">
      <c r="A602" s="1" t="s">
        <v>176</v>
      </c>
      <c r="B602" s="12" t="s">
        <v>39</v>
      </c>
      <c r="C602" s="1" t="s">
        <v>52</v>
      </c>
      <c r="D602" s="11">
        <v>221347766</v>
      </c>
      <c r="E602" s="11">
        <v>2526853122</v>
      </c>
      <c r="F602" s="1" t="s">
        <v>12</v>
      </c>
      <c r="G602" s="4">
        <f>35524+(364+182)</f>
        <v>36070</v>
      </c>
      <c r="H602" s="67" t="str">
        <f t="shared" si="27"/>
        <v>Oct</v>
      </c>
      <c r="I602" s="9">
        <f t="shared" ca="1" si="28"/>
        <v>18</v>
      </c>
      <c r="J602" s="8"/>
      <c r="K602" s="7">
        <v>59050</v>
      </c>
      <c r="L602" s="6">
        <v>4</v>
      </c>
      <c r="M602" s="31">
        <f t="shared" si="29"/>
        <v>59050</v>
      </c>
      <c r="N602" s="65"/>
      <c r="O602" s="14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25">
      <c r="A603" s="1" t="s">
        <v>175</v>
      </c>
      <c r="B603" s="12" t="s">
        <v>17</v>
      </c>
      <c r="C603" s="1" t="s">
        <v>44</v>
      </c>
      <c r="D603" s="11">
        <v>863161920</v>
      </c>
      <c r="E603" s="11">
        <v>2523748373</v>
      </c>
      <c r="F603" s="1" t="s">
        <v>5</v>
      </c>
      <c r="G603" s="4">
        <f>35531+(364+182)</f>
        <v>36077</v>
      </c>
      <c r="H603" s="67" t="str">
        <f t="shared" si="27"/>
        <v>Oct</v>
      </c>
      <c r="I603" s="9">
        <f t="shared" ca="1" si="28"/>
        <v>18</v>
      </c>
      <c r="J603" s="8" t="s">
        <v>4</v>
      </c>
      <c r="K603" s="7">
        <v>50110</v>
      </c>
      <c r="L603" s="6">
        <v>1</v>
      </c>
      <c r="M603" s="31">
        <f t="shared" si="29"/>
        <v>50110</v>
      </c>
      <c r="N603" s="65"/>
      <c r="O603" s="14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25">
      <c r="A604" s="1" t="s">
        <v>174</v>
      </c>
      <c r="B604" s="12" t="s">
        <v>17</v>
      </c>
      <c r="C604" s="1" t="s">
        <v>52</v>
      </c>
      <c r="D604" s="11">
        <v>180832423</v>
      </c>
      <c r="E604" s="11">
        <v>9198097539</v>
      </c>
      <c r="F604" s="1" t="s">
        <v>5</v>
      </c>
      <c r="G604" s="4">
        <f>35532+(364+182)</f>
        <v>36078</v>
      </c>
      <c r="H604" s="67" t="str">
        <f t="shared" si="27"/>
        <v>Oct</v>
      </c>
      <c r="I604" s="9">
        <f t="shared" ca="1" si="28"/>
        <v>18</v>
      </c>
      <c r="J604" s="8" t="s">
        <v>8</v>
      </c>
      <c r="K604" s="7">
        <v>79610</v>
      </c>
      <c r="L604" s="6">
        <v>2</v>
      </c>
      <c r="M604" s="31">
        <f t="shared" si="29"/>
        <v>79610</v>
      </c>
      <c r="N604" s="65"/>
      <c r="O604" s="14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25">
      <c r="A605" s="1" t="s">
        <v>173</v>
      </c>
      <c r="B605" s="12" t="s">
        <v>56</v>
      </c>
      <c r="C605" s="1" t="s">
        <v>6</v>
      </c>
      <c r="D605" s="11">
        <v>332494481</v>
      </c>
      <c r="E605" s="11">
        <v>9192094386</v>
      </c>
      <c r="F605" s="1" t="s">
        <v>5</v>
      </c>
      <c r="G605" s="4">
        <f>35534+(364+182)</f>
        <v>36080</v>
      </c>
      <c r="H605" s="67" t="str">
        <f t="shared" si="27"/>
        <v>Oct</v>
      </c>
      <c r="I605" s="9">
        <f t="shared" ca="1" si="28"/>
        <v>18</v>
      </c>
      <c r="J605" s="8" t="s">
        <v>4</v>
      </c>
      <c r="K605" s="7">
        <v>48410</v>
      </c>
      <c r="L605" s="6">
        <v>5</v>
      </c>
      <c r="M605" s="31">
        <f t="shared" si="29"/>
        <v>48410</v>
      </c>
      <c r="N605" s="65"/>
      <c r="O605" s="14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25">
      <c r="A606" s="1" t="s">
        <v>172</v>
      </c>
      <c r="B606" s="12" t="s">
        <v>39</v>
      </c>
      <c r="C606" s="1" t="s">
        <v>52</v>
      </c>
      <c r="D606" s="11">
        <v>291274360</v>
      </c>
      <c r="E606" s="11">
        <v>2524563177</v>
      </c>
      <c r="F606" s="1" t="s">
        <v>5</v>
      </c>
      <c r="G606" s="4">
        <f>35535+(364+182)</f>
        <v>36081</v>
      </c>
      <c r="H606" s="67" t="str">
        <f t="shared" si="27"/>
        <v>Oct</v>
      </c>
      <c r="I606" s="9">
        <f t="shared" ca="1" si="28"/>
        <v>18</v>
      </c>
      <c r="J606" s="8" t="s">
        <v>4</v>
      </c>
      <c r="K606" s="7">
        <v>67407</v>
      </c>
      <c r="L606" s="6">
        <v>5</v>
      </c>
      <c r="M606" s="31">
        <f t="shared" si="29"/>
        <v>67407</v>
      </c>
      <c r="N606" s="65"/>
      <c r="O606" s="14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25">
      <c r="A607" s="1" t="s">
        <v>171</v>
      </c>
      <c r="B607" s="12" t="s">
        <v>56</v>
      </c>
      <c r="C607" s="1" t="s">
        <v>72</v>
      </c>
      <c r="D607" s="11">
        <v>212136062</v>
      </c>
      <c r="E607" s="11">
        <v>9197226463</v>
      </c>
      <c r="F607" s="1" t="s">
        <v>5</v>
      </c>
      <c r="G607" s="4">
        <f>35536+(364+182)</f>
        <v>36082</v>
      </c>
      <c r="H607" s="67" t="str">
        <f t="shared" si="27"/>
        <v>Oct</v>
      </c>
      <c r="I607" s="9">
        <f t="shared" ca="1" si="28"/>
        <v>18</v>
      </c>
      <c r="J607" s="8" t="s">
        <v>4</v>
      </c>
      <c r="K607" s="7">
        <v>82400</v>
      </c>
      <c r="L607" s="6">
        <v>2</v>
      </c>
      <c r="M607" s="31">
        <f t="shared" si="29"/>
        <v>82400</v>
      </c>
      <c r="N607" s="65"/>
      <c r="O607" s="14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25">
      <c r="A608" s="1" t="s">
        <v>170</v>
      </c>
      <c r="B608" s="12" t="s">
        <v>10</v>
      </c>
      <c r="C608" s="1" t="s">
        <v>20</v>
      </c>
      <c r="D608" s="11">
        <v>504914685</v>
      </c>
      <c r="E608" s="11">
        <v>9195250630</v>
      </c>
      <c r="F608" s="1" t="s">
        <v>5</v>
      </c>
      <c r="G608" s="4">
        <f>35538+(364+182)</f>
        <v>36084</v>
      </c>
      <c r="H608" s="67" t="str">
        <f t="shared" si="27"/>
        <v>Oct</v>
      </c>
      <c r="I608" s="9">
        <f t="shared" ca="1" si="28"/>
        <v>18</v>
      </c>
      <c r="J608" s="8" t="s">
        <v>32</v>
      </c>
      <c r="K608" s="7">
        <v>33210</v>
      </c>
      <c r="L608" s="6">
        <v>4</v>
      </c>
      <c r="M608" s="31">
        <f t="shared" si="29"/>
        <v>33210</v>
      </c>
      <c r="N608" s="65"/>
      <c r="O608" s="14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25">
      <c r="A609" s="1" t="s">
        <v>169</v>
      </c>
      <c r="B609" s="12" t="s">
        <v>17</v>
      </c>
      <c r="C609" s="1" t="s">
        <v>9</v>
      </c>
      <c r="D609" s="11">
        <v>797431044</v>
      </c>
      <c r="E609" s="11">
        <v>2523820613</v>
      </c>
      <c r="F609" s="1" t="s">
        <v>0</v>
      </c>
      <c r="G609" s="4">
        <f>35538+(364+182)</f>
        <v>36084</v>
      </c>
      <c r="H609" s="67" t="str">
        <f t="shared" si="27"/>
        <v>Oct</v>
      </c>
      <c r="I609" s="9">
        <f t="shared" ca="1" si="28"/>
        <v>18</v>
      </c>
      <c r="J609" s="8"/>
      <c r="K609" s="7">
        <v>21668</v>
      </c>
      <c r="L609" s="6">
        <v>4</v>
      </c>
      <c r="M609" s="31">
        <f t="shared" si="29"/>
        <v>21668</v>
      </c>
      <c r="N609" s="65"/>
      <c r="O609" s="14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25">
      <c r="A610" s="1" t="s">
        <v>168</v>
      </c>
      <c r="B610" s="12" t="s">
        <v>13</v>
      </c>
      <c r="C610" s="1" t="s">
        <v>22</v>
      </c>
      <c r="D610" s="11">
        <v>349174221</v>
      </c>
      <c r="E610" s="11">
        <v>2521220758</v>
      </c>
      <c r="F610" s="1" t="s">
        <v>15</v>
      </c>
      <c r="G610" s="4">
        <f>35538+(364+182)</f>
        <v>36084</v>
      </c>
      <c r="H610" s="67" t="str">
        <f t="shared" si="27"/>
        <v>Oct</v>
      </c>
      <c r="I610" s="9">
        <f t="shared" ca="1" si="28"/>
        <v>18</v>
      </c>
      <c r="J610" s="8" t="s">
        <v>34</v>
      </c>
      <c r="K610" s="7">
        <v>45750</v>
      </c>
      <c r="L610" s="6">
        <v>5</v>
      </c>
      <c r="M610" s="31">
        <f t="shared" si="29"/>
        <v>45750</v>
      </c>
      <c r="N610" s="65"/>
      <c r="O610" s="14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25">
      <c r="A611" s="1" t="s">
        <v>167</v>
      </c>
      <c r="B611" s="12" t="s">
        <v>39</v>
      </c>
      <c r="C611" s="1" t="s">
        <v>22</v>
      </c>
      <c r="D611" s="11">
        <v>106686151</v>
      </c>
      <c r="E611" s="11">
        <v>2521246633</v>
      </c>
      <c r="F611" s="1" t="s">
        <v>12</v>
      </c>
      <c r="G611" s="4">
        <f>35540+(364+182)</f>
        <v>36086</v>
      </c>
      <c r="H611" s="67" t="str">
        <f t="shared" si="27"/>
        <v>Oct</v>
      </c>
      <c r="I611" s="9">
        <f t="shared" ca="1" si="28"/>
        <v>18</v>
      </c>
      <c r="J611" s="8"/>
      <c r="K611" s="7">
        <v>47520</v>
      </c>
      <c r="L611" s="6">
        <v>1</v>
      </c>
      <c r="M611" s="31">
        <f t="shared" si="29"/>
        <v>47520</v>
      </c>
      <c r="N611" s="65"/>
      <c r="O611" s="14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25">
      <c r="A612" s="1" t="s">
        <v>166</v>
      </c>
      <c r="B612" s="12" t="s">
        <v>39</v>
      </c>
      <c r="C612" s="1" t="s">
        <v>26</v>
      </c>
      <c r="D612" s="11">
        <v>474999228</v>
      </c>
      <c r="E612" s="11">
        <v>9193848677</v>
      </c>
      <c r="F612" s="1" t="s">
        <v>12</v>
      </c>
      <c r="G612" s="4">
        <f>35541+(364+182)</f>
        <v>36087</v>
      </c>
      <c r="H612" s="67" t="str">
        <f t="shared" si="27"/>
        <v>Oct</v>
      </c>
      <c r="I612" s="9">
        <f t="shared" ca="1" si="28"/>
        <v>18</v>
      </c>
      <c r="J612" s="8"/>
      <c r="K612" s="7">
        <v>76930</v>
      </c>
      <c r="L612" s="6">
        <v>1</v>
      </c>
      <c r="M612" s="31">
        <f t="shared" si="29"/>
        <v>76930</v>
      </c>
      <c r="N612" s="65"/>
      <c r="O612" s="14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25">
      <c r="A613" s="1" t="s">
        <v>165</v>
      </c>
      <c r="B613" s="12" t="s">
        <v>17</v>
      </c>
      <c r="C613" s="1" t="s">
        <v>22</v>
      </c>
      <c r="D613" s="11">
        <v>330879921</v>
      </c>
      <c r="E613" s="11">
        <v>9195691314</v>
      </c>
      <c r="F613" s="1" t="s">
        <v>5</v>
      </c>
      <c r="G613" s="4">
        <f>35542+(364+182)</f>
        <v>36088</v>
      </c>
      <c r="H613" s="67" t="str">
        <f t="shared" si="27"/>
        <v>Oct</v>
      </c>
      <c r="I613" s="9">
        <f t="shared" ca="1" si="28"/>
        <v>18</v>
      </c>
      <c r="J613" s="8" t="s">
        <v>19</v>
      </c>
      <c r="K613" s="7">
        <v>54580</v>
      </c>
      <c r="L613" s="6">
        <v>4</v>
      </c>
      <c r="M613" s="31">
        <f t="shared" si="29"/>
        <v>54580</v>
      </c>
      <c r="N613" s="65"/>
      <c r="O613" s="14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25">
      <c r="A614" s="1" t="s">
        <v>164</v>
      </c>
      <c r="B614" s="12" t="s">
        <v>13</v>
      </c>
      <c r="C614" s="1" t="s">
        <v>60</v>
      </c>
      <c r="D614" s="11">
        <v>294161481</v>
      </c>
      <c r="E614" s="11">
        <v>2521201242</v>
      </c>
      <c r="F614" s="1" t="s">
        <v>15</v>
      </c>
      <c r="G614" s="4">
        <f>35548+(364+182)</f>
        <v>36094</v>
      </c>
      <c r="H614" s="67" t="str">
        <f t="shared" si="27"/>
        <v>Oct</v>
      </c>
      <c r="I614" s="9">
        <f t="shared" ca="1" si="28"/>
        <v>18</v>
      </c>
      <c r="J614" s="8" t="s">
        <v>32</v>
      </c>
      <c r="K614" s="7">
        <v>47885</v>
      </c>
      <c r="L614" s="6">
        <v>1</v>
      </c>
      <c r="M614" s="31">
        <f t="shared" si="29"/>
        <v>47885</v>
      </c>
      <c r="N614" s="65"/>
      <c r="O614" s="14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25">
      <c r="A615" s="1" t="s">
        <v>163</v>
      </c>
      <c r="B615" s="12" t="s">
        <v>39</v>
      </c>
      <c r="C615" s="1" t="s">
        <v>20</v>
      </c>
      <c r="D615" s="11">
        <v>772163640</v>
      </c>
      <c r="E615" s="11">
        <v>9192474315</v>
      </c>
      <c r="F615" s="1" t="s">
        <v>5</v>
      </c>
      <c r="G615" s="4">
        <f>35898+(364+182)</f>
        <v>36444</v>
      </c>
      <c r="H615" s="67" t="str">
        <f t="shared" si="27"/>
        <v>Oct</v>
      </c>
      <c r="I615" s="9">
        <f t="shared" ca="1" si="28"/>
        <v>17</v>
      </c>
      <c r="J615" s="8" t="s">
        <v>32</v>
      </c>
      <c r="K615" s="7">
        <v>67280</v>
      </c>
      <c r="L615" s="6">
        <v>3</v>
      </c>
      <c r="M615" s="31">
        <f t="shared" si="29"/>
        <v>67280</v>
      </c>
      <c r="N615" s="65"/>
      <c r="O615" s="14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25">
      <c r="A616" s="1" t="s">
        <v>162</v>
      </c>
      <c r="B616" s="12" t="s">
        <v>17</v>
      </c>
      <c r="C616" s="1" t="s">
        <v>20</v>
      </c>
      <c r="D616" s="11">
        <v>384454025</v>
      </c>
      <c r="E616" s="11">
        <v>2522064219</v>
      </c>
      <c r="F616" s="1" t="s">
        <v>12</v>
      </c>
      <c r="G616" s="4">
        <f>35909+(364+182)</f>
        <v>36455</v>
      </c>
      <c r="H616" s="67" t="str">
        <f t="shared" si="27"/>
        <v>Oct</v>
      </c>
      <c r="I616" s="9">
        <f t="shared" ca="1" si="28"/>
        <v>17</v>
      </c>
      <c r="J616" s="8"/>
      <c r="K616" s="7">
        <v>23810</v>
      </c>
      <c r="L616" s="6">
        <v>4</v>
      </c>
      <c r="M616" s="31">
        <f t="shared" si="29"/>
        <v>23810</v>
      </c>
      <c r="N616" s="65"/>
      <c r="O616" s="14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25">
      <c r="A617" s="1" t="s">
        <v>161</v>
      </c>
      <c r="B617" s="12" t="s">
        <v>17</v>
      </c>
      <c r="C617" s="1" t="s">
        <v>60</v>
      </c>
      <c r="D617" s="11">
        <v>796685092</v>
      </c>
      <c r="E617" s="11">
        <v>2527469217</v>
      </c>
      <c r="F617" s="1" t="s">
        <v>5</v>
      </c>
      <c r="G617" s="4">
        <f>35910+(364+182)</f>
        <v>36456</v>
      </c>
      <c r="H617" s="67" t="str">
        <f t="shared" si="27"/>
        <v>Oct</v>
      </c>
      <c r="I617" s="9">
        <f t="shared" ca="1" si="28"/>
        <v>17</v>
      </c>
      <c r="J617" s="8" t="s">
        <v>4</v>
      </c>
      <c r="K617" s="7">
        <v>43460</v>
      </c>
      <c r="L617" s="6">
        <v>5</v>
      </c>
      <c r="M617" s="31">
        <f t="shared" si="29"/>
        <v>43460</v>
      </c>
      <c r="N617" s="65"/>
      <c r="O617" s="14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25">
      <c r="A618" s="1" t="s">
        <v>160</v>
      </c>
      <c r="B618" s="12" t="s">
        <v>2</v>
      </c>
      <c r="C618" s="1" t="s">
        <v>6</v>
      </c>
      <c r="D618" s="11">
        <v>120224342</v>
      </c>
      <c r="E618" s="11">
        <v>9198986390</v>
      </c>
      <c r="F618" s="1" t="s">
        <v>0</v>
      </c>
      <c r="G618" s="4">
        <f>35912+(364+182)</f>
        <v>36458</v>
      </c>
      <c r="H618" s="67" t="str">
        <f t="shared" si="27"/>
        <v>Oct</v>
      </c>
      <c r="I618" s="9">
        <f t="shared" ca="1" si="28"/>
        <v>17</v>
      </c>
      <c r="J618" s="8"/>
      <c r="K618" s="7">
        <v>32536</v>
      </c>
      <c r="L618" s="6">
        <v>2</v>
      </c>
      <c r="M618" s="31">
        <f t="shared" si="29"/>
        <v>32536</v>
      </c>
      <c r="N618" s="65"/>
      <c r="O618" s="14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25">
      <c r="A619" s="1" t="s">
        <v>159</v>
      </c>
      <c r="B619" s="12" t="s">
        <v>13</v>
      </c>
      <c r="C619" s="1" t="s">
        <v>6</v>
      </c>
      <c r="D619" s="11">
        <v>546546374</v>
      </c>
      <c r="E619" s="11">
        <v>9192727944</v>
      </c>
      <c r="F619" s="1" t="s">
        <v>15</v>
      </c>
      <c r="G619" s="4">
        <f>35916+(364+182)</f>
        <v>36462</v>
      </c>
      <c r="H619" s="67" t="str">
        <f t="shared" si="27"/>
        <v>Oct</v>
      </c>
      <c r="I619" s="9">
        <f t="shared" ca="1" si="28"/>
        <v>17</v>
      </c>
      <c r="J619" s="8" t="s">
        <v>4</v>
      </c>
      <c r="K619" s="7">
        <v>26185</v>
      </c>
      <c r="L619" s="6">
        <v>5</v>
      </c>
      <c r="M619" s="31">
        <f t="shared" si="29"/>
        <v>26185</v>
      </c>
      <c r="N619" s="65"/>
      <c r="O619" s="14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25">
      <c r="A620" s="1" t="s">
        <v>158</v>
      </c>
      <c r="B620" s="12" t="s">
        <v>13</v>
      </c>
      <c r="C620" s="1" t="s">
        <v>60</v>
      </c>
      <c r="D620" s="11">
        <v>424800509</v>
      </c>
      <c r="E620" s="11">
        <v>2523986051</v>
      </c>
      <c r="F620" s="1" t="s">
        <v>5</v>
      </c>
      <c r="G620" s="4">
        <f>35917+(364+182)</f>
        <v>36463</v>
      </c>
      <c r="H620" s="67" t="str">
        <f t="shared" si="27"/>
        <v>Oct</v>
      </c>
      <c r="I620" s="9">
        <f t="shared" ca="1" si="28"/>
        <v>17</v>
      </c>
      <c r="J620" s="8" t="s">
        <v>32</v>
      </c>
      <c r="K620" s="7">
        <v>44220</v>
      </c>
      <c r="L620" s="6">
        <v>3</v>
      </c>
      <c r="M620" s="31">
        <f t="shared" si="29"/>
        <v>44220</v>
      </c>
      <c r="N620" s="65"/>
      <c r="O620" s="14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25">
      <c r="A621" s="1" t="s">
        <v>157</v>
      </c>
      <c r="B621" s="12" t="s">
        <v>17</v>
      </c>
      <c r="C621" s="1" t="s">
        <v>60</v>
      </c>
      <c r="D621" s="11">
        <v>393290045</v>
      </c>
      <c r="E621" s="11">
        <v>2525268508</v>
      </c>
      <c r="F621" s="1" t="s">
        <v>15</v>
      </c>
      <c r="G621" s="4">
        <f>36620+(364+182)</f>
        <v>37166</v>
      </c>
      <c r="H621" s="67" t="str">
        <f t="shared" si="27"/>
        <v>Oct</v>
      </c>
      <c r="I621" s="9">
        <f t="shared" ca="1" si="28"/>
        <v>15</v>
      </c>
      <c r="J621" s="8" t="s">
        <v>34</v>
      </c>
      <c r="K621" s="7">
        <v>47295</v>
      </c>
      <c r="L621" s="6">
        <v>4</v>
      </c>
      <c r="M621" s="31">
        <f t="shared" si="29"/>
        <v>47295</v>
      </c>
      <c r="N621" s="65"/>
      <c r="O621" s="14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25">
      <c r="A622" s="1" t="s">
        <v>156</v>
      </c>
      <c r="B622" s="12" t="s">
        <v>17</v>
      </c>
      <c r="C622" s="1" t="s">
        <v>26</v>
      </c>
      <c r="D622" s="11">
        <v>436693732</v>
      </c>
      <c r="E622" s="11">
        <v>2524077699</v>
      </c>
      <c r="F622" s="1" t="s">
        <v>5</v>
      </c>
      <c r="G622" s="4">
        <f>36630+(364+182)</f>
        <v>37176</v>
      </c>
      <c r="H622" s="67" t="str">
        <f t="shared" si="27"/>
        <v>Oct</v>
      </c>
      <c r="I622" s="9">
        <f t="shared" ca="1" si="28"/>
        <v>15</v>
      </c>
      <c r="J622" s="8" t="s">
        <v>19</v>
      </c>
      <c r="K622" s="7">
        <v>62790</v>
      </c>
      <c r="L622" s="6">
        <v>2</v>
      </c>
      <c r="M622" s="31">
        <f t="shared" si="29"/>
        <v>62790</v>
      </c>
      <c r="N622" s="65"/>
      <c r="O622" s="14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25">
      <c r="A623" s="1" t="s">
        <v>155</v>
      </c>
      <c r="B623" s="12" t="s">
        <v>2</v>
      </c>
      <c r="C623" s="1" t="s">
        <v>20</v>
      </c>
      <c r="D623" s="11">
        <v>378189642</v>
      </c>
      <c r="E623" s="11">
        <v>2526228199</v>
      </c>
      <c r="F623" s="1" t="s">
        <v>12</v>
      </c>
      <c r="G623" s="4">
        <f>37353+(364+182)</f>
        <v>37899</v>
      </c>
      <c r="H623" s="67" t="str">
        <f t="shared" si="27"/>
        <v>Oct</v>
      </c>
      <c r="I623" s="9">
        <f t="shared" ca="1" si="28"/>
        <v>13</v>
      </c>
      <c r="J623" s="8"/>
      <c r="K623" s="7">
        <v>64220</v>
      </c>
      <c r="L623" s="6">
        <v>5</v>
      </c>
      <c r="M623" s="31">
        <f t="shared" si="29"/>
        <v>64220</v>
      </c>
      <c r="N623" s="65"/>
      <c r="O623" s="14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25">
      <c r="A624" s="1" t="s">
        <v>154</v>
      </c>
      <c r="B624" s="12" t="s">
        <v>39</v>
      </c>
      <c r="C624" s="1" t="s">
        <v>20</v>
      </c>
      <c r="D624" s="11">
        <v>361925033</v>
      </c>
      <c r="E624" s="11">
        <v>9196633751</v>
      </c>
      <c r="F624" s="1" t="s">
        <v>12</v>
      </c>
      <c r="G624" s="4">
        <f>37743+(364+182)</f>
        <v>38289</v>
      </c>
      <c r="H624" s="67" t="str">
        <f t="shared" si="27"/>
        <v>Oct</v>
      </c>
      <c r="I624" s="9">
        <f t="shared" ca="1" si="28"/>
        <v>12</v>
      </c>
      <c r="J624" s="8"/>
      <c r="K624" s="7">
        <v>71830</v>
      </c>
      <c r="L624" s="6">
        <v>3</v>
      </c>
      <c r="M624" s="31">
        <f t="shared" si="29"/>
        <v>71830</v>
      </c>
      <c r="N624" s="65"/>
      <c r="O624" s="14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25">
      <c r="A625" s="1" t="s">
        <v>153</v>
      </c>
      <c r="B625" s="12" t="s">
        <v>56</v>
      </c>
      <c r="C625" s="1" t="s">
        <v>6</v>
      </c>
      <c r="D625" s="11">
        <v>688769770</v>
      </c>
      <c r="E625" s="11">
        <v>9192416398</v>
      </c>
      <c r="F625" s="1" t="s">
        <v>5</v>
      </c>
      <c r="G625" s="4">
        <f>38080+(364+182)</f>
        <v>38626</v>
      </c>
      <c r="H625" s="67" t="str">
        <f t="shared" si="27"/>
        <v>Oct</v>
      </c>
      <c r="I625" s="9">
        <f t="shared" ca="1" si="28"/>
        <v>11</v>
      </c>
      <c r="J625" s="8" t="s">
        <v>32</v>
      </c>
      <c r="K625" s="7">
        <v>44530</v>
      </c>
      <c r="L625" s="6">
        <v>2</v>
      </c>
      <c r="M625" s="31">
        <f t="shared" si="29"/>
        <v>44530</v>
      </c>
      <c r="N625" s="65"/>
      <c r="O625" s="14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25">
      <c r="A626" s="1" t="s">
        <v>152</v>
      </c>
      <c r="B626" s="12" t="s">
        <v>39</v>
      </c>
      <c r="C626" s="1" t="s">
        <v>6</v>
      </c>
      <c r="D626" s="11">
        <v>502580266</v>
      </c>
      <c r="E626" s="11">
        <v>9197103200</v>
      </c>
      <c r="F626" s="1" t="s">
        <v>0</v>
      </c>
      <c r="G626" s="4">
        <f>38100+(364+182)</f>
        <v>38646</v>
      </c>
      <c r="H626" s="67" t="str">
        <f t="shared" si="27"/>
        <v>Oct</v>
      </c>
      <c r="I626" s="9">
        <f t="shared" ca="1" si="28"/>
        <v>11</v>
      </c>
      <c r="J626" s="8"/>
      <c r="K626" s="7">
        <v>37344</v>
      </c>
      <c r="L626" s="6">
        <v>2</v>
      </c>
      <c r="M626" s="31">
        <f t="shared" si="29"/>
        <v>37344</v>
      </c>
      <c r="N626" s="65"/>
      <c r="O626" s="14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25">
      <c r="A627" s="1" t="s">
        <v>151</v>
      </c>
      <c r="B627" s="12" t="s">
        <v>13</v>
      </c>
      <c r="C627" s="1" t="s">
        <v>22</v>
      </c>
      <c r="D627" s="11">
        <v>161439267</v>
      </c>
      <c r="E627" s="11">
        <v>9197600603</v>
      </c>
      <c r="F627" s="1" t="s">
        <v>5</v>
      </c>
      <c r="G627" s="4">
        <f>38816+(364+182)</f>
        <v>39362</v>
      </c>
      <c r="H627" s="67" t="str">
        <f t="shared" si="27"/>
        <v>Oct</v>
      </c>
      <c r="I627" s="9">
        <f t="shared" ca="1" si="28"/>
        <v>9</v>
      </c>
      <c r="J627" s="8" t="s">
        <v>34</v>
      </c>
      <c r="K627" s="7">
        <v>42020</v>
      </c>
      <c r="L627" s="6">
        <v>5</v>
      </c>
      <c r="M627" s="31">
        <f t="shared" si="29"/>
        <v>42020</v>
      </c>
      <c r="N627" s="65"/>
      <c r="O627" s="14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25">
      <c r="A628" s="1" t="s">
        <v>150</v>
      </c>
      <c r="B628" s="12" t="s">
        <v>10</v>
      </c>
      <c r="C628" s="1" t="s">
        <v>22</v>
      </c>
      <c r="D628" s="11">
        <v>486016972</v>
      </c>
      <c r="E628" s="11">
        <v>9194532398</v>
      </c>
      <c r="F628" s="1" t="s">
        <v>15</v>
      </c>
      <c r="G628" s="4">
        <f>39182+(364+182)</f>
        <v>39728</v>
      </c>
      <c r="H628" s="67" t="str">
        <f t="shared" si="27"/>
        <v>Oct</v>
      </c>
      <c r="I628" s="9">
        <f t="shared" ca="1" si="28"/>
        <v>8</v>
      </c>
      <c r="J628" s="8" t="s">
        <v>32</v>
      </c>
      <c r="K628" s="7">
        <v>45565</v>
      </c>
      <c r="L628" s="6">
        <v>1</v>
      </c>
      <c r="M628" s="31">
        <f t="shared" si="29"/>
        <v>45565</v>
      </c>
      <c r="N628" s="65"/>
      <c r="O628" s="14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25">
      <c r="A629" s="1" t="s">
        <v>149</v>
      </c>
      <c r="B629" s="12" t="s">
        <v>13</v>
      </c>
      <c r="C629" s="1" t="s">
        <v>6</v>
      </c>
      <c r="D629" s="11">
        <v>458734969</v>
      </c>
      <c r="E629" s="11">
        <v>9196354278</v>
      </c>
      <c r="F629" s="1" t="s">
        <v>5</v>
      </c>
      <c r="G629" s="4">
        <f>39182+(364+182)</f>
        <v>39728</v>
      </c>
      <c r="H629" s="67" t="str">
        <f t="shared" si="27"/>
        <v>Oct</v>
      </c>
      <c r="I629" s="9">
        <f t="shared" ca="1" si="28"/>
        <v>8</v>
      </c>
      <c r="J629" s="8" t="s">
        <v>32</v>
      </c>
      <c r="K629" s="7">
        <v>82370</v>
      </c>
      <c r="L629" s="6">
        <v>5</v>
      </c>
      <c r="M629" s="31">
        <f t="shared" si="29"/>
        <v>82370</v>
      </c>
      <c r="N629" s="65"/>
      <c r="O629" s="14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25">
      <c r="A630" s="1" t="s">
        <v>148</v>
      </c>
      <c r="B630" s="12" t="s">
        <v>39</v>
      </c>
      <c r="C630" s="1" t="s">
        <v>6</v>
      </c>
      <c r="D630" s="11">
        <v>667745362</v>
      </c>
      <c r="E630" s="11">
        <v>2522952173</v>
      </c>
      <c r="F630" s="1" t="s">
        <v>12</v>
      </c>
      <c r="G630" s="4">
        <f>39182+(364+182)</f>
        <v>39728</v>
      </c>
      <c r="H630" s="67" t="str">
        <f t="shared" si="27"/>
        <v>Oct</v>
      </c>
      <c r="I630" s="9">
        <f t="shared" ca="1" si="28"/>
        <v>8</v>
      </c>
      <c r="J630" s="8"/>
      <c r="K630" s="7">
        <v>86040</v>
      </c>
      <c r="L630" s="6">
        <v>5</v>
      </c>
      <c r="M630" s="31">
        <f t="shared" si="29"/>
        <v>86040</v>
      </c>
      <c r="N630" s="65"/>
      <c r="O630" s="14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25">
      <c r="A631" s="1" t="s">
        <v>147</v>
      </c>
      <c r="B631" s="12" t="s">
        <v>13</v>
      </c>
      <c r="C631" s="1" t="s">
        <v>52</v>
      </c>
      <c r="D631" s="11">
        <v>826508763</v>
      </c>
      <c r="E631" s="11">
        <v>2526801348</v>
      </c>
      <c r="F631" s="1" t="s">
        <v>5</v>
      </c>
      <c r="G631" s="4">
        <f>39199+(364+182)</f>
        <v>39745</v>
      </c>
      <c r="H631" s="67" t="str">
        <f t="shared" si="27"/>
        <v>Oct</v>
      </c>
      <c r="I631" s="9">
        <f t="shared" ca="1" si="28"/>
        <v>8</v>
      </c>
      <c r="J631" s="8" t="s">
        <v>4</v>
      </c>
      <c r="K631" s="7">
        <v>29330</v>
      </c>
      <c r="L631" s="6">
        <v>5</v>
      </c>
      <c r="M631" s="31">
        <f t="shared" si="29"/>
        <v>29330</v>
      </c>
      <c r="N631" s="65"/>
      <c r="O631" s="14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25">
      <c r="A632" s="1" t="s">
        <v>146</v>
      </c>
      <c r="B632" s="12" t="s">
        <v>2</v>
      </c>
      <c r="C632" s="1" t="s">
        <v>20</v>
      </c>
      <c r="D632" s="11">
        <v>484217278</v>
      </c>
      <c r="E632" s="11">
        <v>9195627374</v>
      </c>
      <c r="F632" s="1" t="s">
        <v>0</v>
      </c>
      <c r="G632" s="4">
        <f>39201+(364+182)</f>
        <v>39747</v>
      </c>
      <c r="H632" s="67" t="str">
        <f t="shared" si="27"/>
        <v>Oct</v>
      </c>
      <c r="I632" s="9">
        <f t="shared" ca="1" si="28"/>
        <v>8</v>
      </c>
      <c r="J632" s="8"/>
      <c r="K632" s="7">
        <v>10572</v>
      </c>
      <c r="L632" s="6">
        <v>4</v>
      </c>
      <c r="M632" s="31">
        <f t="shared" si="29"/>
        <v>10572</v>
      </c>
      <c r="N632" s="65"/>
      <c r="O632" s="14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25">
      <c r="A633" s="1" t="s">
        <v>145</v>
      </c>
      <c r="B633" s="12" t="s">
        <v>39</v>
      </c>
      <c r="C633" s="1" t="s">
        <v>125</v>
      </c>
      <c r="D633" s="11">
        <v>460412180</v>
      </c>
      <c r="E633" s="11">
        <v>9196822349</v>
      </c>
      <c r="F633" s="1" t="s">
        <v>5</v>
      </c>
      <c r="G633" s="4">
        <f>39560+(364+182)</f>
        <v>40106</v>
      </c>
      <c r="H633" s="67" t="str">
        <f t="shared" si="27"/>
        <v>Oct</v>
      </c>
      <c r="I633" s="9">
        <f t="shared" ca="1" si="28"/>
        <v>7</v>
      </c>
      <c r="J633" s="8" t="s">
        <v>34</v>
      </c>
      <c r="K633" s="7">
        <v>51180</v>
      </c>
      <c r="L633" s="6">
        <v>3</v>
      </c>
      <c r="M633" s="31">
        <f t="shared" si="29"/>
        <v>51180</v>
      </c>
      <c r="N633" s="69"/>
      <c r="O633" s="14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25">
      <c r="A634" s="1" t="s">
        <v>144</v>
      </c>
      <c r="B634" s="12" t="s">
        <v>17</v>
      </c>
      <c r="C634" s="1" t="s">
        <v>28</v>
      </c>
      <c r="D634" s="11">
        <v>816607187</v>
      </c>
      <c r="E634" s="11">
        <v>9195520461</v>
      </c>
      <c r="F634" s="1" t="s">
        <v>0</v>
      </c>
      <c r="G634" s="13">
        <f>39906+(364+182)</f>
        <v>40452</v>
      </c>
      <c r="H634" s="67" t="str">
        <f t="shared" si="27"/>
        <v>Oct</v>
      </c>
      <c r="I634" s="9">
        <f t="shared" ca="1" si="28"/>
        <v>6</v>
      </c>
      <c r="J634" s="8"/>
      <c r="K634" s="7">
        <v>9180</v>
      </c>
      <c r="L634" s="6">
        <v>3</v>
      </c>
      <c r="M634" s="31">
        <f t="shared" si="29"/>
        <v>9180</v>
      </c>
      <c r="N634" s="65"/>
      <c r="O634" s="14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25">
      <c r="A635" s="1" t="s">
        <v>143</v>
      </c>
      <c r="B635" s="12" t="s">
        <v>56</v>
      </c>
      <c r="C635" s="1" t="s">
        <v>28</v>
      </c>
      <c r="D635" s="11">
        <v>719165738</v>
      </c>
      <c r="E635" s="11">
        <v>9195750692</v>
      </c>
      <c r="F635" s="1" t="s">
        <v>12</v>
      </c>
      <c r="G635" s="4">
        <f>39922+(364+182)</f>
        <v>40468</v>
      </c>
      <c r="H635" s="67" t="str">
        <f t="shared" si="27"/>
        <v>Oct</v>
      </c>
      <c r="I635" s="9">
        <f t="shared" ca="1" si="28"/>
        <v>6</v>
      </c>
      <c r="J635" s="8"/>
      <c r="K635" s="7">
        <v>39440</v>
      </c>
      <c r="L635" s="6">
        <v>4</v>
      </c>
      <c r="M635" s="31">
        <f t="shared" si="29"/>
        <v>39440</v>
      </c>
      <c r="N635" s="65"/>
      <c r="O635" s="14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25">
      <c r="A636" s="1" t="s">
        <v>142</v>
      </c>
      <c r="B636" s="12" t="s">
        <v>13</v>
      </c>
      <c r="C636" s="1" t="s">
        <v>72</v>
      </c>
      <c r="D636" s="11">
        <v>536516131</v>
      </c>
      <c r="E636" s="11">
        <v>2524442207</v>
      </c>
      <c r="F636" s="1" t="s">
        <v>5</v>
      </c>
      <c r="G636" s="4">
        <f>39924+(364+182)</f>
        <v>40470</v>
      </c>
      <c r="H636" s="67" t="str">
        <f t="shared" si="27"/>
        <v>Oct</v>
      </c>
      <c r="I636" s="9">
        <f t="shared" ca="1" si="28"/>
        <v>6</v>
      </c>
      <c r="J636" s="8" t="s">
        <v>4</v>
      </c>
      <c r="K636" s="7">
        <v>42620</v>
      </c>
      <c r="L636" s="6">
        <v>3</v>
      </c>
      <c r="M636" s="31">
        <f t="shared" si="29"/>
        <v>42620</v>
      </c>
      <c r="N636" s="65"/>
      <c r="O636" s="14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x14ac:dyDescent="0.25">
      <c r="A637" s="1" t="s">
        <v>141</v>
      </c>
      <c r="B637" s="12" t="s">
        <v>17</v>
      </c>
      <c r="C637" s="1" t="s">
        <v>20</v>
      </c>
      <c r="D637" s="11">
        <v>995858336</v>
      </c>
      <c r="E637" s="11">
        <v>2525035104</v>
      </c>
      <c r="F637" s="1" t="s">
        <v>12</v>
      </c>
      <c r="G637" s="4">
        <f>39924+(364+182)</f>
        <v>40470</v>
      </c>
      <c r="H637" s="67" t="str">
        <f t="shared" si="27"/>
        <v>Oct</v>
      </c>
      <c r="I637" s="9">
        <f t="shared" ca="1" si="28"/>
        <v>6</v>
      </c>
      <c r="J637" s="8"/>
      <c r="K637" s="7">
        <v>37840</v>
      </c>
      <c r="L637" s="6">
        <v>1</v>
      </c>
      <c r="M637" s="31">
        <f t="shared" si="29"/>
        <v>37840</v>
      </c>
      <c r="N637" s="65"/>
      <c r="O637" s="14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x14ac:dyDescent="0.25">
      <c r="A638" s="1" t="s">
        <v>140</v>
      </c>
      <c r="B638" s="12" t="s">
        <v>13</v>
      </c>
      <c r="C638" s="1" t="s">
        <v>22</v>
      </c>
      <c r="D638" s="11">
        <v>449987941</v>
      </c>
      <c r="E638" s="11">
        <v>2528742282</v>
      </c>
      <c r="F638" s="1" t="s">
        <v>5</v>
      </c>
      <c r="G638" s="4">
        <f>39931+(364+182)</f>
        <v>40477</v>
      </c>
      <c r="H638" s="67" t="str">
        <f t="shared" si="27"/>
        <v>Oct</v>
      </c>
      <c r="I638" s="9">
        <f t="shared" ca="1" si="28"/>
        <v>6</v>
      </c>
      <c r="J638" s="8" t="s">
        <v>19</v>
      </c>
      <c r="K638" s="7">
        <v>63206</v>
      </c>
      <c r="L638" s="6">
        <v>1</v>
      </c>
      <c r="M638" s="31">
        <f t="shared" si="29"/>
        <v>63206</v>
      </c>
      <c r="N638" s="65"/>
      <c r="O638" s="14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x14ac:dyDescent="0.25">
      <c r="A639" s="1" t="s">
        <v>139</v>
      </c>
      <c r="B639" s="12" t="s">
        <v>2</v>
      </c>
      <c r="C639" s="1" t="s">
        <v>74</v>
      </c>
      <c r="D639" s="11">
        <v>710460589</v>
      </c>
      <c r="E639" s="11">
        <v>2526104400</v>
      </c>
      <c r="F639" s="1" t="s">
        <v>5</v>
      </c>
      <c r="G639" s="4">
        <f>32633+(364+182)</f>
        <v>33179</v>
      </c>
      <c r="H639" s="67" t="str">
        <f t="shared" si="27"/>
        <v>Nov</v>
      </c>
      <c r="I639" s="9">
        <f t="shared" ca="1" si="28"/>
        <v>26</v>
      </c>
      <c r="J639" s="8" t="s">
        <v>4</v>
      </c>
      <c r="K639" s="7">
        <v>43110</v>
      </c>
      <c r="L639" s="6">
        <v>2</v>
      </c>
      <c r="M639" s="31">
        <f t="shared" si="29"/>
        <v>43110</v>
      </c>
      <c r="N639" s="65"/>
      <c r="O639" s="14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25">
      <c r="A640" s="1" t="s">
        <v>138</v>
      </c>
      <c r="B640" s="12" t="s">
        <v>13</v>
      </c>
      <c r="C640" s="1" t="s">
        <v>44</v>
      </c>
      <c r="D640" s="11">
        <v>828996583</v>
      </c>
      <c r="E640" s="11">
        <v>2521282202</v>
      </c>
      <c r="F640" s="1" t="s">
        <v>0</v>
      </c>
      <c r="G640" s="4">
        <f>32637+(364+182)</f>
        <v>33183</v>
      </c>
      <c r="H640" s="67" t="str">
        <f t="shared" si="27"/>
        <v>Nov</v>
      </c>
      <c r="I640" s="9">
        <f t="shared" ca="1" si="28"/>
        <v>25</v>
      </c>
      <c r="J640" s="8"/>
      <c r="K640" s="7">
        <v>14712</v>
      </c>
      <c r="L640" s="6">
        <v>5</v>
      </c>
      <c r="M640" s="31">
        <f t="shared" si="29"/>
        <v>14712</v>
      </c>
      <c r="N640" s="65"/>
      <c r="O640" s="14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25">
      <c r="A641" s="1" t="s">
        <v>137</v>
      </c>
      <c r="B641" s="12" t="s">
        <v>13</v>
      </c>
      <c r="C641" s="1" t="s">
        <v>74</v>
      </c>
      <c r="D641" s="11">
        <v>174483231</v>
      </c>
      <c r="E641" s="11">
        <v>9196733291</v>
      </c>
      <c r="F641" s="1" t="s">
        <v>5</v>
      </c>
      <c r="G641" s="4">
        <f>32640+(364+182)</f>
        <v>33186</v>
      </c>
      <c r="H641" s="67" t="str">
        <f t="shared" si="27"/>
        <v>Nov</v>
      </c>
      <c r="I641" s="9">
        <f t="shared" ca="1" si="28"/>
        <v>25</v>
      </c>
      <c r="J641" s="8" t="s">
        <v>32</v>
      </c>
      <c r="K641" s="7">
        <v>40940</v>
      </c>
      <c r="L641" s="6">
        <v>3</v>
      </c>
      <c r="M641" s="31">
        <f t="shared" si="29"/>
        <v>40940</v>
      </c>
      <c r="N641" s="65"/>
      <c r="O641" s="14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25">
      <c r="A642" s="1" t="s">
        <v>136</v>
      </c>
      <c r="B642" s="12" t="s">
        <v>17</v>
      </c>
      <c r="C642" s="1" t="s">
        <v>6</v>
      </c>
      <c r="D642" s="11">
        <v>918436287</v>
      </c>
      <c r="E642" s="11">
        <v>2528238755</v>
      </c>
      <c r="F642" s="1" t="s">
        <v>12</v>
      </c>
      <c r="G642" s="4">
        <f>32647+(364+182)</f>
        <v>33193</v>
      </c>
      <c r="H642" s="67" t="str">
        <f t="shared" si="27"/>
        <v>Nov</v>
      </c>
      <c r="I642" s="9">
        <f t="shared" ca="1" si="28"/>
        <v>25</v>
      </c>
      <c r="J642" s="8"/>
      <c r="K642" s="7">
        <v>63610</v>
      </c>
      <c r="L642" s="6">
        <v>5</v>
      </c>
      <c r="M642" s="31">
        <f t="shared" si="29"/>
        <v>63610</v>
      </c>
      <c r="N642" s="65"/>
      <c r="O642" s="14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25">
      <c r="A643" s="1" t="s">
        <v>135</v>
      </c>
      <c r="B643" s="12" t="s">
        <v>2</v>
      </c>
      <c r="C643" s="1" t="s">
        <v>52</v>
      </c>
      <c r="D643" s="11">
        <v>781472289</v>
      </c>
      <c r="E643" s="11">
        <v>2528502926</v>
      </c>
      <c r="F643" s="1" t="s">
        <v>5</v>
      </c>
      <c r="G643" s="4">
        <f>33002+(364+182)</f>
        <v>33548</v>
      </c>
      <c r="H643" s="67" t="str">
        <f t="shared" ref="H643:H706" si="30">CHOOSE(MONTH(G643),"Jan","Feb","Mar","Apr","May","Jun","Jul","Aug","Sep","Oct","Nov","Dec")</f>
        <v>Nov</v>
      </c>
      <c r="I643" s="9">
        <f t="shared" ref="I643:I706" ca="1" si="31">DATEDIF(G643,TODAY(),"Y")</f>
        <v>24</v>
      </c>
      <c r="J643" s="8" t="s">
        <v>4</v>
      </c>
      <c r="K643" s="7">
        <v>63050</v>
      </c>
      <c r="L643" s="6">
        <v>3</v>
      </c>
      <c r="M643" s="31">
        <f t="shared" ref="M643:M706" si="32">ROUND(K643*P641+K643,0)</f>
        <v>63050</v>
      </c>
      <c r="N643" s="65"/>
      <c r="O643" s="14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25">
      <c r="A644" s="1" t="s">
        <v>134</v>
      </c>
      <c r="B644" s="12" t="s">
        <v>39</v>
      </c>
      <c r="C644" s="1" t="s">
        <v>125</v>
      </c>
      <c r="D644" s="11">
        <v>963028490</v>
      </c>
      <c r="E644" s="11">
        <v>2524383168</v>
      </c>
      <c r="F644" s="1" t="s">
        <v>5</v>
      </c>
      <c r="G644" s="4">
        <f>33005+(364+182)</f>
        <v>33551</v>
      </c>
      <c r="H644" s="67" t="str">
        <f t="shared" si="30"/>
        <v>Nov</v>
      </c>
      <c r="I644" s="9">
        <f t="shared" ca="1" si="31"/>
        <v>24</v>
      </c>
      <c r="J644" s="8" t="s">
        <v>34</v>
      </c>
      <c r="K644" s="7">
        <v>41350</v>
      </c>
      <c r="L644" s="6">
        <v>2</v>
      </c>
      <c r="M644" s="31">
        <f t="shared" si="32"/>
        <v>41350</v>
      </c>
      <c r="N644" s="65"/>
      <c r="O644" s="14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25">
      <c r="A645" s="1" t="s">
        <v>133</v>
      </c>
      <c r="B645" s="12" t="s">
        <v>13</v>
      </c>
      <c r="C645" s="1" t="s">
        <v>6</v>
      </c>
      <c r="D645" s="11">
        <v>144722757</v>
      </c>
      <c r="E645" s="11">
        <v>9196060038</v>
      </c>
      <c r="F645" s="1" t="s">
        <v>12</v>
      </c>
      <c r="G645" s="4">
        <f>33016+(364+182)</f>
        <v>33562</v>
      </c>
      <c r="H645" s="67" t="str">
        <f t="shared" si="30"/>
        <v>Nov</v>
      </c>
      <c r="I645" s="9">
        <f t="shared" ca="1" si="31"/>
        <v>24</v>
      </c>
      <c r="J645" s="8"/>
      <c r="K645" s="7">
        <v>57500</v>
      </c>
      <c r="L645" s="6">
        <v>1</v>
      </c>
      <c r="M645" s="31">
        <f t="shared" si="32"/>
        <v>57500</v>
      </c>
      <c r="N645" s="65"/>
      <c r="O645" s="14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25">
      <c r="A646" s="1" t="s">
        <v>132</v>
      </c>
      <c r="B646" s="12" t="s">
        <v>13</v>
      </c>
      <c r="C646" s="1" t="s">
        <v>52</v>
      </c>
      <c r="D646" s="11">
        <v>195772503</v>
      </c>
      <c r="E646" s="11">
        <v>9193123940</v>
      </c>
      <c r="F646" s="1" t="s">
        <v>12</v>
      </c>
      <c r="G646" s="4">
        <f>33368+(364+182)</f>
        <v>33914</v>
      </c>
      <c r="H646" s="67" t="str">
        <f t="shared" si="30"/>
        <v>Nov</v>
      </c>
      <c r="I646" s="9">
        <f t="shared" ca="1" si="31"/>
        <v>23</v>
      </c>
      <c r="J646" s="8"/>
      <c r="K646" s="7">
        <v>55690</v>
      </c>
      <c r="L646" s="6">
        <v>2</v>
      </c>
      <c r="M646" s="31">
        <f t="shared" si="32"/>
        <v>55690</v>
      </c>
      <c r="N646" s="65"/>
      <c r="O646" s="14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25">
      <c r="A647" s="1" t="s">
        <v>131</v>
      </c>
      <c r="B647" s="12" t="s">
        <v>2</v>
      </c>
      <c r="C647" s="1" t="s">
        <v>6</v>
      </c>
      <c r="D647" s="11">
        <v>616055292</v>
      </c>
      <c r="E647" s="11">
        <v>9192913490</v>
      </c>
      <c r="F647" s="1" t="s">
        <v>5</v>
      </c>
      <c r="G647" s="4">
        <f>33375+(364+182)</f>
        <v>33921</v>
      </c>
      <c r="H647" s="67" t="str">
        <f t="shared" si="30"/>
        <v>Nov</v>
      </c>
      <c r="I647" s="9">
        <f t="shared" ca="1" si="31"/>
        <v>23</v>
      </c>
      <c r="J647" s="8" t="s">
        <v>19</v>
      </c>
      <c r="K647" s="7">
        <v>32160</v>
      </c>
      <c r="L647" s="6">
        <v>3</v>
      </c>
      <c r="M647" s="31">
        <f t="shared" si="32"/>
        <v>32160</v>
      </c>
      <c r="N647" s="65"/>
      <c r="O647" s="14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25">
      <c r="A648" s="1" t="s">
        <v>130</v>
      </c>
      <c r="B648" s="12" t="s">
        <v>56</v>
      </c>
      <c r="C648" s="1" t="s">
        <v>72</v>
      </c>
      <c r="D648" s="11">
        <v>993867417</v>
      </c>
      <c r="E648" s="11">
        <v>2522338778</v>
      </c>
      <c r="F648" s="1" t="s">
        <v>5</v>
      </c>
      <c r="G648" s="4">
        <f>33377+(364+182)</f>
        <v>33923</v>
      </c>
      <c r="H648" s="67" t="str">
        <f t="shared" si="30"/>
        <v>Nov</v>
      </c>
      <c r="I648" s="9">
        <f t="shared" ca="1" si="31"/>
        <v>23</v>
      </c>
      <c r="J648" s="8" t="s">
        <v>4</v>
      </c>
      <c r="K648" s="7">
        <v>46340</v>
      </c>
      <c r="L648" s="6">
        <v>5</v>
      </c>
      <c r="M648" s="31">
        <f t="shared" si="32"/>
        <v>46340</v>
      </c>
      <c r="N648" s="65"/>
      <c r="O648" s="14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25">
      <c r="A649" s="1" t="s">
        <v>129</v>
      </c>
      <c r="B649" s="12" t="s">
        <v>13</v>
      </c>
      <c r="C649" s="1" t="s">
        <v>28</v>
      </c>
      <c r="D649" s="11">
        <v>881242432</v>
      </c>
      <c r="E649" s="11">
        <v>9193957018</v>
      </c>
      <c r="F649" s="1" t="s">
        <v>5</v>
      </c>
      <c r="G649" s="4">
        <f>33382+(364+182)</f>
        <v>33928</v>
      </c>
      <c r="H649" s="67" t="str">
        <f t="shared" si="30"/>
        <v>Nov</v>
      </c>
      <c r="I649" s="9">
        <f t="shared" ca="1" si="31"/>
        <v>23</v>
      </c>
      <c r="J649" s="8" t="s">
        <v>34</v>
      </c>
      <c r="K649" s="7">
        <v>68010</v>
      </c>
      <c r="L649" s="6">
        <v>1</v>
      </c>
      <c r="M649" s="31">
        <f t="shared" si="32"/>
        <v>68010</v>
      </c>
      <c r="N649" s="65"/>
      <c r="O649" s="14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25">
      <c r="A650" s="1" t="s">
        <v>128</v>
      </c>
      <c r="B650" s="12" t="s">
        <v>17</v>
      </c>
      <c r="C650" s="1" t="s">
        <v>52</v>
      </c>
      <c r="D650" s="11">
        <v>272659955</v>
      </c>
      <c r="E650" s="11">
        <v>9194127875</v>
      </c>
      <c r="F650" s="1" t="s">
        <v>5</v>
      </c>
      <c r="G650" s="4">
        <f>33739+(364+182)</f>
        <v>34285</v>
      </c>
      <c r="H650" s="67" t="str">
        <f t="shared" si="30"/>
        <v>Nov</v>
      </c>
      <c r="I650" s="9">
        <f t="shared" ca="1" si="31"/>
        <v>22</v>
      </c>
      <c r="J650" s="8" t="s">
        <v>19</v>
      </c>
      <c r="K650" s="7">
        <v>48490</v>
      </c>
      <c r="L650" s="6">
        <v>2</v>
      </c>
      <c r="M650" s="31">
        <f t="shared" si="32"/>
        <v>48490</v>
      </c>
      <c r="N650" s="65"/>
      <c r="O650" s="14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25">
      <c r="A651" s="1" t="s">
        <v>127</v>
      </c>
      <c r="B651" s="12" t="s">
        <v>13</v>
      </c>
      <c r="C651" s="1" t="s">
        <v>6</v>
      </c>
      <c r="D651" s="11">
        <v>892040187</v>
      </c>
      <c r="E651" s="11">
        <v>2524877123</v>
      </c>
      <c r="F651" s="1" t="s">
        <v>5</v>
      </c>
      <c r="G651" s="4">
        <f>33740+(364+182)</f>
        <v>34286</v>
      </c>
      <c r="H651" s="67" t="str">
        <f t="shared" si="30"/>
        <v>Nov</v>
      </c>
      <c r="I651" s="9">
        <f t="shared" ca="1" si="31"/>
        <v>22</v>
      </c>
      <c r="J651" s="8" t="s">
        <v>4</v>
      </c>
      <c r="K651" s="7">
        <v>87220</v>
      </c>
      <c r="L651" s="6">
        <v>1</v>
      </c>
      <c r="M651" s="31">
        <f t="shared" si="32"/>
        <v>87220</v>
      </c>
      <c r="N651" s="65"/>
      <c r="O651" s="14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25">
      <c r="A652" s="1" t="s">
        <v>126</v>
      </c>
      <c r="B652" s="12" t="s">
        <v>13</v>
      </c>
      <c r="C652" s="1" t="s">
        <v>125</v>
      </c>
      <c r="D652" s="11">
        <v>237359447</v>
      </c>
      <c r="E652" s="11">
        <v>9195882405</v>
      </c>
      <c r="F652" s="1" t="s">
        <v>5</v>
      </c>
      <c r="G652" s="4">
        <f>33755+(364+182)</f>
        <v>34301</v>
      </c>
      <c r="H652" s="67" t="str">
        <f t="shared" si="30"/>
        <v>Nov</v>
      </c>
      <c r="I652" s="9">
        <f t="shared" ca="1" si="31"/>
        <v>22</v>
      </c>
      <c r="J652" s="8" t="s">
        <v>32</v>
      </c>
      <c r="K652" s="7">
        <v>73440</v>
      </c>
      <c r="L652" s="6">
        <v>1</v>
      </c>
      <c r="M652" s="31">
        <f t="shared" si="32"/>
        <v>73440</v>
      </c>
      <c r="N652" s="65"/>
      <c r="O652" s="14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25">
      <c r="A653" s="1" t="s">
        <v>124</v>
      </c>
      <c r="B653" s="12" t="s">
        <v>13</v>
      </c>
      <c r="C653" s="1" t="s">
        <v>26</v>
      </c>
      <c r="D653" s="11">
        <v>644862142</v>
      </c>
      <c r="E653" s="11">
        <v>9193274978</v>
      </c>
      <c r="F653" s="1" t="s">
        <v>12</v>
      </c>
      <c r="G653" s="4">
        <f>34105+(364+182)</f>
        <v>34651</v>
      </c>
      <c r="H653" s="67" t="str">
        <f t="shared" si="30"/>
        <v>Nov</v>
      </c>
      <c r="I653" s="9">
        <f t="shared" ca="1" si="31"/>
        <v>21</v>
      </c>
      <c r="J653" s="8"/>
      <c r="K653" s="7">
        <v>46670</v>
      </c>
      <c r="L653" s="6">
        <v>3</v>
      </c>
      <c r="M653" s="31">
        <f t="shared" si="32"/>
        <v>46670</v>
      </c>
      <c r="N653" s="65"/>
      <c r="O653" s="14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25">
      <c r="A654" s="1" t="s">
        <v>123</v>
      </c>
      <c r="B654" s="12" t="s">
        <v>13</v>
      </c>
      <c r="C654" s="1" t="s">
        <v>22</v>
      </c>
      <c r="D654" s="11">
        <v>933883118</v>
      </c>
      <c r="E654" s="11">
        <v>2523294956</v>
      </c>
      <c r="F654" s="1" t="s">
        <v>12</v>
      </c>
      <c r="G654" s="4">
        <f>34112+(364+182)</f>
        <v>34658</v>
      </c>
      <c r="H654" s="67" t="str">
        <f t="shared" si="30"/>
        <v>Nov</v>
      </c>
      <c r="I654" s="9">
        <f t="shared" ca="1" si="31"/>
        <v>21</v>
      </c>
      <c r="J654" s="8"/>
      <c r="K654" s="7">
        <v>85980</v>
      </c>
      <c r="L654" s="6">
        <v>2</v>
      </c>
      <c r="M654" s="31">
        <f t="shared" si="32"/>
        <v>85980</v>
      </c>
      <c r="N654" s="65"/>
      <c r="O654" s="14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25">
      <c r="A655" s="1" t="s">
        <v>122</v>
      </c>
      <c r="B655" s="12" t="s">
        <v>39</v>
      </c>
      <c r="C655" s="1" t="s">
        <v>20</v>
      </c>
      <c r="D655" s="11">
        <v>566726453</v>
      </c>
      <c r="E655" s="11">
        <v>9192168237</v>
      </c>
      <c r="F655" s="1" t="s">
        <v>5</v>
      </c>
      <c r="G655" s="4">
        <f>34474+(364+182)</f>
        <v>35020</v>
      </c>
      <c r="H655" s="67" t="str">
        <f t="shared" si="30"/>
        <v>Nov</v>
      </c>
      <c r="I655" s="9">
        <f t="shared" ca="1" si="31"/>
        <v>20</v>
      </c>
      <c r="J655" s="8" t="s">
        <v>34</v>
      </c>
      <c r="K655" s="7">
        <v>38940</v>
      </c>
      <c r="L655" s="6">
        <v>2</v>
      </c>
      <c r="M655" s="31">
        <f t="shared" si="32"/>
        <v>38940</v>
      </c>
      <c r="N655" s="65"/>
      <c r="O655" s="14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25">
      <c r="A656" s="1" t="s">
        <v>121</v>
      </c>
      <c r="B656" s="12" t="s">
        <v>13</v>
      </c>
      <c r="C656" s="1" t="s">
        <v>20</v>
      </c>
      <c r="D656" s="11">
        <v>561737107</v>
      </c>
      <c r="E656" s="11">
        <v>9198294156</v>
      </c>
      <c r="F656" s="1" t="s">
        <v>5</v>
      </c>
      <c r="G656" s="4">
        <f>34478+(364+182)</f>
        <v>35024</v>
      </c>
      <c r="H656" s="67" t="str">
        <f t="shared" si="30"/>
        <v>Nov</v>
      </c>
      <c r="I656" s="9">
        <f t="shared" ca="1" si="31"/>
        <v>20</v>
      </c>
      <c r="J656" s="8" t="s">
        <v>4</v>
      </c>
      <c r="K656" s="7">
        <v>73072</v>
      </c>
      <c r="L656" s="6">
        <v>5</v>
      </c>
      <c r="M656" s="31">
        <f t="shared" si="32"/>
        <v>73072</v>
      </c>
      <c r="N656" s="65"/>
      <c r="O656" s="14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25">
      <c r="A657" s="1" t="s">
        <v>120</v>
      </c>
      <c r="B657" s="12" t="s">
        <v>17</v>
      </c>
      <c r="C657" s="1" t="s">
        <v>52</v>
      </c>
      <c r="D657" s="11">
        <v>277925508</v>
      </c>
      <c r="E657" s="11">
        <v>2526584511</v>
      </c>
      <c r="F657" s="1" t="s">
        <v>5</v>
      </c>
      <c r="G657" s="4">
        <f>34827+(364+182)</f>
        <v>35373</v>
      </c>
      <c r="H657" s="67" t="str">
        <f t="shared" si="30"/>
        <v>Nov</v>
      </c>
      <c r="I657" s="9">
        <f t="shared" ca="1" si="31"/>
        <v>19</v>
      </c>
      <c r="J657" s="8" t="s">
        <v>4</v>
      </c>
      <c r="K657" s="7">
        <v>66440</v>
      </c>
      <c r="L657" s="6">
        <v>3</v>
      </c>
      <c r="M657" s="31">
        <f t="shared" si="32"/>
        <v>66440</v>
      </c>
      <c r="N657" s="65"/>
      <c r="O657" s="14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25">
      <c r="A658" s="1" t="s">
        <v>119</v>
      </c>
      <c r="B658" s="12" t="s">
        <v>17</v>
      </c>
      <c r="C658" s="1" t="s">
        <v>20</v>
      </c>
      <c r="D658" s="11">
        <v>687006783</v>
      </c>
      <c r="E658" s="11">
        <v>2524919418</v>
      </c>
      <c r="F658" s="1" t="s">
        <v>12</v>
      </c>
      <c r="G658" s="4">
        <f>34833+(364+182)</f>
        <v>35379</v>
      </c>
      <c r="H658" s="67" t="str">
        <f t="shared" si="30"/>
        <v>Nov</v>
      </c>
      <c r="I658" s="9">
        <f t="shared" ca="1" si="31"/>
        <v>19</v>
      </c>
      <c r="J658" s="8"/>
      <c r="K658" s="7">
        <v>66010</v>
      </c>
      <c r="L658" s="6">
        <v>2</v>
      </c>
      <c r="M658" s="31">
        <f t="shared" si="32"/>
        <v>66010</v>
      </c>
      <c r="N658" s="65"/>
      <c r="O658" s="14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25">
      <c r="A659" s="1" t="s">
        <v>118</v>
      </c>
      <c r="B659" s="12" t="s">
        <v>13</v>
      </c>
      <c r="C659" s="1" t="s">
        <v>28</v>
      </c>
      <c r="D659" s="11">
        <v>824046378</v>
      </c>
      <c r="E659" s="11">
        <v>9196335284</v>
      </c>
      <c r="F659" s="1" t="s">
        <v>5</v>
      </c>
      <c r="G659" s="4">
        <f>34833+(364+182)</f>
        <v>35379</v>
      </c>
      <c r="H659" s="67" t="str">
        <f t="shared" si="30"/>
        <v>Nov</v>
      </c>
      <c r="I659" s="9">
        <f t="shared" ca="1" si="31"/>
        <v>19</v>
      </c>
      <c r="J659" s="8" t="s">
        <v>8</v>
      </c>
      <c r="K659" s="7">
        <v>67230</v>
      </c>
      <c r="L659" s="6">
        <v>4</v>
      </c>
      <c r="M659" s="31">
        <f t="shared" si="32"/>
        <v>67230</v>
      </c>
      <c r="N659" s="65"/>
      <c r="O659" s="14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25">
      <c r="A660" s="1" t="s">
        <v>117</v>
      </c>
      <c r="B660" s="12" t="s">
        <v>17</v>
      </c>
      <c r="C660" s="1" t="s">
        <v>9</v>
      </c>
      <c r="D660" s="11">
        <v>788832967</v>
      </c>
      <c r="E660" s="11">
        <v>2521919147</v>
      </c>
      <c r="F660" s="1" t="s">
        <v>0</v>
      </c>
      <c r="G660" s="4">
        <f>34835+(364+182)</f>
        <v>35381</v>
      </c>
      <c r="H660" s="67" t="str">
        <f t="shared" si="30"/>
        <v>Nov</v>
      </c>
      <c r="I660" s="9">
        <f t="shared" ca="1" si="31"/>
        <v>19</v>
      </c>
      <c r="J660" s="8"/>
      <c r="K660" s="7">
        <v>35312</v>
      </c>
      <c r="L660" s="6">
        <v>3</v>
      </c>
      <c r="M660" s="31">
        <f t="shared" si="32"/>
        <v>35312</v>
      </c>
      <c r="N660" s="65"/>
      <c r="O660" s="14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25">
      <c r="A661" s="1" t="s">
        <v>116</v>
      </c>
      <c r="B661" s="12" t="s">
        <v>10</v>
      </c>
      <c r="C661" s="1" t="s">
        <v>24</v>
      </c>
      <c r="D661" s="11">
        <v>529609767</v>
      </c>
      <c r="E661" s="11">
        <v>2528006736</v>
      </c>
      <c r="F661" s="1" t="s">
        <v>12</v>
      </c>
      <c r="G661" s="4">
        <f>34849+(364+182)</f>
        <v>35395</v>
      </c>
      <c r="H661" s="67" t="str">
        <f t="shared" si="30"/>
        <v>Nov</v>
      </c>
      <c r="I661" s="9">
        <f t="shared" ca="1" si="31"/>
        <v>19</v>
      </c>
      <c r="J661" s="8"/>
      <c r="K661" s="7">
        <v>58130</v>
      </c>
      <c r="L661" s="6">
        <v>2</v>
      </c>
      <c r="M661" s="31">
        <f t="shared" si="32"/>
        <v>58130</v>
      </c>
      <c r="N661" s="65"/>
      <c r="O661" s="14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25">
      <c r="A662" s="1" t="s">
        <v>115</v>
      </c>
      <c r="B662" s="12" t="s">
        <v>17</v>
      </c>
      <c r="C662" s="1" t="s">
        <v>44</v>
      </c>
      <c r="D662" s="11">
        <v>197789466</v>
      </c>
      <c r="E662" s="11">
        <v>9191472895</v>
      </c>
      <c r="F662" s="1" t="s">
        <v>12</v>
      </c>
      <c r="G662" s="4">
        <f>35191+(364+182)</f>
        <v>35737</v>
      </c>
      <c r="H662" s="67" t="str">
        <f t="shared" si="30"/>
        <v>Nov</v>
      </c>
      <c r="I662" s="9">
        <f t="shared" ca="1" si="31"/>
        <v>18</v>
      </c>
      <c r="J662" s="8"/>
      <c r="K662" s="7">
        <v>76020</v>
      </c>
      <c r="L662" s="6">
        <v>1</v>
      </c>
      <c r="M662" s="31">
        <f t="shared" si="32"/>
        <v>76020</v>
      </c>
      <c r="N662" s="65"/>
      <c r="O662" s="14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25">
      <c r="A663" s="14" t="s">
        <v>114</v>
      </c>
      <c r="B663" s="12" t="s">
        <v>10</v>
      </c>
      <c r="C663" s="14" t="s">
        <v>37</v>
      </c>
      <c r="D663" s="15">
        <v>475256935</v>
      </c>
      <c r="E663" s="15">
        <v>2527852326</v>
      </c>
      <c r="F663" s="14" t="s">
        <v>5</v>
      </c>
      <c r="G663" s="10">
        <f>35196+(364+182)</f>
        <v>35742</v>
      </c>
      <c r="H663" s="67" t="str">
        <f t="shared" si="30"/>
        <v>Nov</v>
      </c>
      <c r="I663" s="9">
        <f t="shared" ca="1" si="31"/>
        <v>18</v>
      </c>
      <c r="J663" s="8" t="s">
        <v>4</v>
      </c>
      <c r="K663" s="7">
        <v>85300</v>
      </c>
      <c r="L663" s="6">
        <v>2</v>
      </c>
      <c r="M663" s="31">
        <f t="shared" si="32"/>
        <v>85300</v>
      </c>
      <c r="N663" s="65"/>
      <c r="O663" s="68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25">
      <c r="A664" s="1" t="s">
        <v>113</v>
      </c>
      <c r="B664" s="12" t="s">
        <v>17</v>
      </c>
      <c r="C664" s="1" t="s">
        <v>20</v>
      </c>
      <c r="D664" s="11">
        <v>462995574</v>
      </c>
      <c r="E664" s="11">
        <v>2523431009</v>
      </c>
      <c r="F664" s="1" t="s">
        <v>5</v>
      </c>
      <c r="G664" s="4">
        <f>35555+(364+182)</f>
        <v>36101</v>
      </c>
      <c r="H664" s="67" t="str">
        <f t="shared" si="30"/>
        <v>Nov</v>
      </c>
      <c r="I664" s="9">
        <f t="shared" ca="1" si="31"/>
        <v>18</v>
      </c>
      <c r="J664" s="8" t="s">
        <v>32</v>
      </c>
      <c r="K664" s="7">
        <v>88240</v>
      </c>
      <c r="L664" s="6">
        <v>5</v>
      </c>
      <c r="M664" s="31">
        <f t="shared" si="32"/>
        <v>88240</v>
      </c>
      <c r="N664" s="65"/>
      <c r="O664" s="14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25">
      <c r="A665" s="1" t="s">
        <v>112</v>
      </c>
      <c r="B665" s="12" t="s">
        <v>13</v>
      </c>
      <c r="C665" s="1" t="s">
        <v>60</v>
      </c>
      <c r="D665" s="11">
        <v>567266382</v>
      </c>
      <c r="E665" s="11">
        <v>2521683770</v>
      </c>
      <c r="F665" s="1" t="s">
        <v>5</v>
      </c>
      <c r="G665" s="4">
        <f>35570+(364+182)</f>
        <v>36116</v>
      </c>
      <c r="H665" s="67" t="str">
        <f t="shared" si="30"/>
        <v>Nov</v>
      </c>
      <c r="I665" s="9">
        <f t="shared" ca="1" si="31"/>
        <v>17</v>
      </c>
      <c r="J665" s="8" t="s">
        <v>8</v>
      </c>
      <c r="K665" s="7">
        <v>49770</v>
      </c>
      <c r="L665" s="6">
        <v>1</v>
      </c>
      <c r="M665" s="31">
        <f t="shared" si="32"/>
        <v>49770</v>
      </c>
      <c r="N665" s="65"/>
      <c r="O665" s="14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x14ac:dyDescent="0.25">
      <c r="A666" s="1" t="s">
        <v>111</v>
      </c>
      <c r="B666" s="12" t="s">
        <v>39</v>
      </c>
      <c r="C666" s="1" t="s">
        <v>60</v>
      </c>
      <c r="D666" s="11">
        <v>499124019</v>
      </c>
      <c r="E666" s="11">
        <v>9195978858</v>
      </c>
      <c r="F666" s="1" t="s">
        <v>15</v>
      </c>
      <c r="G666" s="4">
        <f>35575+(364+182)</f>
        <v>36121</v>
      </c>
      <c r="H666" s="67" t="str">
        <f t="shared" si="30"/>
        <v>Nov</v>
      </c>
      <c r="I666" s="9">
        <f t="shared" ca="1" si="31"/>
        <v>17</v>
      </c>
      <c r="J666" s="8" t="s">
        <v>4</v>
      </c>
      <c r="K666" s="7">
        <v>28880</v>
      </c>
      <c r="L666" s="6">
        <v>3</v>
      </c>
      <c r="M666" s="31">
        <f t="shared" si="32"/>
        <v>28880</v>
      </c>
      <c r="N666" s="65"/>
      <c r="O666" s="14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25">
      <c r="A667" s="1" t="s">
        <v>110</v>
      </c>
      <c r="B667" s="12" t="s">
        <v>39</v>
      </c>
      <c r="C667" s="1" t="s">
        <v>20</v>
      </c>
      <c r="D667" s="11">
        <v>354619285</v>
      </c>
      <c r="E667" s="11">
        <v>2526657361</v>
      </c>
      <c r="F667" s="1" t="s">
        <v>5</v>
      </c>
      <c r="G667" s="4">
        <f>35576+(364+182)</f>
        <v>36122</v>
      </c>
      <c r="H667" s="67" t="str">
        <f t="shared" si="30"/>
        <v>Nov</v>
      </c>
      <c r="I667" s="9">
        <f t="shared" ca="1" si="31"/>
        <v>17</v>
      </c>
      <c r="J667" s="8" t="s">
        <v>34</v>
      </c>
      <c r="K667" s="7">
        <v>22660</v>
      </c>
      <c r="L667" s="6">
        <v>2</v>
      </c>
      <c r="M667" s="31">
        <f t="shared" si="32"/>
        <v>22660</v>
      </c>
      <c r="N667" s="65"/>
      <c r="O667" s="14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25">
      <c r="A668" s="1" t="s">
        <v>109</v>
      </c>
      <c r="B668" s="12" t="s">
        <v>2</v>
      </c>
      <c r="C668" s="1" t="s">
        <v>9</v>
      </c>
      <c r="D668" s="11">
        <v>113377726</v>
      </c>
      <c r="E668" s="11">
        <v>9197494648</v>
      </c>
      <c r="F668" s="1" t="s">
        <v>5</v>
      </c>
      <c r="G668" s="4">
        <f>35920+(364+182)</f>
        <v>36466</v>
      </c>
      <c r="H668" s="67" t="str">
        <f t="shared" si="30"/>
        <v>Nov</v>
      </c>
      <c r="I668" s="9">
        <f t="shared" ca="1" si="31"/>
        <v>17</v>
      </c>
      <c r="J668" s="8" t="s">
        <v>4</v>
      </c>
      <c r="K668" s="7">
        <v>68410</v>
      </c>
      <c r="L668" s="6">
        <v>5</v>
      </c>
      <c r="M668" s="31">
        <f t="shared" si="32"/>
        <v>68410</v>
      </c>
      <c r="N668" s="65"/>
      <c r="O668" s="14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25">
      <c r="A669" s="1" t="s">
        <v>108</v>
      </c>
      <c r="B669" s="12" t="s">
        <v>39</v>
      </c>
      <c r="C669" s="1" t="s">
        <v>26</v>
      </c>
      <c r="D669" s="11">
        <v>393393249</v>
      </c>
      <c r="E669" s="11">
        <v>9194980674</v>
      </c>
      <c r="F669" s="1" t="s">
        <v>12</v>
      </c>
      <c r="G669" s="4">
        <f>35924+(364+182)</f>
        <v>36470</v>
      </c>
      <c r="H669" s="67" t="str">
        <f t="shared" si="30"/>
        <v>Nov</v>
      </c>
      <c r="I669" s="9">
        <f t="shared" ca="1" si="31"/>
        <v>16</v>
      </c>
      <c r="J669" s="8"/>
      <c r="K669" s="7">
        <v>23560</v>
      </c>
      <c r="L669" s="6">
        <v>3</v>
      </c>
      <c r="M669" s="31">
        <f t="shared" si="32"/>
        <v>23560</v>
      </c>
      <c r="N669" s="65"/>
      <c r="O669" s="14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x14ac:dyDescent="0.25">
      <c r="A670" s="1" t="s">
        <v>107</v>
      </c>
      <c r="B670" s="12" t="s">
        <v>13</v>
      </c>
      <c r="C670" s="1" t="s">
        <v>52</v>
      </c>
      <c r="D670" s="11">
        <v>135633006</v>
      </c>
      <c r="E670" s="11">
        <v>2526732103</v>
      </c>
      <c r="F670" s="1" t="s">
        <v>12</v>
      </c>
      <c r="G670" s="4">
        <f>35933+(364+182)</f>
        <v>36479</v>
      </c>
      <c r="H670" s="67" t="str">
        <f t="shared" si="30"/>
        <v>Nov</v>
      </c>
      <c r="I670" s="9">
        <f t="shared" ca="1" si="31"/>
        <v>16</v>
      </c>
      <c r="J670" s="8"/>
      <c r="K670" s="7">
        <v>54840</v>
      </c>
      <c r="L670" s="6">
        <v>4</v>
      </c>
      <c r="M670" s="31">
        <f t="shared" si="32"/>
        <v>54840</v>
      </c>
      <c r="N670" s="65"/>
      <c r="O670" s="14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x14ac:dyDescent="0.25">
      <c r="A671" s="1" t="s">
        <v>106</v>
      </c>
      <c r="B671" s="12" t="s">
        <v>39</v>
      </c>
      <c r="C671" s="1" t="s">
        <v>26</v>
      </c>
      <c r="D671" s="11">
        <v>822974734</v>
      </c>
      <c r="E671" s="11">
        <v>2524924736</v>
      </c>
      <c r="F671" s="1" t="s">
        <v>0</v>
      </c>
      <c r="G671" s="4">
        <f>35941+(364+182)</f>
        <v>36487</v>
      </c>
      <c r="H671" s="67" t="str">
        <f t="shared" si="30"/>
        <v>Nov</v>
      </c>
      <c r="I671" s="9">
        <f t="shared" ca="1" si="31"/>
        <v>16</v>
      </c>
      <c r="J671" s="8"/>
      <c r="K671" s="7">
        <v>33056</v>
      </c>
      <c r="L671" s="6">
        <v>5</v>
      </c>
      <c r="M671" s="31">
        <f t="shared" si="32"/>
        <v>33056</v>
      </c>
      <c r="N671" s="65"/>
      <c r="O671" s="14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25">
      <c r="A672" s="1" t="s">
        <v>105</v>
      </c>
      <c r="B672" s="12" t="s">
        <v>56</v>
      </c>
      <c r="C672" s="1" t="s">
        <v>6</v>
      </c>
      <c r="D672" s="11">
        <v>635240617</v>
      </c>
      <c r="E672" s="11">
        <v>9192259651</v>
      </c>
      <c r="F672" s="1" t="s">
        <v>5</v>
      </c>
      <c r="G672" s="4">
        <f>36297+(364+182)</f>
        <v>36843</v>
      </c>
      <c r="H672" s="67" t="str">
        <f t="shared" si="30"/>
        <v>Nov</v>
      </c>
      <c r="I672" s="9">
        <f t="shared" ca="1" si="31"/>
        <v>15</v>
      </c>
      <c r="J672" s="8" t="s">
        <v>4</v>
      </c>
      <c r="K672" s="7">
        <v>47630</v>
      </c>
      <c r="L672" s="6">
        <v>3</v>
      </c>
      <c r="M672" s="31">
        <f t="shared" si="32"/>
        <v>47630</v>
      </c>
      <c r="N672" s="65"/>
      <c r="O672" s="14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x14ac:dyDescent="0.25">
      <c r="A673" s="1" t="s">
        <v>104</v>
      </c>
      <c r="B673" s="12" t="s">
        <v>13</v>
      </c>
      <c r="C673" s="1" t="s">
        <v>22</v>
      </c>
      <c r="D673" s="11">
        <v>569882669</v>
      </c>
      <c r="E673" s="11">
        <v>2523122083</v>
      </c>
      <c r="F673" s="1" t="s">
        <v>5</v>
      </c>
      <c r="G673" s="4">
        <f>37022+(364+182)</f>
        <v>37568</v>
      </c>
      <c r="H673" s="67" t="str">
        <f t="shared" si="30"/>
        <v>Nov</v>
      </c>
      <c r="I673" s="9">
        <f t="shared" ca="1" si="31"/>
        <v>13</v>
      </c>
      <c r="J673" s="8" t="s">
        <v>34</v>
      </c>
      <c r="K673" s="7">
        <v>45100</v>
      </c>
      <c r="L673" s="6">
        <v>2</v>
      </c>
      <c r="M673" s="31">
        <f t="shared" si="32"/>
        <v>45100</v>
      </c>
      <c r="N673" s="65"/>
      <c r="O673" s="14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25">
      <c r="A674" s="1" t="s">
        <v>103</v>
      </c>
      <c r="B674" s="12" t="s">
        <v>2</v>
      </c>
      <c r="C674" s="1" t="s">
        <v>20</v>
      </c>
      <c r="D674" s="11">
        <v>135965371</v>
      </c>
      <c r="E674" s="11">
        <v>9195592950</v>
      </c>
      <c r="F674" s="1" t="s">
        <v>5</v>
      </c>
      <c r="G674" s="4">
        <f>37390+(364+182)</f>
        <v>37936</v>
      </c>
      <c r="H674" s="67" t="str">
        <f t="shared" si="30"/>
        <v>Nov</v>
      </c>
      <c r="I674" s="9">
        <f t="shared" ca="1" si="31"/>
        <v>12</v>
      </c>
      <c r="J674" s="8" t="s">
        <v>4</v>
      </c>
      <c r="K674" s="7">
        <v>30920</v>
      </c>
      <c r="L674" s="6">
        <v>5</v>
      </c>
      <c r="M674" s="31">
        <f t="shared" si="32"/>
        <v>30920</v>
      </c>
      <c r="N674" s="65"/>
      <c r="O674" s="14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25">
      <c r="A675" s="1" t="s">
        <v>102</v>
      </c>
      <c r="B675" s="12" t="s">
        <v>13</v>
      </c>
      <c r="C675" s="1" t="s">
        <v>95</v>
      </c>
      <c r="D675" s="11">
        <v>214234804</v>
      </c>
      <c r="E675" s="11">
        <v>2528908079</v>
      </c>
      <c r="F675" s="1" t="s">
        <v>5</v>
      </c>
      <c r="G675" s="4">
        <f>37390+(364+182)</f>
        <v>37936</v>
      </c>
      <c r="H675" s="67" t="str">
        <f t="shared" si="30"/>
        <v>Nov</v>
      </c>
      <c r="I675" s="9">
        <f t="shared" ca="1" si="31"/>
        <v>12</v>
      </c>
      <c r="J675" s="8" t="s">
        <v>4</v>
      </c>
      <c r="K675" s="7">
        <v>53870</v>
      </c>
      <c r="L675" s="6">
        <v>2</v>
      </c>
      <c r="M675" s="31">
        <f t="shared" si="32"/>
        <v>53870</v>
      </c>
      <c r="N675" s="65"/>
      <c r="O675" s="14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25">
      <c r="A676" s="1" t="s">
        <v>101</v>
      </c>
      <c r="B676" s="12" t="s">
        <v>17</v>
      </c>
      <c r="C676" s="1" t="s">
        <v>20</v>
      </c>
      <c r="D676" s="11">
        <v>708108747</v>
      </c>
      <c r="E676" s="11">
        <v>9192520526</v>
      </c>
      <c r="F676" s="1" t="s">
        <v>5</v>
      </c>
      <c r="G676" s="4">
        <f>37397+(364+182)</f>
        <v>37943</v>
      </c>
      <c r="H676" s="67" t="str">
        <f t="shared" si="30"/>
        <v>Nov</v>
      </c>
      <c r="I676" s="9">
        <f t="shared" ca="1" si="31"/>
        <v>12</v>
      </c>
      <c r="J676" s="8" t="s">
        <v>32</v>
      </c>
      <c r="K676" s="7">
        <v>75176</v>
      </c>
      <c r="L676" s="6">
        <v>3</v>
      </c>
      <c r="M676" s="31">
        <f t="shared" si="32"/>
        <v>75176</v>
      </c>
      <c r="N676" s="65"/>
      <c r="O676" s="14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25">
      <c r="A677" s="1" t="s">
        <v>100</v>
      </c>
      <c r="B677" s="12" t="s">
        <v>13</v>
      </c>
      <c r="C677" s="1" t="s">
        <v>50</v>
      </c>
      <c r="D677" s="11">
        <v>771953685</v>
      </c>
      <c r="E677" s="11">
        <v>2526739978</v>
      </c>
      <c r="F677" s="1" t="s">
        <v>0</v>
      </c>
      <c r="G677" s="4">
        <f>37400+(364+182)</f>
        <v>37946</v>
      </c>
      <c r="H677" s="67" t="str">
        <f t="shared" si="30"/>
        <v>Nov</v>
      </c>
      <c r="I677" s="9">
        <f t="shared" ca="1" si="31"/>
        <v>12</v>
      </c>
      <c r="J677" s="8" t="s">
        <v>32</v>
      </c>
      <c r="K677" s="7">
        <v>85130</v>
      </c>
      <c r="L677" s="6">
        <v>5</v>
      </c>
      <c r="M677" s="31">
        <f t="shared" si="32"/>
        <v>85130</v>
      </c>
      <c r="N677" s="65"/>
      <c r="O677" s="14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25">
      <c r="A678" s="1" t="s">
        <v>99</v>
      </c>
      <c r="B678" s="12" t="s">
        <v>13</v>
      </c>
      <c r="C678" s="1" t="s">
        <v>20</v>
      </c>
      <c r="D678" s="11">
        <v>399060898</v>
      </c>
      <c r="E678" s="11">
        <v>9195197037</v>
      </c>
      <c r="F678" s="1" t="s">
        <v>12</v>
      </c>
      <c r="G678" s="4">
        <f>37775+(364+182)</f>
        <v>38321</v>
      </c>
      <c r="H678" s="67" t="str">
        <f t="shared" si="30"/>
        <v>Nov</v>
      </c>
      <c r="I678" s="9">
        <f t="shared" ca="1" si="31"/>
        <v>11</v>
      </c>
      <c r="J678" s="8"/>
      <c r="K678" s="7">
        <v>37980</v>
      </c>
      <c r="L678" s="6">
        <v>4</v>
      </c>
      <c r="M678" s="31">
        <f t="shared" si="32"/>
        <v>37980</v>
      </c>
      <c r="N678" s="65"/>
      <c r="O678" s="14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25">
      <c r="A679" s="1" t="s">
        <v>98</v>
      </c>
      <c r="B679" s="12" t="s">
        <v>2</v>
      </c>
      <c r="C679" s="1" t="s">
        <v>20</v>
      </c>
      <c r="D679" s="11">
        <v>590896401</v>
      </c>
      <c r="E679" s="11">
        <v>2523122603</v>
      </c>
      <c r="F679" s="1" t="s">
        <v>5</v>
      </c>
      <c r="G679" s="4">
        <f>37775+(364+182)</f>
        <v>38321</v>
      </c>
      <c r="H679" s="67" t="str">
        <f t="shared" si="30"/>
        <v>Nov</v>
      </c>
      <c r="I679" s="9">
        <f t="shared" ca="1" si="31"/>
        <v>11</v>
      </c>
      <c r="J679" s="8" t="s">
        <v>34</v>
      </c>
      <c r="K679" s="7">
        <v>70760</v>
      </c>
      <c r="L679" s="6">
        <v>1</v>
      </c>
      <c r="M679" s="31">
        <f t="shared" si="32"/>
        <v>70760</v>
      </c>
      <c r="N679" s="65"/>
      <c r="O679" s="14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25">
      <c r="A680" s="1" t="s">
        <v>97</v>
      </c>
      <c r="B680" s="12" t="s">
        <v>13</v>
      </c>
      <c r="C680" s="1" t="s">
        <v>20</v>
      </c>
      <c r="D680" s="11">
        <v>249929042</v>
      </c>
      <c r="E680" s="11">
        <v>2525790872</v>
      </c>
      <c r="F680" s="1" t="s">
        <v>5</v>
      </c>
      <c r="G680" s="4">
        <f>38118+(364+182)</f>
        <v>38664</v>
      </c>
      <c r="H680" s="67" t="str">
        <f t="shared" si="30"/>
        <v>Nov</v>
      </c>
      <c r="I680" s="9">
        <f t="shared" ca="1" si="31"/>
        <v>10</v>
      </c>
      <c r="J680" s="8" t="s">
        <v>32</v>
      </c>
      <c r="K680" s="7">
        <v>61060</v>
      </c>
      <c r="L680" s="6">
        <v>5</v>
      </c>
      <c r="M680" s="31">
        <f t="shared" si="32"/>
        <v>61060</v>
      </c>
      <c r="N680" s="65"/>
      <c r="O680" s="14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25">
      <c r="A681" s="1" t="s">
        <v>96</v>
      </c>
      <c r="B681" s="12" t="s">
        <v>39</v>
      </c>
      <c r="C681" s="1" t="s">
        <v>95</v>
      </c>
      <c r="D681" s="11">
        <v>620072502</v>
      </c>
      <c r="E681" s="11">
        <v>9191264013</v>
      </c>
      <c r="F681" s="1" t="s">
        <v>5</v>
      </c>
      <c r="G681" s="4">
        <f>38492+(364+182)</f>
        <v>39038</v>
      </c>
      <c r="H681" s="67" t="str">
        <f t="shared" si="30"/>
        <v>Nov</v>
      </c>
      <c r="I681" s="9">
        <f t="shared" ca="1" si="31"/>
        <v>9</v>
      </c>
      <c r="J681" s="8" t="s">
        <v>8</v>
      </c>
      <c r="K681" s="7">
        <v>71400</v>
      </c>
      <c r="L681" s="6">
        <v>4</v>
      </c>
      <c r="M681" s="31">
        <f t="shared" si="32"/>
        <v>71400</v>
      </c>
      <c r="N681" s="65"/>
      <c r="O681" s="14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25">
      <c r="A682" s="1" t="s">
        <v>94</v>
      </c>
      <c r="B682" s="12" t="s">
        <v>39</v>
      </c>
      <c r="C682" s="1" t="s">
        <v>26</v>
      </c>
      <c r="D682" s="11">
        <v>580960042</v>
      </c>
      <c r="E682" s="11">
        <v>9197528456</v>
      </c>
      <c r="F682" s="1" t="s">
        <v>12</v>
      </c>
      <c r="G682" s="4">
        <f>38494+(364+182)</f>
        <v>39040</v>
      </c>
      <c r="H682" s="67" t="str">
        <f t="shared" si="30"/>
        <v>Nov</v>
      </c>
      <c r="I682" s="9">
        <f t="shared" ca="1" si="31"/>
        <v>9</v>
      </c>
      <c r="J682" s="8"/>
      <c r="K682" s="7">
        <v>62150</v>
      </c>
      <c r="L682" s="6">
        <v>4</v>
      </c>
      <c r="M682" s="31">
        <f t="shared" si="32"/>
        <v>62150</v>
      </c>
      <c r="N682" s="65"/>
      <c r="O682" s="14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25">
      <c r="A683" s="1" t="s">
        <v>93</v>
      </c>
      <c r="B683" s="12" t="s">
        <v>17</v>
      </c>
      <c r="C683" s="1" t="s">
        <v>22</v>
      </c>
      <c r="D683" s="11">
        <v>990843236</v>
      </c>
      <c r="E683" s="11">
        <v>9196245634</v>
      </c>
      <c r="F683" s="1" t="s">
        <v>5</v>
      </c>
      <c r="G683" s="4">
        <f>38501+(364+182)</f>
        <v>39047</v>
      </c>
      <c r="H683" s="67" t="str">
        <f t="shared" si="30"/>
        <v>Nov</v>
      </c>
      <c r="I683" s="9">
        <f t="shared" ca="1" si="31"/>
        <v>9</v>
      </c>
      <c r="J683" s="8" t="s">
        <v>4</v>
      </c>
      <c r="K683" s="7">
        <v>65880</v>
      </c>
      <c r="L683" s="6">
        <v>5</v>
      </c>
      <c r="M683" s="31">
        <f t="shared" si="32"/>
        <v>65880</v>
      </c>
      <c r="N683" s="65"/>
      <c r="O683" s="14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25">
      <c r="A684" s="1" t="s">
        <v>92</v>
      </c>
      <c r="B684" s="12" t="s">
        <v>10</v>
      </c>
      <c r="C684" s="1" t="s">
        <v>84</v>
      </c>
      <c r="D684" s="11">
        <v>676831149</v>
      </c>
      <c r="E684" s="11">
        <v>9192824485</v>
      </c>
      <c r="F684" s="1" t="s">
        <v>5</v>
      </c>
      <c r="G684" s="4">
        <f>38842+(364+182)</f>
        <v>39388</v>
      </c>
      <c r="H684" s="67" t="str">
        <f t="shared" si="30"/>
        <v>Nov</v>
      </c>
      <c r="I684" s="9">
        <f t="shared" ca="1" si="31"/>
        <v>9</v>
      </c>
      <c r="J684" s="8" t="s">
        <v>32</v>
      </c>
      <c r="K684" s="7">
        <v>71120</v>
      </c>
      <c r="L684" s="6">
        <v>4</v>
      </c>
      <c r="M684" s="31">
        <f t="shared" si="32"/>
        <v>71120</v>
      </c>
      <c r="N684" s="65"/>
      <c r="O684" s="14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25">
      <c r="A685" s="1" t="s">
        <v>91</v>
      </c>
      <c r="B685" s="12" t="s">
        <v>17</v>
      </c>
      <c r="C685" s="1" t="s">
        <v>20</v>
      </c>
      <c r="D685" s="11">
        <v>930314379</v>
      </c>
      <c r="E685" s="11">
        <v>2524854867</v>
      </c>
      <c r="F685" s="1" t="s">
        <v>5</v>
      </c>
      <c r="G685" s="4">
        <f>38844+(364+182)</f>
        <v>39390</v>
      </c>
      <c r="H685" s="67" t="str">
        <f t="shared" si="30"/>
        <v>Nov</v>
      </c>
      <c r="I685" s="9">
        <f t="shared" ca="1" si="31"/>
        <v>8</v>
      </c>
      <c r="J685" s="8" t="s">
        <v>19</v>
      </c>
      <c r="K685" s="7">
        <v>71490</v>
      </c>
      <c r="L685" s="6">
        <v>5</v>
      </c>
      <c r="M685" s="31">
        <f t="shared" si="32"/>
        <v>71490</v>
      </c>
      <c r="N685" s="65"/>
      <c r="O685" s="14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25">
      <c r="A686" s="1" t="s">
        <v>90</v>
      </c>
      <c r="B686" s="12" t="s">
        <v>13</v>
      </c>
      <c r="C686" s="1" t="s">
        <v>28</v>
      </c>
      <c r="D686" s="11">
        <v>145240921</v>
      </c>
      <c r="E686" s="11">
        <v>2525227751</v>
      </c>
      <c r="F686" s="1" t="s">
        <v>5</v>
      </c>
      <c r="G686" s="4">
        <f>38858+(364+182)</f>
        <v>39404</v>
      </c>
      <c r="H686" s="67" t="str">
        <f t="shared" si="30"/>
        <v>Nov</v>
      </c>
      <c r="I686" s="9">
        <f t="shared" ca="1" si="31"/>
        <v>8</v>
      </c>
      <c r="J686" s="8" t="s">
        <v>19</v>
      </c>
      <c r="K686" s="7">
        <v>50990</v>
      </c>
      <c r="L686" s="6">
        <v>4</v>
      </c>
      <c r="M686" s="31">
        <f t="shared" si="32"/>
        <v>50990</v>
      </c>
      <c r="N686" s="65"/>
      <c r="O686" s="14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25">
      <c r="A687" s="1" t="s">
        <v>89</v>
      </c>
      <c r="B687" s="12" t="s">
        <v>17</v>
      </c>
      <c r="C687" s="1" t="s">
        <v>72</v>
      </c>
      <c r="D687" s="11">
        <v>736688620</v>
      </c>
      <c r="E687" s="11">
        <v>2524562999</v>
      </c>
      <c r="F687" s="1" t="s">
        <v>15</v>
      </c>
      <c r="G687" s="4">
        <f>39222+(364+182)</f>
        <v>39768</v>
      </c>
      <c r="H687" s="67" t="str">
        <f t="shared" si="30"/>
        <v>Nov</v>
      </c>
      <c r="I687" s="9">
        <f t="shared" ca="1" si="31"/>
        <v>7</v>
      </c>
      <c r="J687" s="8" t="s">
        <v>32</v>
      </c>
      <c r="K687" s="7">
        <v>39515</v>
      </c>
      <c r="L687" s="6">
        <v>5</v>
      </c>
      <c r="M687" s="31">
        <f t="shared" si="32"/>
        <v>39515</v>
      </c>
      <c r="N687" s="65"/>
      <c r="O687" s="14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x14ac:dyDescent="0.25">
      <c r="A688" s="14" t="s">
        <v>88</v>
      </c>
      <c r="B688" s="12" t="s">
        <v>39</v>
      </c>
      <c r="C688" s="14" t="s">
        <v>37</v>
      </c>
      <c r="D688" s="15">
        <v>771277493</v>
      </c>
      <c r="E688" s="15">
        <v>2522872439</v>
      </c>
      <c r="F688" s="14" t="s">
        <v>0</v>
      </c>
      <c r="G688" s="10">
        <f>39580+(364+182)</f>
        <v>40126</v>
      </c>
      <c r="H688" s="67" t="str">
        <f t="shared" si="30"/>
        <v>Nov</v>
      </c>
      <c r="I688" s="9">
        <f t="shared" ca="1" si="31"/>
        <v>6</v>
      </c>
      <c r="J688" s="8"/>
      <c r="K688" s="7">
        <v>10636</v>
      </c>
      <c r="L688" s="6">
        <v>4</v>
      </c>
      <c r="M688" s="31">
        <f t="shared" si="32"/>
        <v>10636</v>
      </c>
      <c r="N688" s="65"/>
      <c r="O688" s="68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25">
      <c r="A689" s="1" t="s">
        <v>87</v>
      </c>
      <c r="B689" s="12" t="s">
        <v>17</v>
      </c>
      <c r="C689" s="1" t="s">
        <v>22</v>
      </c>
      <c r="D689" s="11">
        <v>959750235</v>
      </c>
      <c r="E689" s="11">
        <v>2528488350</v>
      </c>
      <c r="F689" s="1" t="s">
        <v>5</v>
      </c>
      <c r="G689" s="4">
        <f>39591+(364+182)</f>
        <v>40137</v>
      </c>
      <c r="H689" s="67" t="str">
        <f t="shared" si="30"/>
        <v>Nov</v>
      </c>
      <c r="I689" s="9">
        <f t="shared" ca="1" si="31"/>
        <v>6</v>
      </c>
      <c r="J689" s="8" t="s">
        <v>32</v>
      </c>
      <c r="K689" s="7">
        <v>54190</v>
      </c>
      <c r="L689" s="6">
        <v>4</v>
      </c>
      <c r="M689" s="31">
        <f t="shared" si="32"/>
        <v>54190</v>
      </c>
      <c r="N689" s="65"/>
      <c r="O689" s="14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25">
      <c r="A690" s="1" t="s">
        <v>86</v>
      </c>
      <c r="B690" s="12" t="s">
        <v>17</v>
      </c>
      <c r="C690" s="1" t="s">
        <v>26</v>
      </c>
      <c r="D690" s="11">
        <v>242099349</v>
      </c>
      <c r="E690" s="11">
        <v>2526576057</v>
      </c>
      <c r="F690" s="1" t="s">
        <v>5</v>
      </c>
      <c r="G690" s="4">
        <f>39955+(364+182)</f>
        <v>40501</v>
      </c>
      <c r="H690" s="67" t="str">
        <f t="shared" si="30"/>
        <v>Nov</v>
      </c>
      <c r="I690" s="9">
        <f t="shared" ca="1" si="31"/>
        <v>5</v>
      </c>
      <c r="J690" s="8" t="s">
        <v>19</v>
      </c>
      <c r="K690" s="7">
        <v>77820</v>
      </c>
      <c r="L690" s="6">
        <v>3</v>
      </c>
      <c r="M690" s="31">
        <f t="shared" si="32"/>
        <v>77820</v>
      </c>
      <c r="N690" s="65"/>
      <c r="O690" s="14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25">
      <c r="A691" s="1" t="s">
        <v>85</v>
      </c>
      <c r="B691" s="12" t="s">
        <v>56</v>
      </c>
      <c r="C691" s="1" t="s">
        <v>84</v>
      </c>
      <c r="D691" s="11">
        <v>640301378</v>
      </c>
      <c r="E691" s="11">
        <v>2524663056</v>
      </c>
      <c r="F691" s="1" t="s">
        <v>15</v>
      </c>
      <c r="G691" s="13">
        <f>39959+(364+182)</f>
        <v>40505</v>
      </c>
      <c r="H691" s="67" t="str">
        <f t="shared" si="30"/>
        <v>Nov</v>
      </c>
      <c r="I691" s="9">
        <f t="shared" ca="1" si="31"/>
        <v>5</v>
      </c>
      <c r="J691" s="8" t="s">
        <v>4</v>
      </c>
      <c r="K691" s="7">
        <v>46230</v>
      </c>
      <c r="L691" s="6">
        <v>2</v>
      </c>
      <c r="M691" s="31">
        <f t="shared" si="32"/>
        <v>46230</v>
      </c>
      <c r="N691" s="65"/>
      <c r="O691" s="6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25">
      <c r="A692" s="1" t="s">
        <v>83</v>
      </c>
      <c r="B692" s="12" t="s">
        <v>13</v>
      </c>
      <c r="C692" s="1" t="s">
        <v>52</v>
      </c>
      <c r="D692" s="11">
        <v>693055639</v>
      </c>
      <c r="E692" s="11">
        <v>9195866887</v>
      </c>
      <c r="F692" s="1" t="s">
        <v>5</v>
      </c>
      <c r="G692" s="4">
        <f>32676+(364+182)</f>
        <v>33222</v>
      </c>
      <c r="H692" s="67" t="str">
        <f t="shared" si="30"/>
        <v>Dec</v>
      </c>
      <c r="I692" s="9">
        <f t="shared" ca="1" si="31"/>
        <v>25</v>
      </c>
      <c r="J692" s="8" t="s">
        <v>32</v>
      </c>
      <c r="K692" s="7">
        <v>53900</v>
      </c>
      <c r="L692" s="6">
        <v>5</v>
      </c>
      <c r="M692" s="31">
        <f t="shared" si="32"/>
        <v>53900</v>
      </c>
      <c r="N692" s="65"/>
      <c r="O692" s="14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25">
      <c r="A693" s="1" t="s">
        <v>82</v>
      </c>
      <c r="B693" s="12" t="s">
        <v>39</v>
      </c>
      <c r="C693" s="1" t="s">
        <v>60</v>
      </c>
      <c r="D693" s="11">
        <v>738946277</v>
      </c>
      <c r="E693" s="11">
        <v>9194331646</v>
      </c>
      <c r="F693" s="1" t="s">
        <v>5</v>
      </c>
      <c r="G693" s="4">
        <f>32677+(364+182)</f>
        <v>33223</v>
      </c>
      <c r="H693" s="67" t="str">
        <f t="shared" si="30"/>
        <v>Dec</v>
      </c>
      <c r="I693" s="9">
        <f t="shared" ca="1" si="31"/>
        <v>25</v>
      </c>
      <c r="J693" s="8" t="s">
        <v>34</v>
      </c>
      <c r="K693" s="7">
        <v>31260</v>
      </c>
      <c r="L693" s="6">
        <v>5</v>
      </c>
      <c r="M693" s="31">
        <f t="shared" si="32"/>
        <v>31260</v>
      </c>
      <c r="N693" s="65"/>
      <c r="O693" s="14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25">
      <c r="A694" s="1" t="s">
        <v>81</v>
      </c>
      <c r="B694" s="12" t="s">
        <v>17</v>
      </c>
      <c r="C694" s="1" t="s">
        <v>26</v>
      </c>
      <c r="D694" s="11">
        <v>513140687</v>
      </c>
      <c r="E694" s="11">
        <v>9192163497</v>
      </c>
      <c r="F694" s="1" t="s">
        <v>12</v>
      </c>
      <c r="G694" s="4">
        <f>32682+(364+182)</f>
        <v>33228</v>
      </c>
      <c r="H694" s="67" t="str">
        <f t="shared" si="30"/>
        <v>Dec</v>
      </c>
      <c r="I694" s="9">
        <f t="shared" ca="1" si="31"/>
        <v>25</v>
      </c>
      <c r="J694" s="8"/>
      <c r="K694" s="7">
        <v>42940</v>
      </c>
      <c r="L694" s="6">
        <v>1</v>
      </c>
      <c r="M694" s="31">
        <f t="shared" si="32"/>
        <v>42940</v>
      </c>
      <c r="N694" s="65"/>
      <c r="O694" s="14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25">
      <c r="A695" s="1" t="s">
        <v>80</v>
      </c>
      <c r="B695" s="12" t="s">
        <v>17</v>
      </c>
      <c r="C695" s="1" t="s">
        <v>22</v>
      </c>
      <c r="D695" s="11">
        <v>554029540</v>
      </c>
      <c r="E695" s="11">
        <v>2521544288</v>
      </c>
      <c r="F695" s="1" t="s">
        <v>12</v>
      </c>
      <c r="G695" s="4">
        <f>32688+(364+182)</f>
        <v>33234</v>
      </c>
      <c r="H695" s="67" t="str">
        <f t="shared" si="30"/>
        <v>Dec</v>
      </c>
      <c r="I695" s="9">
        <f t="shared" ca="1" si="31"/>
        <v>25</v>
      </c>
      <c r="J695" s="8"/>
      <c r="K695" s="7">
        <v>58650</v>
      </c>
      <c r="L695" s="6">
        <v>4</v>
      </c>
      <c r="M695" s="31">
        <f t="shared" si="32"/>
        <v>58650</v>
      </c>
      <c r="N695" s="65"/>
      <c r="O695" s="14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25">
      <c r="A696" s="1" t="s">
        <v>79</v>
      </c>
      <c r="B696" s="12" t="s">
        <v>13</v>
      </c>
      <c r="C696" s="1" t="s">
        <v>22</v>
      </c>
      <c r="D696" s="11">
        <v>828395582</v>
      </c>
      <c r="E696" s="11">
        <v>9198591986</v>
      </c>
      <c r="F696" s="1" t="s">
        <v>5</v>
      </c>
      <c r="G696" s="4">
        <f>33027+(364+182)</f>
        <v>33573</v>
      </c>
      <c r="H696" s="67" t="str">
        <f t="shared" si="30"/>
        <v>Dec</v>
      </c>
      <c r="I696" s="9">
        <f t="shared" ca="1" si="31"/>
        <v>24</v>
      </c>
      <c r="J696" s="8" t="s">
        <v>8</v>
      </c>
      <c r="K696" s="7">
        <v>71680</v>
      </c>
      <c r="L696" s="6">
        <v>4</v>
      </c>
      <c r="M696" s="31">
        <f t="shared" si="32"/>
        <v>71680</v>
      </c>
      <c r="N696" s="65"/>
      <c r="O696" s="14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25">
      <c r="A697" s="1" t="s">
        <v>78</v>
      </c>
      <c r="B697" s="12" t="s">
        <v>17</v>
      </c>
      <c r="C697" s="1" t="s">
        <v>26</v>
      </c>
      <c r="D697" s="11">
        <v>459522265</v>
      </c>
      <c r="E697" s="11">
        <v>2524633649</v>
      </c>
      <c r="F697" s="1" t="s">
        <v>5</v>
      </c>
      <c r="G697" s="4">
        <f>33029+(364+182)</f>
        <v>33575</v>
      </c>
      <c r="H697" s="67" t="str">
        <f t="shared" si="30"/>
        <v>Dec</v>
      </c>
      <c r="I697" s="9">
        <f t="shared" ca="1" si="31"/>
        <v>24</v>
      </c>
      <c r="J697" s="8" t="s">
        <v>34</v>
      </c>
      <c r="K697" s="7">
        <v>61400</v>
      </c>
      <c r="L697" s="6">
        <v>5</v>
      </c>
      <c r="M697" s="31">
        <f t="shared" si="32"/>
        <v>61400</v>
      </c>
      <c r="N697" s="65"/>
      <c r="O697" s="14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25">
      <c r="A698" s="1" t="s">
        <v>77</v>
      </c>
      <c r="B698" s="12" t="s">
        <v>17</v>
      </c>
      <c r="C698" s="1" t="s">
        <v>28</v>
      </c>
      <c r="D698" s="11">
        <v>617795992</v>
      </c>
      <c r="E698" s="11">
        <v>2526345909</v>
      </c>
      <c r="F698" s="1" t="s">
        <v>5</v>
      </c>
      <c r="G698" s="4">
        <f>33032+(364+182)</f>
        <v>33578</v>
      </c>
      <c r="H698" s="67" t="str">
        <f t="shared" si="30"/>
        <v>Dec</v>
      </c>
      <c r="I698" s="9">
        <f t="shared" ca="1" si="31"/>
        <v>24</v>
      </c>
      <c r="J698" s="8" t="s">
        <v>32</v>
      </c>
      <c r="K698" s="7">
        <v>43580</v>
      </c>
      <c r="L698" s="6">
        <v>5</v>
      </c>
      <c r="M698" s="31">
        <f t="shared" si="32"/>
        <v>43580</v>
      </c>
      <c r="N698" s="65"/>
      <c r="O698" s="14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25">
      <c r="A699" s="1" t="s">
        <v>76</v>
      </c>
      <c r="B699" s="12" t="s">
        <v>39</v>
      </c>
      <c r="C699" s="1" t="s">
        <v>22</v>
      </c>
      <c r="D699" s="11">
        <v>452255054</v>
      </c>
      <c r="E699" s="11">
        <v>9196114005</v>
      </c>
      <c r="F699" s="1" t="s">
        <v>12</v>
      </c>
      <c r="G699" s="4">
        <f>33032+(364+182)</f>
        <v>33578</v>
      </c>
      <c r="H699" s="67" t="str">
        <f t="shared" si="30"/>
        <v>Dec</v>
      </c>
      <c r="I699" s="9">
        <f t="shared" ca="1" si="31"/>
        <v>24</v>
      </c>
      <c r="J699" s="8"/>
      <c r="K699" s="7">
        <v>50840</v>
      </c>
      <c r="L699" s="6">
        <v>4</v>
      </c>
      <c r="M699" s="31">
        <f t="shared" si="32"/>
        <v>50840</v>
      </c>
      <c r="N699" s="65"/>
      <c r="O699" s="14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25">
      <c r="A700" s="1" t="s">
        <v>75</v>
      </c>
      <c r="B700" s="12" t="s">
        <v>39</v>
      </c>
      <c r="C700" s="1" t="s">
        <v>74</v>
      </c>
      <c r="D700" s="11">
        <v>360904659</v>
      </c>
      <c r="E700" s="11">
        <v>2523766803</v>
      </c>
      <c r="F700" s="1" t="s">
        <v>5</v>
      </c>
      <c r="G700" s="4">
        <f>33042+(364+182)</f>
        <v>33588</v>
      </c>
      <c r="H700" s="67" t="str">
        <f t="shared" si="30"/>
        <v>Dec</v>
      </c>
      <c r="I700" s="9">
        <f t="shared" ca="1" si="31"/>
        <v>24</v>
      </c>
      <c r="J700" s="8" t="s">
        <v>4</v>
      </c>
      <c r="K700" s="7">
        <v>44620</v>
      </c>
      <c r="L700" s="6">
        <v>5</v>
      </c>
      <c r="M700" s="31">
        <f t="shared" si="32"/>
        <v>44620</v>
      </c>
      <c r="N700" s="65"/>
      <c r="O700" s="14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25">
      <c r="A701" s="1" t="s">
        <v>73</v>
      </c>
      <c r="B701" s="12" t="s">
        <v>17</v>
      </c>
      <c r="C701" s="1" t="s">
        <v>72</v>
      </c>
      <c r="D701" s="11">
        <v>249760737</v>
      </c>
      <c r="E701" s="11">
        <v>2522969056</v>
      </c>
      <c r="F701" s="1" t="s">
        <v>12</v>
      </c>
      <c r="G701" s="4">
        <f>33403+(364+182)</f>
        <v>33949</v>
      </c>
      <c r="H701" s="67" t="str">
        <f t="shared" si="30"/>
        <v>Dec</v>
      </c>
      <c r="I701" s="9">
        <f t="shared" ca="1" si="31"/>
        <v>23</v>
      </c>
      <c r="J701" s="8"/>
      <c r="K701" s="7">
        <v>81070</v>
      </c>
      <c r="L701" s="6">
        <v>5</v>
      </c>
      <c r="M701" s="31">
        <f t="shared" si="32"/>
        <v>81070</v>
      </c>
      <c r="N701" s="65"/>
      <c r="O701" s="14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25">
      <c r="A702" s="1" t="s">
        <v>71</v>
      </c>
      <c r="B702" s="12" t="s">
        <v>17</v>
      </c>
      <c r="C702" s="1" t="s">
        <v>22</v>
      </c>
      <c r="D702" s="11">
        <v>638495756</v>
      </c>
      <c r="E702" s="11">
        <v>2528922252</v>
      </c>
      <c r="F702" s="1" t="s">
        <v>12</v>
      </c>
      <c r="G702" s="4">
        <f>33403+(364+182)</f>
        <v>33949</v>
      </c>
      <c r="H702" s="67" t="str">
        <f t="shared" si="30"/>
        <v>Dec</v>
      </c>
      <c r="I702" s="9">
        <f t="shared" ca="1" si="31"/>
        <v>23</v>
      </c>
      <c r="J702" s="8"/>
      <c r="K702" s="7">
        <v>44720</v>
      </c>
      <c r="L702" s="6">
        <v>2</v>
      </c>
      <c r="M702" s="31">
        <f t="shared" si="32"/>
        <v>44720</v>
      </c>
      <c r="N702" s="65"/>
      <c r="O702" s="14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25">
      <c r="A703" s="1" t="s">
        <v>70</v>
      </c>
      <c r="B703" s="12" t="s">
        <v>17</v>
      </c>
      <c r="C703" s="1" t="s">
        <v>6</v>
      </c>
      <c r="D703" s="11">
        <v>595022550</v>
      </c>
      <c r="E703" s="11">
        <v>9195621928</v>
      </c>
      <c r="F703" s="1" t="s">
        <v>5</v>
      </c>
      <c r="G703" s="4">
        <f>33411+(364+182)</f>
        <v>33957</v>
      </c>
      <c r="H703" s="67" t="str">
        <f t="shared" si="30"/>
        <v>Dec</v>
      </c>
      <c r="I703" s="9">
        <f t="shared" ca="1" si="31"/>
        <v>23</v>
      </c>
      <c r="J703" s="8" t="s">
        <v>34</v>
      </c>
      <c r="K703" s="7">
        <v>59490</v>
      </c>
      <c r="L703" s="6">
        <v>3</v>
      </c>
      <c r="M703" s="31">
        <f t="shared" si="32"/>
        <v>59490</v>
      </c>
      <c r="N703" s="65"/>
      <c r="O703" s="14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25">
      <c r="A704" s="1" t="s">
        <v>69</v>
      </c>
      <c r="B704" s="12" t="s">
        <v>17</v>
      </c>
      <c r="C704" s="1" t="s">
        <v>6</v>
      </c>
      <c r="D704" s="11">
        <v>855663308</v>
      </c>
      <c r="E704" s="11">
        <v>9195797109</v>
      </c>
      <c r="F704" s="1" t="s">
        <v>5</v>
      </c>
      <c r="G704" s="4">
        <f>34124+(364+182)</f>
        <v>34670</v>
      </c>
      <c r="H704" s="67" t="str">
        <f t="shared" si="30"/>
        <v>Dec</v>
      </c>
      <c r="I704" s="9">
        <f t="shared" ca="1" si="31"/>
        <v>21</v>
      </c>
      <c r="J704" s="8" t="s">
        <v>32</v>
      </c>
      <c r="K704" s="7">
        <v>69510</v>
      </c>
      <c r="L704" s="6">
        <v>5</v>
      </c>
      <c r="M704" s="31">
        <f t="shared" si="32"/>
        <v>69510</v>
      </c>
      <c r="N704" s="65"/>
      <c r="O704" s="14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25">
      <c r="A705" s="1" t="s">
        <v>68</v>
      </c>
      <c r="B705" s="12" t="s">
        <v>2</v>
      </c>
      <c r="C705" s="1" t="s">
        <v>20</v>
      </c>
      <c r="D705" s="11">
        <v>165917010</v>
      </c>
      <c r="E705" s="11">
        <v>2527038033</v>
      </c>
      <c r="F705" s="1" t="s">
        <v>12</v>
      </c>
      <c r="G705" s="4">
        <f>34125+(364+182)</f>
        <v>34671</v>
      </c>
      <c r="H705" s="67" t="str">
        <f t="shared" si="30"/>
        <v>Dec</v>
      </c>
      <c r="I705" s="9">
        <f t="shared" ca="1" si="31"/>
        <v>21</v>
      </c>
      <c r="J705" s="8"/>
      <c r="K705" s="7">
        <v>80690</v>
      </c>
      <c r="L705" s="6">
        <v>3</v>
      </c>
      <c r="M705" s="31">
        <f t="shared" si="32"/>
        <v>80690</v>
      </c>
      <c r="N705" s="65"/>
      <c r="O705" s="14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25">
      <c r="A706" s="1" t="s">
        <v>67</v>
      </c>
      <c r="B706" s="12" t="s">
        <v>10</v>
      </c>
      <c r="C706" s="1" t="s">
        <v>22</v>
      </c>
      <c r="D706" s="11">
        <v>422463024</v>
      </c>
      <c r="E706" s="11">
        <v>9193876146</v>
      </c>
      <c r="F706" s="1" t="s">
        <v>5</v>
      </c>
      <c r="G706" s="4">
        <f>34147+(364+182)</f>
        <v>34693</v>
      </c>
      <c r="H706" s="67" t="str">
        <f t="shared" si="30"/>
        <v>Dec</v>
      </c>
      <c r="I706" s="9">
        <f t="shared" ca="1" si="31"/>
        <v>21</v>
      </c>
      <c r="J706" s="8" t="s">
        <v>34</v>
      </c>
      <c r="K706" s="7">
        <v>88820</v>
      </c>
      <c r="L706" s="6">
        <v>2</v>
      </c>
      <c r="M706" s="31">
        <f t="shared" si="32"/>
        <v>88820</v>
      </c>
      <c r="N706" s="65"/>
      <c r="O706" s="14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25">
      <c r="A707" s="1" t="s">
        <v>66</v>
      </c>
      <c r="B707" s="12" t="s">
        <v>2</v>
      </c>
      <c r="C707" s="1" t="s">
        <v>52</v>
      </c>
      <c r="D707" s="11">
        <v>687623890</v>
      </c>
      <c r="E707" s="11">
        <v>2522447501</v>
      </c>
      <c r="F707" s="1" t="s">
        <v>0</v>
      </c>
      <c r="G707" s="4">
        <f>34488+(364+182)</f>
        <v>35034</v>
      </c>
      <c r="H707" s="67" t="str">
        <f t="shared" ref="H707:H743" si="33">CHOOSE(MONTH(G707),"Jan","Feb","Mar","Apr","May","Jun","Jul","Aug","Sep","Oct","Nov","Dec")</f>
        <v>Dec</v>
      </c>
      <c r="I707" s="9">
        <f t="shared" ref="I707:I743" ca="1" si="34">DATEDIF(G707,TODAY(),"Y")</f>
        <v>20</v>
      </c>
      <c r="J707" s="8"/>
      <c r="K707" s="7">
        <v>23692</v>
      </c>
      <c r="L707" s="6">
        <v>4</v>
      </c>
      <c r="M707" s="31">
        <f t="shared" ref="M707:M743" si="35">ROUND(K707*P705+K707,0)</f>
        <v>23692</v>
      </c>
      <c r="N707" s="65"/>
      <c r="O707" s="14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25">
      <c r="A708" s="1" t="s">
        <v>65</v>
      </c>
      <c r="B708" s="12" t="s">
        <v>13</v>
      </c>
      <c r="C708" s="1" t="s">
        <v>6</v>
      </c>
      <c r="D708" s="11">
        <v>992674973</v>
      </c>
      <c r="E708" s="11">
        <v>2526088101</v>
      </c>
      <c r="F708" s="1" t="s">
        <v>5</v>
      </c>
      <c r="G708" s="4">
        <f>34506+(364+182)</f>
        <v>35052</v>
      </c>
      <c r="H708" s="67" t="str">
        <f t="shared" si="33"/>
        <v>Dec</v>
      </c>
      <c r="I708" s="9">
        <f t="shared" ca="1" si="34"/>
        <v>20</v>
      </c>
      <c r="J708" s="8" t="s">
        <v>19</v>
      </c>
      <c r="K708" s="7">
        <v>64780</v>
      </c>
      <c r="L708" s="6">
        <v>5</v>
      </c>
      <c r="M708" s="31">
        <f t="shared" si="35"/>
        <v>64780</v>
      </c>
      <c r="N708" s="65"/>
      <c r="O708" s="14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25">
      <c r="A709" s="1" t="s">
        <v>64</v>
      </c>
      <c r="B709" s="12" t="s">
        <v>17</v>
      </c>
      <c r="C709" s="1" t="s">
        <v>52</v>
      </c>
      <c r="D709" s="11">
        <v>412159105</v>
      </c>
      <c r="E709" s="11">
        <v>9198252392</v>
      </c>
      <c r="F709" s="1" t="s">
        <v>0</v>
      </c>
      <c r="G709" s="4">
        <f>34856+(364+182)</f>
        <v>35402</v>
      </c>
      <c r="H709" s="67" t="str">
        <f t="shared" si="33"/>
        <v>Dec</v>
      </c>
      <c r="I709" s="9">
        <f t="shared" ca="1" si="34"/>
        <v>19</v>
      </c>
      <c r="J709" s="8"/>
      <c r="K709" s="7">
        <v>33508</v>
      </c>
      <c r="L709" s="6">
        <v>4</v>
      </c>
      <c r="M709" s="31">
        <f t="shared" si="35"/>
        <v>33508</v>
      </c>
      <c r="N709" s="65"/>
      <c r="O709" s="14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25">
      <c r="A710" s="1" t="s">
        <v>63</v>
      </c>
      <c r="B710" s="12" t="s">
        <v>13</v>
      </c>
      <c r="C710" s="1" t="s">
        <v>52</v>
      </c>
      <c r="D710" s="11">
        <v>984881714</v>
      </c>
      <c r="E710" s="11">
        <v>9196973131</v>
      </c>
      <c r="F710" s="1" t="s">
        <v>5</v>
      </c>
      <c r="G710" s="4">
        <f>34862+(364+182)</f>
        <v>35408</v>
      </c>
      <c r="H710" s="67" t="str">
        <f t="shared" si="33"/>
        <v>Dec</v>
      </c>
      <c r="I710" s="9">
        <f t="shared" ca="1" si="34"/>
        <v>19</v>
      </c>
      <c r="J710" s="8" t="s">
        <v>4</v>
      </c>
      <c r="K710" s="7">
        <v>34330</v>
      </c>
      <c r="L710" s="6">
        <v>3</v>
      </c>
      <c r="M710" s="31">
        <f t="shared" si="35"/>
        <v>34330</v>
      </c>
      <c r="N710" s="65"/>
      <c r="O710" s="14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25">
      <c r="A711" s="1" t="s">
        <v>62</v>
      </c>
      <c r="B711" s="12" t="s">
        <v>17</v>
      </c>
      <c r="C711" s="1" t="s">
        <v>28</v>
      </c>
      <c r="D711" s="11">
        <v>803776506</v>
      </c>
      <c r="E711" s="11">
        <v>2526920236</v>
      </c>
      <c r="F711" s="1" t="s">
        <v>5</v>
      </c>
      <c r="G711" s="4">
        <f>34866+(364+182)</f>
        <v>35412</v>
      </c>
      <c r="H711" s="67" t="str">
        <f t="shared" si="33"/>
        <v>Dec</v>
      </c>
      <c r="I711" s="9">
        <f t="shared" ca="1" si="34"/>
        <v>19</v>
      </c>
      <c r="J711" s="8" t="s">
        <v>34</v>
      </c>
      <c r="K711" s="7">
        <v>77950</v>
      </c>
      <c r="L711" s="6">
        <v>4</v>
      </c>
      <c r="M711" s="31">
        <f t="shared" si="35"/>
        <v>77950</v>
      </c>
      <c r="N711" s="65"/>
      <c r="O711" s="14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25">
      <c r="A712" s="1" t="s">
        <v>61</v>
      </c>
      <c r="B712" s="12" t="s">
        <v>17</v>
      </c>
      <c r="C712" s="1" t="s">
        <v>60</v>
      </c>
      <c r="D712" s="11">
        <v>626767704</v>
      </c>
      <c r="E712" s="11">
        <v>2526971022</v>
      </c>
      <c r="F712" s="1" t="s">
        <v>12</v>
      </c>
      <c r="G712" s="4">
        <f>35230+(364+182)</f>
        <v>35776</v>
      </c>
      <c r="H712" s="67" t="str">
        <f t="shared" si="33"/>
        <v>Dec</v>
      </c>
      <c r="I712" s="9">
        <f t="shared" ca="1" si="34"/>
        <v>18</v>
      </c>
      <c r="J712" s="8"/>
      <c r="K712" s="7">
        <v>77930</v>
      </c>
      <c r="L712" s="6">
        <v>5</v>
      </c>
      <c r="M712" s="31">
        <f t="shared" si="35"/>
        <v>77930</v>
      </c>
      <c r="N712" s="65"/>
      <c r="O712" s="14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25">
      <c r="A713" s="1" t="s">
        <v>59</v>
      </c>
      <c r="B713" s="12" t="s">
        <v>2</v>
      </c>
      <c r="C713" s="1" t="s">
        <v>6</v>
      </c>
      <c r="D713" s="11">
        <v>941937371</v>
      </c>
      <c r="E713" s="11">
        <v>9195060466</v>
      </c>
      <c r="F713" s="1" t="s">
        <v>5</v>
      </c>
      <c r="G713" s="4">
        <f>35230+(364+182)</f>
        <v>35776</v>
      </c>
      <c r="H713" s="67" t="str">
        <f t="shared" si="33"/>
        <v>Dec</v>
      </c>
      <c r="I713" s="9">
        <f t="shared" ca="1" si="34"/>
        <v>18</v>
      </c>
      <c r="J713" s="8" t="s">
        <v>32</v>
      </c>
      <c r="K713" s="7">
        <v>86320</v>
      </c>
      <c r="L713" s="6">
        <v>4</v>
      </c>
      <c r="M713" s="31">
        <f t="shared" si="35"/>
        <v>86320</v>
      </c>
      <c r="N713" s="65"/>
      <c r="O713" s="14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25">
      <c r="A714" s="1" t="s">
        <v>58</v>
      </c>
      <c r="B714" s="12" t="s">
        <v>56</v>
      </c>
      <c r="C714" s="1" t="s">
        <v>22</v>
      </c>
      <c r="D714" s="11">
        <v>265323292</v>
      </c>
      <c r="E714" s="11">
        <v>2522939413</v>
      </c>
      <c r="F714" s="1" t="s">
        <v>5</v>
      </c>
      <c r="G714" s="4">
        <f>35590+(364+182)</f>
        <v>36136</v>
      </c>
      <c r="H714" s="67" t="str">
        <f t="shared" si="33"/>
        <v>Dec</v>
      </c>
      <c r="I714" s="9">
        <f t="shared" ca="1" si="34"/>
        <v>17</v>
      </c>
      <c r="J714" s="8" t="s">
        <v>4</v>
      </c>
      <c r="K714" s="7">
        <v>45000</v>
      </c>
      <c r="L714" s="6">
        <v>4</v>
      </c>
      <c r="M714" s="31">
        <f t="shared" si="35"/>
        <v>45000</v>
      </c>
      <c r="N714" s="65"/>
      <c r="O714" s="14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25">
      <c r="A715" s="1" t="s">
        <v>57</v>
      </c>
      <c r="B715" s="12" t="s">
        <v>56</v>
      </c>
      <c r="C715" s="1" t="s">
        <v>37</v>
      </c>
      <c r="D715" s="11">
        <v>481336564</v>
      </c>
      <c r="E715" s="11">
        <v>9196479087</v>
      </c>
      <c r="F715" s="1" t="s">
        <v>5</v>
      </c>
      <c r="G715" s="4">
        <f>35597+(364+182)</f>
        <v>36143</v>
      </c>
      <c r="H715" s="67" t="str">
        <f t="shared" si="33"/>
        <v>Dec</v>
      </c>
      <c r="I715" s="9">
        <f t="shared" ca="1" si="34"/>
        <v>17</v>
      </c>
      <c r="J715" s="8" t="s">
        <v>4</v>
      </c>
      <c r="K715" s="7">
        <v>72090</v>
      </c>
      <c r="L715" s="6">
        <v>5</v>
      </c>
      <c r="M715" s="31">
        <f t="shared" si="35"/>
        <v>72090</v>
      </c>
      <c r="N715" s="65"/>
      <c r="O715" s="14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25">
      <c r="A716" s="1" t="s">
        <v>55</v>
      </c>
      <c r="B716" s="12" t="s">
        <v>17</v>
      </c>
      <c r="C716" s="1" t="s">
        <v>20</v>
      </c>
      <c r="D716" s="11">
        <v>698869555</v>
      </c>
      <c r="E716" s="11">
        <v>2526052545</v>
      </c>
      <c r="F716" s="1" t="s">
        <v>15</v>
      </c>
      <c r="G716" s="4">
        <f>35957+(364+182)</f>
        <v>36503</v>
      </c>
      <c r="H716" s="67" t="str">
        <f t="shared" si="33"/>
        <v>Dec</v>
      </c>
      <c r="I716" s="9">
        <f t="shared" ca="1" si="34"/>
        <v>16</v>
      </c>
      <c r="J716" s="8" t="s">
        <v>19</v>
      </c>
      <c r="K716" s="7">
        <v>41615</v>
      </c>
      <c r="L716" s="6">
        <v>1</v>
      </c>
      <c r="M716" s="31">
        <f t="shared" si="35"/>
        <v>41615</v>
      </c>
      <c r="N716" s="65"/>
      <c r="O716" s="14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25">
      <c r="A717" s="1" t="s">
        <v>54</v>
      </c>
      <c r="B717" s="12" t="s">
        <v>13</v>
      </c>
      <c r="C717" s="1" t="s">
        <v>26</v>
      </c>
      <c r="D717" s="11">
        <v>334574480</v>
      </c>
      <c r="E717" s="11">
        <v>2525165289</v>
      </c>
      <c r="F717" s="1" t="s">
        <v>5</v>
      </c>
      <c r="G717" s="4">
        <f>35960+(364+182)</f>
        <v>36506</v>
      </c>
      <c r="H717" s="67" t="str">
        <f t="shared" si="33"/>
        <v>Dec</v>
      </c>
      <c r="I717" s="9">
        <f t="shared" ca="1" si="34"/>
        <v>16</v>
      </c>
      <c r="J717" s="8" t="s">
        <v>4</v>
      </c>
      <c r="K717" s="7">
        <v>32100</v>
      </c>
      <c r="L717" s="6">
        <v>1</v>
      </c>
      <c r="M717" s="31">
        <f t="shared" si="35"/>
        <v>32100</v>
      </c>
      <c r="N717" s="65"/>
      <c r="O717" s="6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25">
      <c r="A718" s="1" t="s">
        <v>53</v>
      </c>
      <c r="B718" s="12" t="s">
        <v>2</v>
      </c>
      <c r="C718" s="1" t="s">
        <v>52</v>
      </c>
      <c r="D718" s="11">
        <v>889210902</v>
      </c>
      <c r="E718" s="11">
        <v>2527422559</v>
      </c>
      <c r="F718" s="1" t="s">
        <v>5</v>
      </c>
      <c r="G718" s="4">
        <f>35968+(364+182)</f>
        <v>36514</v>
      </c>
      <c r="H718" s="67" t="str">
        <f t="shared" si="33"/>
        <v>Dec</v>
      </c>
      <c r="I718" s="9">
        <f t="shared" ca="1" si="34"/>
        <v>16</v>
      </c>
      <c r="J718" s="8" t="s">
        <v>4</v>
      </c>
      <c r="K718" s="7">
        <v>48250</v>
      </c>
      <c r="L718" s="6">
        <v>3</v>
      </c>
      <c r="M718" s="31">
        <f t="shared" si="35"/>
        <v>48250</v>
      </c>
      <c r="N718" s="65"/>
      <c r="O718" s="14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25">
      <c r="A719" s="1" t="s">
        <v>51</v>
      </c>
      <c r="B719" s="12" t="s">
        <v>17</v>
      </c>
      <c r="C719" s="1" t="s">
        <v>50</v>
      </c>
      <c r="D719" s="11">
        <v>351268538</v>
      </c>
      <c r="E719" s="11">
        <v>2525610944</v>
      </c>
      <c r="F719" s="1" t="s">
        <v>0</v>
      </c>
      <c r="G719" s="4">
        <f>35973+(364+182)</f>
        <v>36519</v>
      </c>
      <c r="H719" s="67" t="str">
        <f t="shared" si="33"/>
        <v>Dec</v>
      </c>
      <c r="I719" s="9">
        <f t="shared" ca="1" si="34"/>
        <v>16</v>
      </c>
      <c r="J719" s="8" t="s">
        <v>4</v>
      </c>
      <c r="K719" s="7">
        <v>61860</v>
      </c>
      <c r="L719" s="6">
        <v>5</v>
      </c>
      <c r="M719" s="31">
        <f t="shared" si="35"/>
        <v>61860</v>
      </c>
      <c r="N719" s="65"/>
      <c r="O719" s="14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25">
      <c r="A720" s="1" t="s">
        <v>49</v>
      </c>
      <c r="B720" s="12" t="s">
        <v>10</v>
      </c>
      <c r="C720" s="1" t="s">
        <v>20</v>
      </c>
      <c r="D720" s="11">
        <v>312019803</v>
      </c>
      <c r="E720" s="11">
        <v>9197961953</v>
      </c>
      <c r="F720" s="1" t="s">
        <v>5</v>
      </c>
      <c r="G720" s="4">
        <f>36683+(364+182)</f>
        <v>37229</v>
      </c>
      <c r="H720" s="67" t="str">
        <f t="shared" si="33"/>
        <v>Dec</v>
      </c>
      <c r="I720" s="9">
        <f t="shared" ca="1" si="34"/>
        <v>14</v>
      </c>
      <c r="J720" s="8" t="s">
        <v>4</v>
      </c>
      <c r="K720" s="7">
        <v>25310</v>
      </c>
      <c r="L720" s="6">
        <v>4</v>
      </c>
      <c r="M720" s="31">
        <f t="shared" si="35"/>
        <v>25310</v>
      </c>
      <c r="N720" s="65"/>
      <c r="O720" s="14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25">
      <c r="A721" s="1" t="s">
        <v>48</v>
      </c>
      <c r="B721" s="12" t="s">
        <v>39</v>
      </c>
      <c r="C721" s="1" t="s">
        <v>9</v>
      </c>
      <c r="D721" s="11">
        <v>261486180</v>
      </c>
      <c r="E721" s="11">
        <v>2522523567</v>
      </c>
      <c r="F721" s="1" t="s">
        <v>12</v>
      </c>
      <c r="G721" s="4">
        <f>36690+(364+182)</f>
        <v>37236</v>
      </c>
      <c r="H721" s="67" t="str">
        <f t="shared" si="33"/>
        <v>Dec</v>
      </c>
      <c r="I721" s="9">
        <f t="shared" ca="1" si="34"/>
        <v>14</v>
      </c>
      <c r="J721" s="8"/>
      <c r="K721" s="7">
        <v>29540</v>
      </c>
      <c r="L721" s="6">
        <v>3</v>
      </c>
      <c r="M721" s="31">
        <f t="shared" si="35"/>
        <v>29540</v>
      </c>
      <c r="N721" s="65"/>
      <c r="O721" s="14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25">
      <c r="A722" s="1" t="s">
        <v>47</v>
      </c>
      <c r="B722" s="12" t="s">
        <v>17</v>
      </c>
      <c r="C722" s="1" t="s">
        <v>26</v>
      </c>
      <c r="D722" s="11">
        <v>831188207</v>
      </c>
      <c r="E722" s="11">
        <v>9192121334</v>
      </c>
      <c r="F722" s="1" t="s">
        <v>5</v>
      </c>
      <c r="G722" s="4">
        <f>36695+(364+182)</f>
        <v>37241</v>
      </c>
      <c r="H722" s="67" t="str">
        <f t="shared" si="33"/>
        <v>Dec</v>
      </c>
      <c r="I722" s="9">
        <f t="shared" ca="1" si="34"/>
        <v>14</v>
      </c>
      <c r="J722" s="8" t="s">
        <v>32</v>
      </c>
      <c r="K722" s="7">
        <v>71950</v>
      </c>
      <c r="L722" s="6">
        <v>5</v>
      </c>
      <c r="M722" s="31">
        <f t="shared" si="35"/>
        <v>71950</v>
      </c>
      <c r="N722" s="65"/>
      <c r="O722" s="14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25">
      <c r="A723" s="1" t="s">
        <v>46</v>
      </c>
      <c r="B723" s="12" t="s">
        <v>17</v>
      </c>
      <c r="C723" s="1" t="s">
        <v>22</v>
      </c>
      <c r="D723" s="11">
        <v>209846975</v>
      </c>
      <c r="E723" s="11">
        <v>2522639452</v>
      </c>
      <c r="F723" s="1" t="s">
        <v>15</v>
      </c>
      <c r="G723" s="4">
        <f>36703+(364+182)</f>
        <v>37249</v>
      </c>
      <c r="H723" s="67" t="str">
        <f t="shared" si="33"/>
        <v>Dec</v>
      </c>
      <c r="I723" s="9">
        <f t="shared" ca="1" si="34"/>
        <v>14</v>
      </c>
      <c r="J723" s="8" t="s">
        <v>8</v>
      </c>
      <c r="K723" s="7">
        <v>12545</v>
      </c>
      <c r="L723" s="6">
        <v>4</v>
      </c>
      <c r="M723" s="31">
        <f t="shared" si="35"/>
        <v>12545</v>
      </c>
      <c r="N723" s="65"/>
      <c r="O723" s="14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25">
      <c r="A724" s="1" t="s">
        <v>45</v>
      </c>
      <c r="B724" s="12" t="s">
        <v>2</v>
      </c>
      <c r="C724" s="1" t="s">
        <v>44</v>
      </c>
      <c r="D724" s="11">
        <v>434927073</v>
      </c>
      <c r="E724" s="11">
        <v>2528440900</v>
      </c>
      <c r="F724" s="1" t="s">
        <v>5</v>
      </c>
      <c r="G724" s="4">
        <f>37066+(364+182)</f>
        <v>37612</v>
      </c>
      <c r="H724" s="67" t="str">
        <f t="shared" si="33"/>
        <v>Dec</v>
      </c>
      <c r="I724" s="9">
        <f t="shared" ca="1" si="34"/>
        <v>13</v>
      </c>
      <c r="J724" s="8" t="s">
        <v>19</v>
      </c>
      <c r="K724" s="7">
        <v>39740</v>
      </c>
      <c r="L724" s="6">
        <v>1</v>
      </c>
      <c r="M724" s="31">
        <f t="shared" si="35"/>
        <v>39740</v>
      </c>
      <c r="N724" s="65"/>
      <c r="O724" s="14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25">
      <c r="A725" s="1" t="s">
        <v>43</v>
      </c>
      <c r="B725" s="12" t="s">
        <v>39</v>
      </c>
      <c r="C725" s="1" t="s">
        <v>20</v>
      </c>
      <c r="D725" s="11">
        <v>488831244</v>
      </c>
      <c r="E725" s="11">
        <v>9198979762</v>
      </c>
      <c r="F725" s="1" t="s">
        <v>15</v>
      </c>
      <c r="G725" s="4">
        <f>37074+(364+182)</f>
        <v>37620</v>
      </c>
      <c r="H725" s="67" t="str">
        <f t="shared" si="33"/>
        <v>Dec</v>
      </c>
      <c r="I725" s="9">
        <f t="shared" ca="1" si="34"/>
        <v>13</v>
      </c>
      <c r="J725" s="8" t="s">
        <v>32</v>
      </c>
      <c r="K725" s="7">
        <v>24460</v>
      </c>
      <c r="L725" s="6">
        <v>1</v>
      </c>
      <c r="M725" s="31">
        <f t="shared" si="35"/>
        <v>24460</v>
      </c>
      <c r="N725" s="65"/>
      <c r="O725" s="14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x14ac:dyDescent="0.25">
      <c r="A726" s="1" t="s">
        <v>42</v>
      </c>
      <c r="B726" s="12" t="s">
        <v>39</v>
      </c>
      <c r="C726" s="1" t="s">
        <v>26</v>
      </c>
      <c r="D726" s="11">
        <v>365117800</v>
      </c>
      <c r="E726" s="11">
        <v>2524125146</v>
      </c>
      <c r="F726" s="1" t="s">
        <v>5</v>
      </c>
      <c r="G726" s="4">
        <f>37414+(364+182)</f>
        <v>37960</v>
      </c>
      <c r="H726" s="67" t="str">
        <f t="shared" si="33"/>
        <v>Dec</v>
      </c>
      <c r="I726" s="9">
        <f t="shared" ca="1" si="34"/>
        <v>12</v>
      </c>
      <c r="J726" s="8" t="s">
        <v>32</v>
      </c>
      <c r="K726" s="7">
        <v>66890</v>
      </c>
      <c r="L726" s="6">
        <v>5</v>
      </c>
      <c r="M726" s="31">
        <f t="shared" si="35"/>
        <v>66890</v>
      </c>
      <c r="N726" s="65"/>
      <c r="O726" s="14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x14ac:dyDescent="0.25">
      <c r="A727" s="1" t="s">
        <v>41</v>
      </c>
      <c r="B727" s="12" t="s">
        <v>13</v>
      </c>
      <c r="C727" s="1" t="s">
        <v>6</v>
      </c>
      <c r="D727" s="11">
        <v>862698919</v>
      </c>
      <c r="E727" s="11">
        <v>2522780847</v>
      </c>
      <c r="F727" s="1" t="s">
        <v>5</v>
      </c>
      <c r="G727" s="4">
        <f>37782+(364+182)</f>
        <v>38328</v>
      </c>
      <c r="H727" s="67" t="str">
        <f t="shared" si="33"/>
        <v>Dec</v>
      </c>
      <c r="I727" s="9">
        <f t="shared" ca="1" si="34"/>
        <v>11</v>
      </c>
      <c r="J727" s="8" t="s">
        <v>34</v>
      </c>
      <c r="K727" s="7">
        <v>48280</v>
      </c>
      <c r="L727" s="6">
        <v>4</v>
      </c>
      <c r="M727" s="31">
        <f t="shared" si="35"/>
        <v>48280</v>
      </c>
      <c r="N727" s="65"/>
      <c r="O727" s="14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x14ac:dyDescent="0.25">
      <c r="A728" s="1" t="s">
        <v>40</v>
      </c>
      <c r="B728" s="12" t="s">
        <v>39</v>
      </c>
      <c r="C728" s="1" t="s">
        <v>6</v>
      </c>
      <c r="D728" s="11">
        <v>683670378</v>
      </c>
      <c r="E728" s="11">
        <v>9196259106</v>
      </c>
      <c r="F728" s="1" t="s">
        <v>5</v>
      </c>
      <c r="G728" s="4">
        <f>37801+(364+182)</f>
        <v>38347</v>
      </c>
      <c r="H728" s="67" t="str">
        <f t="shared" si="33"/>
        <v>Dec</v>
      </c>
      <c r="I728" s="9">
        <f t="shared" ca="1" si="34"/>
        <v>11</v>
      </c>
      <c r="J728" s="8" t="s">
        <v>4</v>
      </c>
      <c r="K728" s="7">
        <v>81340</v>
      </c>
      <c r="L728" s="6">
        <v>2</v>
      </c>
      <c r="M728" s="31">
        <f t="shared" si="35"/>
        <v>81340</v>
      </c>
      <c r="N728" s="65"/>
      <c r="O728" s="14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x14ac:dyDescent="0.25">
      <c r="A729" s="1" t="s">
        <v>38</v>
      </c>
      <c r="B729" s="12" t="s">
        <v>2</v>
      </c>
      <c r="C729" s="1" t="s">
        <v>37</v>
      </c>
      <c r="D729" s="11">
        <v>840313216</v>
      </c>
      <c r="E729" s="11">
        <v>9198449868</v>
      </c>
      <c r="F729" s="1" t="s">
        <v>5</v>
      </c>
      <c r="G729" s="4">
        <f>38523+(364+182)</f>
        <v>39069</v>
      </c>
      <c r="H729" s="67" t="str">
        <f t="shared" si="33"/>
        <v>Dec</v>
      </c>
      <c r="I729" s="9">
        <f t="shared" ca="1" si="34"/>
        <v>9</v>
      </c>
      <c r="J729" s="8" t="s">
        <v>19</v>
      </c>
      <c r="K729" s="7">
        <v>37670</v>
      </c>
      <c r="L729" s="6">
        <v>3</v>
      </c>
      <c r="M729" s="31">
        <f t="shared" si="35"/>
        <v>37670</v>
      </c>
      <c r="N729" s="65"/>
      <c r="O729" s="14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x14ac:dyDescent="0.25">
      <c r="A730" s="1" t="s">
        <v>36</v>
      </c>
      <c r="B730" s="12" t="s">
        <v>13</v>
      </c>
      <c r="C730" s="1" t="s">
        <v>24</v>
      </c>
      <c r="D730" s="11">
        <v>534034571</v>
      </c>
      <c r="E730" s="11">
        <v>2526169135</v>
      </c>
      <c r="F730" s="1" t="s">
        <v>15</v>
      </c>
      <c r="G730" s="4">
        <f>38871+(364+182)</f>
        <v>39417</v>
      </c>
      <c r="H730" s="67" t="str">
        <f t="shared" si="33"/>
        <v>Dec</v>
      </c>
      <c r="I730" s="9">
        <f t="shared" ca="1" si="34"/>
        <v>8</v>
      </c>
      <c r="J730" s="8" t="s">
        <v>19</v>
      </c>
      <c r="K730" s="7">
        <v>46095</v>
      </c>
      <c r="L730" s="6">
        <v>3</v>
      </c>
      <c r="M730" s="31">
        <f t="shared" si="35"/>
        <v>46095</v>
      </c>
      <c r="N730" s="65"/>
      <c r="O730" s="14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x14ac:dyDescent="0.25">
      <c r="A731" s="1" t="s">
        <v>35</v>
      </c>
      <c r="B731" s="12" t="s">
        <v>10</v>
      </c>
      <c r="C731" s="1" t="s">
        <v>6</v>
      </c>
      <c r="D731" s="11">
        <v>230192897</v>
      </c>
      <c r="E731" s="11">
        <v>2525261239</v>
      </c>
      <c r="F731" s="1" t="s">
        <v>5</v>
      </c>
      <c r="G731" s="4">
        <f>38895+(364+182)</f>
        <v>39441</v>
      </c>
      <c r="H731" s="67" t="str">
        <f t="shared" si="33"/>
        <v>Dec</v>
      </c>
      <c r="I731" s="9">
        <f t="shared" ca="1" si="34"/>
        <v>8</v>
      </c>
      <c r="J731" s="8" t="s">
        <v>34</v>
      </c>
      <c r="K731" s="7">
        <v>68860</v>
      </c>
      <c r="L731" s="6">
        <v>2</v>
      </c>
      <c r="M731" s="31">
        <f t="shared" si="35"/>
        <v>68860</v>
      </c>
      <c r="N731" s="65"/>
      <c r="O731" s="14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x14ac:dyDescent="0.25">
      <c r="A732" s="1" t="s">
        <v>33</v>
      </c>
      <c r="B732" s="12" t="s">
        <v>13</v>
      </c>
      <c r="C732" s="1" t="s">
        <v>22</v>
      </c>
      <c r="D732" s="11">
        <v>592519945</v>
      </c>
      <c r="E732" s="11">
        <v>9195990200</v>
      </c>
      <c r="F732" s="1" t="s">
        <v>5</v>
      </c>
      <c r="G732" s="4">
        <f>38900+(364+182)</f>
        <v>39446</v>
      </c>
      <c r="H732" s="67" t="str">
        <f t="shared" si="33"/>
        <v>Dec</v>
      </c>
      <c r="I732" s="9">
        <f t="shared" ca="1" si="34"/>
        <v>8</v>
      </c>
      <c r="J732" s="8" t="s">
        <v>32</v>
      </c>
      <c r="K732" s="7">
        <v>44650</v>
      </c>
      <c r="L732" s="6">
        <v>1</v>
      </c>
      <c r="M732" s="31">
        <f t="shared" si="35"/>
        <v>44650</v>
      </c>
      <c r="N732" s="65"/>
      <c r="O732" s="14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x14ac:dyDescent="0.25">
      <c r="A733" s="14" t="s">
        <v>31</v>
      </c>
      <c r="B733" s="12" t="s">
        <v>2</v>
      </c>
      <c r="C733" s="14" t="s">
        <v>30</v>
      </c>
      <c r="D733" s="15">
        <v>991656720</v>
      </c>
      <c r="E733" s="15">
        <v>2528138394</v>
      </c>
      <c r="F733" s="14" t="s">
        <v>5</v>
      </c>
      <c r="G733" s="10">
        <f>38901+(364+182)</f>
        <v>39447</v>
      </c>
      <c r="H733" s="67" t="str">
        <f t="shared" si="33"/>
        <v>Dec</v>
      </c>
      <c r="I733" s="9">
        <f t="shared" ca="1" si="34"/>
        <v>8</v>
      </c>
      <c r="J733" s="8" t="s">
        <v>19</v>
      </c>
      <c r="K733" s="7">
        <v>72830</v>
      </c>
      <c r="L733" s="6">
        <v>2</v>
      </c>
      <c r="M733" s="31">
        <f t="shared" si="35"/>
        <v>72830</v>
      </c>
      <c r="N733" s="65"/>
      <c r="O733" s="68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x14ac:dyDescent="0.25">
      <c r="A734" s="1" t="s">
        <v>29</v>
      </c>
      <c r="B734" s="12" t="s">
        <v>10</v>
      </c>
      <c r="C734" s="1" t="s">
        <v>28</v>
      </c>
      <c r="D734" s="11">
        <v>291803431</v>
      </c>
      <c r="E734" s="11">
        <v>2525866679</v>
      </c>
      <c r="F734" s="1" t="s">
        <v>12</v>
      </c>
      <c r="G734" s="4">
        <f>39237+(364+182)</f>
        <v>39783</v>
      </c>
      <c r="H734" s="67" t="str">
        <f t="shared" si="33"/>
        <v>Dec</v>
      </c>
      <c r="I734" s="9">
        <f t="shared" ca="1" si="34"/>
        <v>7</v>
      </c>
      <c r="J734" s="8"/>
      <c r="K734" s="7">
        <v>54000</v>
      </c>
      <c r="L734" s="6">
        <v>3</v>
      </c>
      <c r="M734" s="31">
        <f t="shared" si="35"/>
        <v>54000</v>
      </c>
      <c r="N734" s="65"/>
      <c r="O734" s="14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x14ac:dyDescent="0.25">
      <c r="A735" s="1" t="s">
        <v>27</v>
      </c>
      <c r="B735" s="12" t="s">
        <v>2</v>
      </c>
      <c r="C735" s="1" t="s">
        <v>26</v>
      </c>
      <c r="D735" s="11">
        <v>600458368</v>
      </c>
      <c r="E735" s="11">
        <v>9197280453</v>
      </c>
      <c r="F735" s="1" t="s">
        <v>15</v>
      </c>
      <c r="G735" s="4">
        <f>39256+(364+182)</f>
        <v>39802</v>
      </c>
      <c r="H735" s="67" t="str">
        <f t="shared" si="33"/>
        <v>Dec</v>
      </c>
      <c r="I735" s="9">
        <f t="shared" ca="1" si="34"/>
        <v>7</v>
      </c>
      <c r="J735" s="8" t="s">
        <v>8</v>
      </c>
      <c r="K735" s="7">
        <v>22535</v>
      </c>
      <c r="L735" s="6">
        <v>3</v>
      </c>
      <c r="M735" s="31">
        <f t="shared" si="35"/>
        <v>22535</v>
      </c>
      <c r="N735" s="65"/>
      <c r="O735" s="14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x14ac:dyDescent="0.25">
      <c r="A736" s="1" t="s">
        <v>25</v>
      </c>
      <c r="B736" s="12" t="s">
        <v>17</v>
      </c>
      <c r="C736" s="1" t="s">
        <v>24</v>
      </c>
      <c r="D736" s="11">
        <v>601942708</v>
      </c>
      <c r="E736" s="11">
        <v>9198085402</v>
      </c>
      <c r="F736" s="1" t="s">
        <v>15</v>
      </c>
      <c r="G736" s="4">
        <f>39606+(364+182)</f>
        <v>40152</v>
      </c>
      <c r="H736" s="67" t="str">
        <f t="shared" si="33"/>
        <v>Dec</v>
      </c>
      <c r="I736" s="9">
        <f t="shared" ca="1" si="34"/>
        <v>6</v>
      </c>
      <c r="J736" s="8" t="s">
        <v>4</v>
      </c>
      <c r="K736" s="7">
        <v>28680</v>
      </c>
      <c r="L736" s="6">
        <v>1</v>
      </c>
      <c r="M736" s="31">
        <f t="shared" si="35"/>
        <v>28680</v>
      </c>
      <c r="N736" s="65"/>
      <c r="O736" s="14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x14ac:dyDescent="0.25">
      <c r="A737" s="1" t="s">
        <v>835</v>
      </c>
      <c r="B737" s="12" t="s">
        <v>17</v>
      </c>
      <c r="C737" s="1" t="s">
        <v>22</v>
      </c>
      <c r="D737" s="11">
        <v>924942231</v>
      </c>
      <c r="E737" s="11">
        <v>9193279828</v>
      </c>
      <c r="F737" s="1" t="s">
        <v>15</v>
      </c>
      <c r="G737" s="4">
        <f>39620+(364+182)</f>
        <v>40166</v>
      </c>
      <c r="H737" s="67" t="str">
        <f t="shared" si="33"/>
        <v>Dec</v>
      </c>
      <c r="I737" s="9">
        <f t="shared" ca="1" si="34"/>
        <v>6</v>
      </c>
      <c r="J737" s="8" t="s">
        <v>8</v>
      </c>
      <c r="K737" s="7">
        <v>25245</v>
      </c>
      <c r="L737" s="6">
        <v>5</v>
      </c>
      <c r="M737" s="31">
        <f t="shared" si="35"/>
        <v>25245</v>
      </c>
      <c r="N737" s="65"/>
      <c r="O737" s="14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x14ac:dyDescent="0.25">
      <c r="A738" s="1" t="s">
        <v>21</v>
      </c>
      <c r="B738" s="12" t="s">
        <v>2</v>
      </c>
      <c r="C738" s="1" t="s">
        <v>20</v>
      </c>
      <c r="D738" s="11">
        <v>425634540</v>
      </c>
      <c r="E738" s="11">
        <v>9196969994</v>
      </c>
      <c r="F738" s="1" t="s">
        <v>5</v>
      </c>
      <c r="G738" s="4">
        <f>39629+(364+182)</f>
        <v>40175</v>
      </c>
      <c r="H738" s="67" t="str">
        <f t="shared" si="33"/>
        <v>Dec</v>
      </c>
      <c r="I738" s="9">
        <f t="shared" ca="1" si="34"/>
        <v>6</v>
      </c>
      <c r="J738" s="8" t="s">
        <v>19</v>
      </c>
      <c r="K738" s="7">
        <v>34690</v>
      </c>
      <c r="L738" s="6">
        <v>2</v>
      </c>
      <c r="M738" s="31">
        <f t="shared" si="35"/>
        <v>34690</v>
      </c>
      <c r="N738" s="65"/>
      <c r="O738" s="14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x14ac:dyDescent="0.25">
      <c r="A739" s="1" t="s">
        <v>18</v>
      </c>
      <c r="B739" s="12" t="s">
        <v>17</v>
      </c>
      <c r="C739" s="1" t="s">
        <v>16</v>
      </c>
      <c r="D739" s="11">
        <v>324622113</v>
      </c>
      <c r="E739" s="11">
        <v>9198824849</v>
      </c>
      <c r="F739" s="1" t="s">
        <v>15</v>
      </c>
      <c r="G739" s="13">
        <f>39970+(364+182)</f>
        <v>40516</v>
      </c>
      <c r="H739" s="67" t="str">
        <f t="shared" si="33"/>
        <v>Dec</v>
      </c>
      <c r="I739" s="9">
        <f t="shared" ca="1" si="34"/>
        <v>5</v>
      </c>
      <c r="J739" s="8" t="s">
        <v>4</v>
      </c>
      <c r="K739" s="7">
        <v>28625</v>
      </c>
      <c r="L739" s="6">
        <v>1</v>
      </c>
      <c r="M739" s="31">
        <f t="shared" si="35"/>
        <v>28625</v>
      </c>
      <c r="N739" s="65"/>
      <c r="O739" s="6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x14ac:dyDescent="0.25">
      <c r="A740" s="1" t="s">
        <v>14</v>
      </c>
      <c r="B740" s="12" t="s">
        <v>13</v>
      </c>
      <c r="C740" s="1" t="s">
        <v>6</v>
      </c>
      <c r="D740" s="11">
        <v>717503282</v>
      </c>
      <c r="E740" s="11">
        <v>2522400087</v>
      </c>
      <c r="F740" s="1" t="s">
        <v>12</v>
      </c>
      <c r="G740" s="4">
        <f>39977+(364+182)</f>
        <v>40523</v>
      </c>
      <c r="H740" s="67" t="str">
        <f t="shared" si="33"/>
        <v>Dec</v>
      </c>
      <c r="I740" s="9">
        <f t="shared" ca="1" si="34"/>
        <v>5</v>
      </c>
      <c r="J740" s="8"/>
      <c r="K740" s="7">
        <v>46570</v>
      </c>
      <c r="L740" s="6">
        <v>4</v>
      </c>
      <c r="M740" s="31">
        <f t="shared" si="35"/>
        <v>46570</v>
      </c>
      <c r="N740" s="65"/>
      <c r="O740" s="14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x14ac:dyDescent="0.25">
      <c r="A741" s="1" t="s">
        <v>11</v>
      </c>
      <c r="B741" s="12" t="s">
        <v>10</v>
      </c>
      <c r="C741" s="1" t="s">
        <v>9</v>
      </c>
      <c r="D741" s="11">
        <v>478004556</v>
      </c>
      <c r="E741" s="11">
        <v>9193891189</v>
      </c>
      <c r="F741" s="1" t="s">
        <v>5</v>
      </c>
      <c r="G741" s="4">
        <f>39987+(364+182)</f>
        <v>40533</v>
      </c>
      <c r="H741" s="67" t="str">
        <f t="shared" si="33"/>
        <v>Dec</v>
      </c>
      <c r="I741" s="9">
        <f t="shared" ca="1" si="34"/>
        <v>5</v>
      </c>
      <c r="J741" s="8" t="s">
        <v>8</v>
      </c>
      <c r="K741" s="7">
        <v>62180</v>
      </c>
      <c r="L741" s="6">
        <v>2</v>
      </c>
      <c r="M741" s="31">
        <f t="shared" si="35"/>
        <v>62180</v>
      </c>
      <c r="N741" s="65"/>
      <c r="O741" s="14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x14ac:dyDescent="0.25">
      <c r="A742" s="1" t="s">
        <v>7</v>
      </c>
      <c r="B742" s="12" t="s">
        <v>2</v>
      </c>
      <c r="C742" s="1" t="s">
        <v>6</v>
      </c>
      <c r="D742" s="11">
        <v>929694686</v>
      </c>
      <c r="E742" s="11">
        <v>9194483888</v>
      </c>
      <c r="F742" s="1" t="s">
        <v>5</v>
      </c>
      <c r="G742" s="13">
        <f>39990+(364+182)</f>
        <v>40536</v>
      </c>
      <c r="H742" s="67" t="str">
        <f t="shared" si="33"/>
        <v>Dec</v>
      </c>
      <c r="I742" s="9">
        <f t="shared" ca="1" si="34"/>
        <v>5</v>
      </c>
      <c r="J742" s="8" t="s">
        <v>4</v>
      </c>
      <c r="K742" s="7">
        <v>70730</v>
      </c>
      <c r="L742" s="6">
        <v>1</v>
      </c>
      <c r="M742" s="31">
        <f t="shared" si="35"/>
        <v>70730</v>
      </c>
      <c r="N742" s="65"/>
      <c r="O742" s="14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x14ac:dyDescent="0.25">
      <c r="A743" s="1" t="s">
        <v>3</v>
      </c>
      <c r="B743" s="12" t="s">
        <v>2</v>
      </c>
      <c r="C743" s="1" t="s">
        <v>1</v>
      </c>
      <c r="D743" s="11">
        <v>827277063</v>
      </c>
      <c r="E743" s="11">
        <v>2528873234</v>
      </c>
      <c r="F743" s="1" t="s">
        <v>0</v>
      </c>
      <c r="G743" s="4">
        <f>39997+(364+182)</f>
        <v>40543</v>
      </c>
      <c r="H743" s="67" t="str">
        <f t="shared" si="33"/>
        <v>Dec</v>
      </c>
      <c r="I743" s="9">
        <f t="shared" ca="1" si="34"/>
        <v>5</v>
      </c>
      <c r="J743" s="8"/>
      <c r="K743" s="7">
        <v>19044</v>
      </c>
      <c r="L743" s="6">
        <v>1</v>
      </c>
      <c r="M743" s="31">
        <f t="shared" si="35"/>
        <v>19044</v>
      </c>
      <c r="N743" s="65"/>
      <c r="O743" s="6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99FF"/>
  </sheetPr>
  <dimension ref="A1:AM373"/>
  <sheetViews>
    <sheetView topLeftCell="A19" zoomScaleNormal="100" zoomScalePageLayoutView="80" workbookViewId="0">
      <selection activeCell="T44" sqref="T44"/>
    </sheetView>
  </sheetViews>
  <sheetFormatPr defaultColWidth="9.7109375" defaultRowHeight="15" customHeight="1" x14ac:dyDescent="0.25"/>
  <cols>
    <col min="1" max="1" width="39.7109375" bestFit="1" customWidth="1"/>
    <col min="2" max="2" width="5.85546875" bestFit="1" customWidth="1"/>
    <col min="3" max="11" width="9.42578125" bestFit="1" customWidth="1"/>
    <col min="12" max="12" width="12.28515625" bestFit="1" customWidth="1"/>
    <col min="13" max="14" width="9.42578125" bestFit="1" customWidth="1"/>
    <col min="15" max="16" width="12.28515625" bestFit="1" customWidth="1"/>
    <col min="17" max="17" width="11.7109375" bestFit="1" customWidth="1"/>
    <col min="18" max="24" width="11.7109375" customWidth="1"/>
    <col min="25" max="31" width="12.85546875" customWidth="1"/>
    <col min="32" max="33" width="5.28515625" bestFit="1" customWidth="1"/>
    <col min="34" max="34" width="12" bestFit="1" customWidth="1"/>
    <col min="35" max="35" width="10" bestFit="1" customWidth="1"/>
    <col min="36" max="37" width="12.28515625" bestFit="1" customWidth="1"/>
    <col min="38" max="38" width="32.85546875" bestFit="1" customWidth="1"/>
    <col min="39" max="39" width="39.7109375" bestFit="1" customWidth="1"/>
  </cols>
  <sheetData>
    <row r="1" spans="1:39" ht="15.75" x14ac:dyDescent="0.25">
      <c r="A1" s="98" t="s">
        <v>1099</v>
      </c>
      <c r="B1" s="96" t="s">
        <v>1106</v>
      </c>
      <c r="C1" s="96" t="s">
        <v>790</v>
      </c>
      <c r="D1" s="96" t="s">
        <v>787</v>
      </c>
      <c r="E1" s="96" t="s">
        <v>784</v>
      </c>
      <c r="F1" s="96" t="s">
        <v>781</v>
      </c>
      <c r="G1" s="96" t="s">
        <v>778</v>
      </c>
      <c r="H1" s="96" t="s">
        <v>775</v>
      </c>
      <c r="I1" s="96" t="s">
        <v>789</v>
      </c>
      <c r="J1" s="96" t="s">
        <v>786</v>
      </c>
      <c r="K1" s="96" t="s">
        <v>783</v>
      </c>
      <c r="L1" s="96" t="s">
        <v>780</v>
      </c>
      <c r="M1" s="96" t="s">
        <v>777</v>
      </c>
      <c r="N1" s="96" t="s">
        <v>774</v>
      </c>
      <c r="O1" s="96" t="s">
        <v>1105</v>
      </c>
      <c r="P1" s="96" t="s">
        <v>1104</v>
      </c>
      <c r="Q1" s="96" t="s">
        <v>1103</v>
      </c>
      <c r="R1" s="109"/>
      <c r="S1" s="109"/>
      <c r="T1" s="109"/>
      <c r="U1" s="109"/>
      <c r="V1" s="109"/>
      <c r="W1" s="109"/>
      <c r="X1" s="109"/>
      <c r="Y1" s="90"/>
      <c r="Z1" s="90"/>
      <c r="AA1" s="90"/>
      <c r="AB1" s="90"/>
      <c r="AC1" s="90"/>
      <c r="AD1" s="90"/>
      <c r="AE1" s="90"/>
      <c r="AF1" s="90">
        <f>22*12</f>
        <v>264</v>
      </c>
      <c r="AG1" s="90" t="s">
        <v>1126</v>
      </c>
      <c r="AH1" s="90" t="s">
        <v>1125</v>
      </c>
      <c r="AI1" s="90" t="s">
        <v>839</v>
      </c>
      <c r="AJ1" s="90" t="s">
        <v>1124</v>
      </c>
      <c r="AK1" s="90" t="s">
        <v>1104</v>
      </c>
      <c r="AL1" s="90" t="s">
        <v>1123</v>
      </c>
      <c r="AM1" s="90" t="s">
        <v>1122</v>
      </c>
    </row>
    <row r="2" spans="1:39" ht="15.75" x14ac:dyDescent="0.25">
      <c r="A2" s="97"/>
      <c r="B2" s="96" t="s">
        <v>1106</v>
      </c>
      <c r="C2" s="96" t="s">
        <v>790</v>
      </c>
      <c r="D2" s="96" t="s">
        <v>787</v>
      </c>
      <c r="E2" s="96" t="s">
        <v>784</v>
      </c>
      <c r="F2" s="96" t="s">
        <v>781</v>
      </c>
      <c r="G2" s="96" t="s">
        <v>778</v>
      </c>
      <c r="H2" s="96" t="s">
        <v>775</v>
      </c>
      <c r="I2" s="96" t="s">
        <v>789</v>
      </c>
      <c r="J2" s="96" t="s">
        <v>786</v>
      </c>
      <c r="K2" s="96" t="s">
        <v>783</v>
      </c>
      <c r="L2" s="96" t="s">
        <v>780</v>
      </c>
      <c r="M2" s="96" t="s">
        <v>777</v>
      </c>
      <c r="N2" s="96" t="s">
        <v>774</v>
      </c>
      <c r="O2" s="96" t="s">
        <v>1105</v>
      </c>
      <c r="P2" s="96" t="s">
        <v>1104</v>
      </c>
      <c r="Q2" s="96" t="s">
        <v>1103</v>
      </c>
      <c r="R2" s="109"/>
      <c r="S2" s="109"/>
      <c r="T2" s="109"/>
      <c r="U2" s="109"/>
      <c r="V2" s="109"/>
      <c r="W2" s="109"/>
      <c r="X2" s="109"/>
      <c r="Y2" s="90"/>
      <c r="Z2" s="90"/>
      <c r="AA2" s="90"/>
      <c r="AB2" s="90"/>
      <c r="AC2" s="90"/>
      <c r="AD2" s="90"/>
      <c r="AE2" s="90"/>
      <c r="AF2" s="90"/>
      <c r="AG2" s="90">
        <v>1</v>
      </c>
      <c r="AH2" s="90" t="s">
        <v>1097</v>
      </c>
      <c r="AI2" s="91">
        <f t="shared" ref="AI2:AI65" si="0">DATE(YEAR(INDEX($B$2:$N$24,INT((AG2+11)/12)+1,1)),IF(MOD(AG2,12)&lt;&gt;0,MOD(AG2,12),12),1)</f>
        <v>40909</v>
      </c>
      <c r="AJ2" s="90">
        <f t="shared" ref="AJ2:AJ65" si="1">INDEX($C$3:$N$24,INT((AG2+11)/12),AG2-(12*(INT((AG2+11)/12)-1)))</f>
        <v>254444.04</v>
      </c>
      <c r="AK2" s="90">
        <f t="array" ref="AK2">INDEX($P$3:$P$24,MATCH(AM2&amp;YEAR(AI2),$A$3:$A$24&amp;YEAR($B$3:$B$24),0))</f>
        <v>2269948</v>
      </c>
      <c r="AL2" s="90" t="s">
        <v>1099</v>
      </c>
      <c r="AM2" s="90" t="str">
        <f t="shared" ref="AM2:AM65" si="2">INDEX($A$3:$A$24,INT((AG2+11)/12))</f>
        <v>Sales Tax (313-10)</v>
      </c>
    </row>
    <row r="3" spans="1:39" ht="15.75" x14ac:dyDescent="0.25">
      <c r="A3" s="100" t="s">
        <v>1121</v>
      </c>
      <c r="B3" s="93">
        <v>40909</v>
      </c>
      <c r="C3" s="90">
        <v>254444.04</v>
      </c>
      <c r="D3" s="90">
        <v>172370.77</v>
      </c>
      <c r="E3" s="90">
        <v>166338.4</v>
      </c>
      <c r="F3" s="90">
        <v>198050.11</v>
      </c>
      <c r="G3" s="90">
        <v>175396.57</v>
      </c>
      <c r="H3" s="90">
        <v>192730.7</v>
      </c>
      <c r="I3" s="90">
        <v>210542.91</v>
      </c>
      <c r="J3" s="90">
        <v>186995.25</v>
      </c>
      <c r="K3" s="90">
        <v>193126.16</v>
      </c>
      <c r="L3" s="90">
        <v>201075.42</v>
      </c>
      <c r="M3" s="90">
        <v>183900.06</v>
      </c>
      <c r="N3" s="90">
        <v>193134.43</v>
      </c>
      <c r="O3" s="92">
        <f t="shared" ref="O3:O26" si="3">SUM(C3:N3)</f>
        <v>2328104.8199999998</v>
      </c>
      <c r="P3" s="103">
        <v>2269948</v>
      </c>
      <c r="Q3" s="92">
        <f t="shared" ref="Q3:Q26" si="4">O3-P3</f>
        <v>58156.819999999832</v>
      </c>
      <c r="R3" s="95"/>
      <c r="S3" s="95"/>
      <c r="T3" s="95"/>
      <c r="U3" s="95"/>
      <c r="V3" s="95"/>
      <c r="W3" s="95"/>
      <c r="X3" s="95"/>
      <c r="Y3" s="90"/>
      <c r="Z3" s="90"/>
      <c r="AA3" s="90"/>
      <c r="AB3" s="90"/>
      <c r="AC3" s="90"/>
      <c r="AD3" s="90"/>
      <c r="AE3" s="90"/>
      <c r="AF3" s="90"/>
      <c r="AG3" s="90">
        <v>2</v>
      </c>
      <c r="AH3" s="90" t="s">
        <v>1097</v>
      </c>
      <c r="AI3" s="91">
        <f t="shared" si="0"/>
        <v>40940</v>
      </c>
      <c r="AJ3" s="90">
        <f t="shared" si="1"/>
        <v>172370.77</v>
      </c>
      <c r="AK3" s="90">
        <f t="array" ref="AK3">INDEX($P$3:$P$24,MATCH(AM3&amp;YEAR(AI3),$A$3:$A$24&amp;YEAR($B$3:$B$24),0))</f>
        <v>2269948</v>
      </c>
      <c r="AL3" s="90" t="s">
        <v>1099</v>
      </c>
      <c r="AM3" s="90" t="str">
        <f t="shared" si="2"/>
        <v>Sales Tax (313-10)</v>
      </c>
    </row>
    <row r="4" spans="1:39" ht="15.75" x14ac:dyDescent="0.25">
      <c r="A4" s="100" t="s">
        <v>1121</v>
      </c>
      <c r="B4" s="93">
        <v>41275</v>
      </c>
      <c r="C4" s="90">
        <v>266761.83</v>
      </c>
      <c r="D4" s="90">
        <v>171290.7</v>
      </c>
      <c r="E4" s="90">
        <v>174095.89</v>
      </c>
      <c r="F4" s="90">
        <v>219527.08</v>
      </c>
      <c r="G4" s="90">
        <v>192993.08</v>
      </c>
      <c r="H4" s="103"/>
      <c r="I4" s="103"/>
      <c r="J4" s="103"/>
      <c r="K4" s="103"/>
      <c r="L4" s="103"/>
      <c r="M4" s="103"/>
      <c r="N4" s="103"/>
      <c r="O4" s="92">
        <f t="shared" si="3"/>
        <v>1024668.58</v>
      </c>
      <c r="P4" s="103">
        <v>2386855</v>
      </c>
      <c r="Q4" s="92">
        <f t="shared" si="4"/>
        <v>-1362186.42</v>
      </c>
      <c r="R4" s="95"/>
      <c r="S4" s="95"/>
      <c r="T4" s="95"/>
      <c r="U4" s="95"/>
      <c r="V4" s="95"/>
      <c r="W4" s="95"/>
      <c r="X4" s="95"/>
      <c r="Y4" s="90"/>
      <c r="Z4" s="90"/>
      <c r="AA4" s="90"/>
      <c r="AB4" s="90"/>
      <c r="AC4" s="90"/>
      <c r="AD4" s="90"/>
      <c r="AE4" s="90"/>
      <c r="AF4" s="90"/>
      <c r="AG4" s="90">
        <v>3</v>
      </c>
      <c r="AH4" s="90" t="s">
        <v>1097</v>
      </c>
      <c r="AI4" s="91">
        <f t="shared" si="0"/>
        <v>40969</v>
      </c>
      <c r="AJ4" s="90">
        <f t="shared" si="1"/>
        <v>166338.4</v>
      </c>
      <c r="AK4" s="90">
        <f t="array" ref="AK4">INDEX($P$3:$P$24,MATCH(AM4&amp;YEAR(AI4),$A$3:$A$24&amp;YEAR($B$3:$B$24),0))</f>
        <v>2269948</v>
      </c>
      <c r="AL4" s="90" t="s">
        <v>1099</v>
      </c>
      <c r="AM4" s="90" t="str">
        <f t="shared" si="2"/>
        <v>Sales Tax (313-10)</v>
      </c>
    </row>
    <row r="5" spans="1:39" ht="15.75" x14ac:dyDescent="0.25">
      <c r="A5" s="100" t="s">
        <v>1120</v>
      </c>
      <c r="B5" s="93">
        <v>40909</v>
      </c>
      <c r="C5" s="90">
        <v>33891.089999999997</v>
      </c>
      <c r="D5" s="90">
        <v>21130.39</v>
      </c>
      <c r="E5" s="90">
        <v>27015.23</v>
      </c>
      <c r="F5" s="90">
        <v>29858.67</v>
      </c>
      <c r="G5" s="90">
        <v>29429.32</v>
      </c>
      <c r="H5" s="90">
        <v>55879.22</v>
      </c>
      <c r="I5" s="90">
        <v>29662.74</v>
      </c>
      <c r="J5" s="90">
        <v>25699.18</v>
      </c>
      <c r="K5" s="90">
        <v>31261.79</v>
      </c>
      <c r="L5" s="90">
        <v>37199.75</v>
      </c>
      <c r="M5" s="90">
        <v>28862.53</v>
      </c>
      <c r="N5" s="90">
        <v>30683.279999999999</v>
      </c>
      <c r="O5" s="92">
        <f t="shared" si="3"/>
        <v>380573.18999999994</v>
      </c>
      <c r="P5" s="103">
        <v>326868</v>
      </c>
      <c r="Q5" s="92">
        <f t="shared" si="4"/>
        <v>53705.189999999944</v>
      </c>
      <c r="R5" s="95"/>
      <c r="S5" s="95"/>
      <c r="T5" s="95"/>
      <c r="U5" s="95"/>
      <c r="V5" s="95"/>
      <c r="W5" s="95"/>
      <c r="X5" s="95"/>
      <c r="Y5" s="90"/>
      <c r="Z5" s="90"/>
      <c r="AA5" s="90"/>
      <c r="AB5" s="90"/>
      <c r="AC5" s="90"/>
      <c r="AD5" s="90"/>
      <c r="AE5" s="90"/>
      <c r="AF5" s="90"/>
      <c r="AG5" s="90">
        <v>4</v>
      </c>
      <c r="AH5" s="90" t="s">
        <v>1097</v>
      </c>
      <c r="AI5" s="91">
        <f t="shared" si="0"/>
        <v>41000</v>
      </c>
      <c r="AJ5" s="90">
        <f t="shared" si="1"/>
        <v>198050.11</v>
      </c>
      <c r="AK5" s="90">
        <f t="array" ref="AK5">INDEX($P$3:$P$24,MATCH(AM5&amp;YEAR(AI5),$A$3:$A$24&amp;YEAR($B$3:$B$24),0))</f>
        <v>2269948</v>
      </c>
      <c r="AL5" s="90" t="s">
        <v>1099</v>
      </c>
      <c r="AM5" s="90" t="str">
        <f t="shared" si="2"/>
        <v>Sales Tax (313-10)</v>
      </c>
    </row>
    <row r="6" spans="1:39" ht="15.75" x14ac:dyDescent="0.25">
      <c r="A6" s="100" t="s">
        <v>1120</v>
      </c>
      <c r="B6" s="93">
        <v>41275</v>
      </c>
      <c r="C6" s="90">
        <v>42273.53</v>
      </c>
      <c r="D6" s="90">
        <v>31845.59</v>
      </c>
      <c r="E6" s="90">
        <v>26771.77</v>
      </c>
      <c r="F6" s="90">
        <v>52875.7</v>
      </c>
      <c r="G6" s="90">
        <v>34177.94</v>
      </c>
      <c r="H6" s="103"/>
      <c r="I6" s="103"/>
      <c r="J6" s="103"/>
      <c r="K6" s="103"/>
      <c r="L6" s="103"/>
      <c r="M6" s="103"/>
      <c r="N6" s="103"/>
      <c r="O6" s="92">
        <f t="shared" si="3"/>
        <v>187944.53</v>
      </c>
      <c r="P6" s="103">
        <v>322023</v>
      </c>
      <c r="Q6" s="92">
        <f t="shared" si="4"/>
        <v>-134078.47</v>
      </c>
      <c r="R6" s="95"/>
      <c r="S6" s="95"/>
      <c r="T6" s="95"/>
      <c r="U6" s="95"/>
      <c r="V6" s="95"/>
      <c r="W6" s="95"/>
      <c r="X6" s="95"/>
      <c r="Y6" s="90"/>
      <c r="Z6" s="90"/>
      <c r="AA6" s="90"/>
      <c r="AB6" s="90"/>
      <c r="AC6" s="90"/>
      <c r="AD6" s="90"/>
      <c r="AE6" s="90"/>
      <c r="AF6" s="90"/>
      <c r="AG6" s="90">
        <v>5</v>
      </c>
      <c r="AH6" s="90" t="s">
        <v>1097</v>
      </c>
      <c r="AI6" s="91">
        <f t="shared" si="0"/>
        <v>41030</v>
      </c>
      <c r="AJ6" s="90">
        <f t="shared" si="1"/>
        <v>175396.57</v>
      </c>
      <c r="AK6" s="90">
        <f t="array" ref="AK6">INDEX($P$3:$P$24,MATCH(AM6&amp;YEAR(AI6),$A$3:$A$24&amp;YEAR($B$3:$B$24),0))</f>
        <v>2269948</v>
      </c>
      <c r="AL6" s="90" t="s">
        <v>1099</v>
      </c>
      <c r="AM6" s="90" t="str">
        <f t="shared" si="2"/>
        <v>Sales Tax (313-10)</v>
      </c>
    </row>
    <row r="7" spans="1:39" ht="15.75" x14ac:dyDescent="0.25">
      <c r="A7" s="100" t="s">
        <v>1119</v>
      </c>
      <c r="B7" s="93">
        <v>40909</v>
      </c>
      <c r="C7" s="103">
        <v>0</v>
      </c>
      <c r="D7" s="103">
        <v>0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>
        <v>0</v>
      </c>
      <c r="K7" s="103">
        <v>0</v>
      </c>
      <c r="L7" s="103">
        <v>0</v>
      </c>
      <c r="M7" s="103">
        <v>0</v>
      </c>
      <c r="N7" s="90">
        <v>8682.44</v>
      </c>
      <c r="O7" s="92">
        <f t="shared" si="3"/>
        <v>8682.44</v>
      </c>
      <c r="P7" s="103">
        <v>0</v>
      </c>
      <c r="Q7" s="92">
        <f t="shared" si="4"/>
        <v>8682.44</v>
      </c>
      <c r="R7" s="95"/>
      <c r="S7" s="95"/>
      <c r="T7" s="95"/>
      <c r="U7" s="95"/>
      <c r="V7" s="95"/>
      <c r="W7" s="95"/>
      <c r="X7" s="95"/>
      <c r="Y7" s="90"/>
      <c r="Z7" s="90"/>
      <c r="AA7" s="90"/>
      <c r="AB7" s="90"/>
      <c r="AC7" s="90"/>
      <c r="AD7" s="90"/>
      <c r="AE7" s="90"/>
      <c r="AF7" s="90"/>
      <c r="AG7" s="90">
        <v>6</v>
      </c>
      <c r="AH7" s="90" t="s">
        <v>1097</v>
      </c>
      <c r="AI7" s="91">
        <f t="shared" si="0"/>
        <v>41061</v>
      </c>
      <c r="AJ7" s="90">
        <f t="shared" si="1"/>
        <v>192730.7</v>
      </c>
      <c r="AK7" s="90">
        <f t="array" ref="AK7">INDEX($P$3:$P$24,MATCH(AM7&amp;YEAR(AI7),$A$3:$A$24&amp;YEAR($B$3:$B$24),0))</f>
        <v>2269948</v>
      </c>
      <c r="AL7" s="90" t="s">
        <v>1099</v>
      </c>
      <c r="AM7" s="90" t="str">
        <f t="shared" si="2"/>
        <v>Sales Tax (313-10)</v>
      </c>
    </row>
    <row r="8" spans="1:39" ht="15.75" x14ac:dyDescent="0.25">
      <c r="A8" s="100" t="s">
        <v>1119</v>
      </c>
      <c r="B8" s="93">
        <v>41275</v>
      </c>
      <c r="C8" s="103"/>
      <c r="D8" s="103"/>
      <c r="E8" s="103">
        <v>0</v>
      </c>
      <c r="F8" s="103">
        <v>0</v>
      </c>
      <c r="G8" s="103">
        <v>0</v>
      </c>
      <c r="H8" s="103"/>
      <c r="I8" s="103"/>
      <c r="J8" s="103"/>
      <c r="K8" s="103"/>
      <c r="L8" s="103"/>
      <c r="M8" s="103"/>
      <c r="N8" s="103"/>
      <c r="O8" s="92">
        <f t="shared" si="3"/>
        <v>0</v>
      </c>
      <c r="P8" s="103"/>
      <c r="Q8" s="92">
        <f t="shared" si="4"/>
        <v>0</v>
      </c>
      <c r="R8" s="95"/>
      <c r="S8" s="95"/>
      <c r="T8" s="95"/>
      <c r="U8" s="95"/>
      <c r="V8" s="95"/>
      <c r="W8" s="95"/>
      <c r="X8" s="95"/>
      <c r="Y8" s="90"/>
      <c r="Z8" s="90"/>
      <c r="AA8" s="90"/>
      <c r="AB8" s="90"/>
      <c r="AC8" s="90"/>
      <c r="AD8" s="90"/>
      <c r="AE8" s="90"/>
      <c r="AF8" s="90"/>
      <c r="AG8" s="90">
        <v>7</v>
      </c>
      <c r="AH8" s="90" t="s">
        <v>1097</v>
      </c>
      <c r="AI8" s="91">
        <f t="shared" si="0"/>
        <v>41091</v>
      </c>
      <c r="AJ8" s="90">
        <f t="shared" si="1"/>
        <v>210542.91</v>
      </c>
      <c r="AK8" s="90">
        <f t="array" ref="AK8">INDEX($P$3:$P$24,MATCH(AM8&amp;YEAR(AI8),$A$3:$A$24&amp;YEAR($B$3:$B$24),0))</f>
        <v>2269948</v>
      </c>
      <c r="AL8" s="90" t="s">
        <v>1099</v>
      </c>
      <c r="AM8" s="90" t="str">
        <f t="shared" si="2"/>
        <v>Sales Tax (313-10)</v>
      </c>
    </row>
    <row r="9" spans="1:39" ht="15.75" x14ac:dyDescent="0.25">
      <c r="A9" s="100" t="s">
        <v>1118</v>
      </c>
      <c r="B9" s="93">
        <v>40909</v>
      </c>
      <c r="C9" s="103">
        <v>0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103">
        <v>0</v>
      </c>
      <c r="L9" s="103">
        <v>0</v>
      </c>
      <c r="M9" s="103">
        <v>0</v>
      </c>
      <c r="N9" s="90">
        <v>12617.79</v>
      </c>
      <c r="O9" s="92">
        <f t="shared" si="3"/>
        <v>12617.79</v>
      </c>
      <c r="P9" s="103">
        <v>0</v>
      </c>
      <c r="Q9" s="92">
        <f t="shared" si="4"/>
        <v>12617.79</v>
      </c>
      <c r="R9" s="95"/>
      <c r="S9" s="95"/>
      <c r="T9" s="95"/>
      <c r="U9" s="95"/>
      <c r="V9" s="95"/>
      <c r="W9" s="95"/>
      <c r="X9" s="95"/>
      <c r="Y9" s="90"/>
      <c r="Z9" s="90"/>
      <c r="AA9" s="90"/>
      <c r="AB9" s="90"/>
      <c r="AC9" s="90"/>
      <c r="AD9" s="90"/>
      <c r="AE9" s="90"/>
      <c r="AF9" s="90"/>
      <c r="AG9" s="90">
        <v>8</v>
      </c>
      <c r="AH9" s="90" t="s">
        <v>1097</v>
      </c>
      <c r="AI9" s="91">
        <f t="shared" si="0"/>
        <v>41122</v>
      </c>
      <c r="AJ9" s="90">
        <f t="shared" si="1"/>
        <v>186995.25</v>
      </c>
      <c r="AK9" s="90">
        <f t="array" ref="AK9">INDEX($P$3:$P$24,MATCH(AM9&amp;YEAR(AI9),$A$3:$A$24&amp;YEAR($B$3:$B$24),0))</f>
        <v>2269948</v>
      </c>
      <c r="AL9" s="90" t="s">
        <v>1099</v>
      </c>
      <c r="AM9" s="90" t="str">
        <f t="shared" si="2"/>
        <v>Sales Tax (313-10)</v>
      </c>
    </row>
    <row r="10" spans="1:39" ht="15.75" x14ac:dyDescent="0.25">
      <c r="A10" s="100" t="s">
        <v>1118</v>
      </c>
      <c r="B10" s="93">
        <v>41275</v>
      </c>
      <c r="C10" s="103"/>
      <c r="D10" s="103"/>
      <c r="E10" s="103">
        <v>0</v>
      </c>
      <c r="F10" s="103">
        <v>0</v>
      </c>
      <c r="G10" s="103">
        <v>0</v>
      </c>
      <c r="H10" s="103"/>
      <c r="I10" s="103"/>
      <c r="J10" s="103"/>
      <c r="K10" s="103"/>
      <c r="L10" s="103"/>
      <c r="M10" s="103"/>
      <c r="N10" s="103"/>
      <c r="O10" s="92">
        <f t="shared" si="3"/>
        <v>0</v>
      </c>
      <c r="P10" s="103"/>
      <c r="Q10" s="92">
        <f t="shared" si="4"/>
        <v>0</v>
      </c>
      <c r="R10" s="95"/>
      <c r="S10" s="95"/>
      <c r="T10" s="95"/>
      <c r="U10" s="95"/>
      <c r="V10" s="95"/>
      <c r="W10" s="95"/>
      <c r="X10" s="95"/>
      <c r="Y10" s="90"/>
      <c r="Z10" s="90"/>
      <c r="AA10" s="90"/>
      <c r="AB10" s="90"/>
      <c r="AC10" s="90"/>
      <c r="AD10" s="90"/>
      <c r="AE10" s="90"/>
      <c r="AF10" s="90"/>
      <c r="AG10" s="90">
        <v>9</v>
      </c>
      <c r="AH10" s="90" t="s">
        <v>1097</v>
      </c>
      <c r="AI10" s="91">
        <f t="shared" si="0"/>
        <v>41153</v>
      </c>
      <c r="AJ10" s="90">
        <f t="shared" si="1"/>
        <v>193126.16</v>
      </c>
      <c r="AK10" s="90">
        <f t="array" ref="AK10">INDEX($P$3:$P$24,MATCH(AM10&amp;YEAR(AI10),$A$3:$A$24&amp;YEAR($B$3:$B$24),0))</f>
        <v>2269948</v>
      </c>
      <c r="AL10" s="90" t="s">
        <v>1099</v>
      </c>
      <c r="AM10" s="90" t="str">
        <f t="shared" si="2"/>
        <v>Sales Tax (313-10)</v>
      </c>
    </row>
    <row r="11" spans="1:39" ht="15.75" x14ac:dyDescent="0.25">
      <c r="A11" s="94" t="s">
        <v>1109</v>
      </c>
      <c r="B11" s="93">
        <v>40909</v>
      </c>
      <c r="C11" s="103">
        <v>0</v>
      </c>
      <c r="D11" s="103">
        <v>0</v>
      </c>
      <c r="E11" s="103">
        <v>0</v>
      </c>
      <c r="F11" s="103">
        <v>0</v>
      </c>
      <c r="G11" s="103">
        <v>0</v>
      </c>
      <c r="H11" s="103">
        <v>0</v>
      </c>
      <c r="I11" s="103">
        <v>0</v>
      </c>
      <c r="J11" s="103">
        <v>0</v>
      </c>
      <c r="K11" s="103">
        <v>0</v>
      </c>
      <c r="L11" s="103">
        <v>0</v>
      </c>
      <c r="M11" s="103">
        <v>0</v>
      </c>
      <c r="N11" s="103">
        <v>0</v>
      </c>
      <c r="O11" s="92">
        <f t="shared" si="3"/>
        <v>0</v>
      </c>
      <c r="P11" s="103">
        <v>0</v>
      </c>
      <c r="Q11" s="92">
        <f t="shared" si="4"/>
        <v>0</v>
      </c>
      <c r="R11" s="95"/>
      <c r="S11" s="95"/>
      <c r="T11" s="95"/>
      <c r="U11" s="95"/>
      <c r="V11" s="95"/>
      <c r="W11" s="95"/>
      <c r="X11" s="95"/>
      <c r="Y11" s="90"/>
      <c r="Z11" s="90"/>
      <c r="AA11" s="90"/>
      <c r="AB11" s="90"/>
      <c r="AC11" s="90"/>
      <c r="AD11" s="90"/>
      <c r="AE11" s="90"/>
      <c r="AF11" s="90"/>
      <c r="AG11" s="90">
        <v>10</v>
      </c>
      <c r="AH11" s="90" t="s">
        <v>1097</v>
      </c>
      <c r="AI11" s="91">
        <f t="shared" si="0"/>
        <v>41183</v>
      </c>
      <c r="AJ11" s="90">
        <f t="shared" si="1"/>
        <v>201075.42</v>
      </c>
      <c r="AK11" s="90">
        <f t="array" ref="AK11">INDEX($P$3:$P$24,MATCH(AM11&amp;YEAR(AI11),$A$3:$A$24&amp;YEAR($B$3:$B$24),0))</f>
        <v>2269948</v>
      </c>
      <c r="AL11" s="90" t="s">
        <v>1099</v>
      </c>
      <c r="AM11" s="90" t="str">
        <f t="shared" si="2"/>
        <v>Sales Tax (313-10)</v>
      </c>
    </row>
    <row r="12" spans="1:39" ht="15.75" x14ac:dyDescent="0.25">
      <c r="A12" s="94" t="s">
        <v>1109</v>
      </c>
      <c r="B12" s="93">
        <v>41275</v>
      </c>
      <c r="C12" s="103">
        <v>0</v>
      </c>
      <c r="D12" s="103">
        <v>0</v>
      </c>
      <c r="E12" s="103">
        <v>0</v>
      </c>
      <c r="F12" s="103">
        <v>0</v>
      </c>
      <c r="G12" s="103">
        <v>0</v>
      </c>
      <c r="H12" s="103"/>
      <c r="I12" s="103"/>
      <c r="J12" s="103"/>
      <c r="K12" s="103"/>
      <c r="L12" s="103"/>
      <c r="M12" s="103"/>
      <c r="N12" s="103"/>
      <c r="O12" s="92">
        <f t="shared" si="3"/>
        <v>0</v>
      </c>
      <c r="P12" s="103">
        <v>0</v>
      </c>
      <c r="Q12" s="92">
        <f t="shared" si="4"/>
        <v>0</v>
      </c>
      <c r="R12" s="95"/>
      <c r="S12" s="95"/>
      <c r="T12" s="95"/>
      <c r="U12" s="95"/>
      <c r="V12" s="95"/>
      <c r="W12" s="95"/>
      <c r="X12" s="95"/>
      <c r="Y12" s="90"/>
      <c r="Z12" s="90"/>
      <c r="AA12" s="90"/>
      <c r="AB12" s="90"/>
      <c r="AC12" s="90"/>
      <c r="AD12" s="90"/>
      <c r="AE12" s="90"/>
      <c r="AF12" s="90"/>
      <c r="AG12" s="90">
        <v>11</v>
      </c>
      <c r="AH12" s="90" t="s">
        <v>1097</v>
      </c>
      <c r="AI12" s="91">
        <f t="shared" si="0"/>
        <v>41214</v>
      </c>
      <c r="AJ12" s="90">
        <f t="shared" si="1"/>
        <v>183900.06</v>
      </c>
      <c r="AK12" s="90">
        <f t="array" ref="AK12">INDEX($P$3:$P$24,MATCH(AM12&amp;YEAR(AI12),$A$3:$A$24&amp;YEAR($B$3:$B$24),0))</f>
        <v>2269948</v>
      </c>
      <c r="AL12" s="90" t="s">
        <v>1099</v>
      </c>
      <c r="AM12" s="90" t="str">
        <f t="shared" si="2"/>
        <v>Sales Tax (313-10)</v>
      </c>
    </row>
    <row r="13" spans="1:39" ht="15.75" x14ac:dyDescent="0.25">
      <c r="A13" s="100" t="s">
        <v>1117</v>
      </c>
      <c r="B13" s="93">
        <v>40909</v>
      </c>
      <c r="C13" s="103">
        <v>0</v>
      </c>
      <c r="D13" s="103">
        <v>0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>
        <v>0</v>
      </c>
      <c r="K13" s="103">
        <v>0</v>
      </c>
      <c r="L13" s="103">
        <v>100</v>
      </c>
      <c r="M13" s="103">
        <v>0</v>
      </c>
      <c r="N13" s="103">
        <v>100</v>
      </c>
      <c r="O13" s="92">
        <f t="shared" si="3"/>
        <v>200</v>
      </c>
      <c r="P13" s="103">
        <v>0</v>
      </c>
      <c r="Q13" s="92">
        <f t="shared" si="4"/>
        <v>200</v>
      </c>
      <c r="R13" s="95"/>
      <c r="S13" s="95"/>
      <c r="T13" s="95"/>
      <c r="U13" s="95"/>
      <c r="V13" s="95"/>
      <c r="W13" s="95"/>
      <c r="X13" s="95"/>
      <c r="Y13" s="90"/>
      <c r="Z13" s="90"/>
      <c r="AA13" s="90"/>
      <c r="AB13" s="90"/>
      <c r="AC13" s="90"/>
      <c r="AD13" s="90"/>
      <c r="AE13" s="90"/>
      <c r="AF13" s="90"/>
      <c r="AG13" s="90">
        <v>12</v>
      </c>
      <c r="AH13" s="90" t="s">
        <v>1097</v>
      </c>
      <c r="AI13" s="91">
        <f t="shared" si="0"/>
        <v>41244</v>
      </c>
      <c r="AJ13" s="90">
        <f t="shared" si="1"/>
        <v>193134.43</v>
      </c>
      <c r="AK13" s="90">
        <f t="array" ref="AK13">INDEX($P$3:$P$24,MATCH(AM13&amp;YEAR(AI13),$A$3:$A$24&amp;YEAR($B$3:$B$24),0))</f>
        <v>2269948</v>
      </c>
      <c r="AL13" s="90" t="s">
        <v>1099</v>
      </c>
      <c r="AM13" s="90" t="str">
        <f t="shared" si="2"/>
        <v>Sales Tax (313-10)</v>
      </c>
    </row>
    <row r="14" spans="1:39" ht="15.75" x14ac:dyDescent="0.25">
      <c r="A14" s="100" t="s">
        <v>1117</v>
      </c>
      <c r="B14" s="93">
        <v>41275</v>
      </c>
      <c r="C14" s="103">
        <v>0</v>
      </c>
      <c r="D14" s="103">
        <v>0</v>
      </c>
      <c r="E14" s="103">
        <v>0</v>
      </c>
      <c r="F14" s="103">
        <v>0</v>
      </c>
      <c r="G14" s="103">
        <v>0</v>
      </c>
      <c r="H14" s="103"/>
      <c r="I14" s="103"/>
      <c r="J14" s="103"/>
      <c r="K14" s="103"/>
      <c r="L14" s="103"/>
      <c r="M14" s="103"/>
      <c r="N14" s="103"/>
      <c r="O14" s="92">
        <f t="shared" si="3"/>
        <v>0</v>
      </c>
      <c r="P14" s="103">
        <v>2000</v>
      </c>
      <c r="Q14" s="92">
        <f t="shared" si="4"/>
        <v>-2000</v>
      </c>
      <c r="R14" s="95"/>
      <c r="S14" s="95"/>
      <c r="T14" s="95"/>
      <c r="U14" s="95"/>
      <c r="V14" s="95"/>
      <c r="W14" s="95"/>
      <c r="X14" s="95"/>
      <c r="Y14" s="90"/>
      <c r="Z14" s="90"/>
      <c r="AA14" s="90"/>
      <c r="AB14" s="90"/>
      <c r="AC14" s="90"/>
      <c r="AD14" s="90"/>
      <c r="AE14" s="90"/>
      <c r="AF14" s="90"/>
      <c r="AG14" s="90">
        <v>13</v>
      </c>
      <c r="AH14" s="90" t="s">
        <v>1097</v>
      </c>
      <c r="AI14" s="91">
        <f t="shared" si="0"/>
        <v>41275</v>
      </c>
      <c r="AJ14" s="90">
        <f t="shared" si="1"/>
        <v>266761.83</v>
      </c>
      <c r="AK14" s="90">
        <f t="array" ref="AK14">INDEX($P$3:$P$24,MATCH(AM14&amp;YEAR(AI14),$A$3:$A$24&amp;YEAR($B$3:$B$24),0))</f>
        <v>2386855</v>
      </c>
      <c r="AL14" s="90" t="s">
        <v>1099</v>
      </c>
      <c r="AM14" s="90" t="str">
        <f t="shared" si="2"/>
        <v>Sales Tax (313-10)</v>
      </c>
    </row>
    <row r="15" spans="1:39" ht="15.75" x14ac:dyDescent="0.25">
      <c r="A15" s="100" t="s">
        <v>1116</v>
      </c>
      <c r="B15" s="93">
        <v>40909</v>
      </c>
      <c r="C15" s="103">
        <v>0</v>
      </c>
      <c r="D15" s="90">
        <v>4901.91</v>
      </c>
      <c r="E15" s="90">
        <v>5002.08</v>
      </c>
      <c r="F15" s="90">
        <v>4657.3</v>
      </c>
      <c r="G15" s="90">
        <v>4370.76</v>
      </c>
      <c r="H15" s="90">
        <v>3646.47</v>
      </c>
      <c r="I15" s="90">
        <v>3734.41</v>
      </c>
      <c r="J15" s="90">
        <v>3645.49</v>
      </c>
      <c r="K15" s="90">
        <v>3347.7</v>
      </c>
      <c r="L15" s="90">
        <v>3148.14</v>
      </c>
      <c r="M15" s="90">
        <v>2886.8</v>
      </c>
      <c r="N15" s="90">
        <v>4183.1100000000006</v>
      </c>
      <c r="O15" s="92">
        <f t="shared" si="3"/>
        <v>43524.170000000006</v>
      </c>
      <c r="P15" s="103">
        <v>112500</v>
      </c>
      <c r="Q15" s="92">
        <f t="shared" si="4"/>
        <v>-68975.829999999987</v>
      </c>
      <c r="R15" s="95"/>
      <c r="S15" s="95"/>
      <c r="T15" s="95"/>
      <c r="U15" s="95"/>
      <c r="V15" s="95"/>
      <c r="W15" s="95"/>
      <c r="X15" s="95"/>
      <c r="Y15" s="90"/>
      <c r="Z15" s="90"/>
      <c r="AA15" s="90"/>
      <c r="AB15" s="90"/>
      <c r="AC15" s="90"/>
      <c r="AD15" s="90"/>
      <c r="AE15" s="90"/>
      <c r="AF15" s="90"/>
      <c r="AG15" s="90">
        <v>14</v>
      </c>
      <c r="AH15" s="90" t="s">
        <v>1097</v>
      </c>
      <c r="AI15" s="91">
        <f t="shared" si="0"/>
        <v>41306</v>
      </c>
      <c r="AJ15" s="90">
        <f t="shared" si="1"/>
        <v>171290.7</v>
      </c>
      <c r="AK15" s="90">
        <f t="array" ref="AK15">INDEX($P$3:$P$24,MATCH(AM15&amp;YEAR(AI15),$A$3:$A$24&amp;YEAR($B$3:$B$24),0))</f>
        <v>2386855</v>
      </c>
      <c r="AL15" s="90" t="s">
        <v>1099</v>
      </c>
      <c r="AM15" s="90" t="str">
        <f t="shared" si="2"/>
        <v>Sales Tax (313-10)</v>
      </c>
    </row>
    <row r="16" spans="1:39" ht="15.75" x14ac:dyDescent="0.25">
      <c r="A16" s="100" t="s">
        <v>1116</v>
      </c>
      <c r="B16" s="93">
        <v>41275</v>
      </c>
      <c r="C16" s="103">
        <v>0</v>
      </c>
      <c r="D16" s="90">
        <v>1446.79</v>
      </c>
      <c r="E16" s="90">
        <v>1079.8400000000001</v>
      </c>
      <c r="F16" s="90">
        <v>1082.5700000000002</v>
      </c>
      <c r="G16" s="90">
        <v>1062.55</v>
      </c>
      <c r="H16" s="103"/>
      <c r="I16" s="103"/>
      <c r="J16" s="103"/>
      <c r="K16" s="103"/>
      <c r="L16" s="103"/>
      <c r="M16" s="103"/>
      <c r="N16" s="104"/>
      <c r="O16" s="92">
        <f t="shared" si="3"/>
        <v>4671.75</v>
      </c>
      <c r="P16" s="103">
        <v>116800</v>
      </c>
      <c r="Q16" s="92">
        <f t="shared" si="4"/>
        <v>-112128.25</v>
      </c>
      <c r="R16" s="95"/>
      <c r="S16" s="95"/>
      <c r="T16" s="95"/>
      <c r="U16" s="95"/>
      <c r="V16" s="95"/>
      <c r="W16" s="95"/>
      <c r="X16" s="95"/>
      <c r="Y16" s="90"/>
      <c r="Z16" s="90"/>
      <c r="AA16" s="90"/>
      <c r="AB16" s="90"/>
      <c r="AC16" s="90"/>
      <c r="AD16" s="90"/>
      <c r="AE16" s="90"/>
      <c r="AF16" s="90"/>
      <c r="AG16" s="90">
        <v>15</v>
      </c>
      <c r="AH16" s="90" t="s">
        <v>1097</v>
      </c>
      <c r="AI16" s="91">
        <f t="shared" si="0"/>
        <v>41334</v>
      </c>
      <c r="AJ16" s="90">
        <f t="shared" si="1"/>
        <v>174095.89</v>
      </c>
      <c r="AK16" s="90">
        <f t="array" ref="AK16">INDEX($P$3:$P$24,MATCH(AM16&amp;YEAR(AI16),$A$3:$A$24&amp;YEAR($B$3:$B$24),0))</f>
        <v>2386855</v>
      </c>
      <c r="AL16" s="90" t="s">
        <v>1099</v>
      </c>
      <c r="AM16" s="90" t="str">
        <f t="shared" si="2"/>
        <v>Sales Tax (313-10)</v>
      </c>
    </row>
    <row r="17" spans="1:39" ht="15.75" x14ac:dyDescent="0.25">
      <c r="A17" s="100" t="s">
        <v>1115</v>
      </c>
      <c r="B17" s="93">
        <v>40909</v>
      </c>
      <c r="C17" s="103">
        <v>0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3">
        <v>0</v>
      </c>
      <c r="L17" s="103">
        <v>0</v>
      </c>
      <c r="M17" s="103">
        <v>3756.4</v>
      </c>
      <c r="N17" s="104">
        <v>6274.4</v>
      </c>
      <c r="O17" s="92">
        <f t="shared" si="3"/>
        <v>10030.799999999999</v>
      </c>
      <c r="P17" s="103">
        <v>0</v>
      </c>
      <c r="Q17" s="92">
        <f t="shared" si="4"/>
        <v>10030.799999999999</v>
      </c>
      <c r="R17" s="95"/>
      <c r="S17" s="95"/>
      <c r="T17" s="95"/>
      <c r="U17" s="95"/>
      <c r="V17" s="95"/>
      <c r="W17" s="95"/>
      <c r="X17" s="95"/>
      <c r="Y17" s="90"/>
      <c r="Z17" s="90"/>
      <c r="AA17" s="90"/>
      <c r="AB17" s="90"/>
      <c r="AC17" s="90"/>
      <c r="AD17" s="90"/>
      <c r="AE17" s="90"/>
      <c r="AF17" s="90"/>
      <c r="AG17" s="90">
        <v>16</v>
      </c>
      <c r="AH17" s="90" t="s">
        <v>1097</v>
      </c>
      <c r="AI17" s="91">
        <f t="shared" si="0"/>
        <v>41365</v>
      </c>
      <c r="AJ17" s="90">
        <f t="shared" si="1"/>
        <v>219527.08</v>
      </c>
      <c r="AK17" s="90">
        <f t="array" ref="AK17">INDEX($P$3:$P$24,MATCH(AM17&amp;YEAR(AI17),$A$3:$A$24&amp;YEAR($B$3:$B$24),0))</f>
        <v>2386855</v>
      </c>
      <c r="AL17" s="90" t="s">
        <v>1099</v>
      </c>
      <c r="AM17" s="90" t="str">
        <f t="shared" si="2"/>
        <v>Sales Tax (313-10)</v>
      </c>
    </row>
    <row r="18" spans="1:39" ht="15.75" x14ac:dyDescent="0.25">
      <c r="A18" s="100" t="s">
        <v>1115</v>
      </c>
      <c r="B18" s="93">
        <v>41275</v>
      </c>
      <c r="C18" s="103"/>
      <c r="D18" s="103"/>
      <c r="E18" s="103">
        <v>165.78</v>
      </c>
      <c r="F18" s="103">
        <v>174.95</v>
      </c>
      <c r="G18" s="103">
        <v>161.86000000000001</v>
      </c>
      <c r="H18" s="103"/>
      <c r="I18" s="103"/>
      <c r="J18" s="103"/>
      <c r="K18" s="103"/>
      <c r="L18" s="103"/>
      <c r="M18" s="103"/>
      <c r="N18" s="103"/>
      <c r="O18" s="92">
        <f t="shared" si="3"/>
        <v>502.59000000000003</v>
      </c>
      <c r="P18" s="103"/>
      <c r="Q18" s="92">
        <f t="shared" si="4"/>
        <v>502.59000000000003</v>
      </c>
      <c r="R18" s="95"/>
      <c r="S18" s="95"/>
      <c r="T18" s="95"/>
      <c r="U18" s="95"/>
      <c r="V18" s="95"/>
      <c r="W18" s="95"/>
      <c r="X18" s="95"/>
      <c r="Y18" s="90"/>
      <c r="Z18" s="90"/>
      <c r="AA18" s="90"/>
      <c r="AB18" s="90"/>
      <c r="AC18" s="90"/>
      <c r="AD18" s="90"/>
      <c r="AE18" s="90"/>
      <c r="AF18" s="90"/>
      <c r="AG18" s="90">
        <v>17</v>
      </c>
      <c r="AH18" s="90" t="s">
        <v>1097</v>
      </c>
      <c r="AI18" s="91">
        <f t="shared" si="0"/>
        <v>41395</v>
      </c>
      <c r="AJ18" s="90">
        <f t="shared" si="1"/>
        <v>192993.08</v>
      </c>
      <c r="AK18" s="90">
        <f t="array" ref="AK18">INDEX($P$3:$P$24,MATCH(AM18&amp;YEAR(AI18),$A$3:$A$24&amp;YEAR($B$3:$B$24),0))</f>
        <v>2386855</v>
      </c>
      <c r="AL18" s="90" t="s">
        <v>1099</v>
      </c>
      <c r="AM18" s="90" t="str">
        <f t="shared" si="2"/>
        <v>Sales Tax (313-10)</v>
      </c>
    </row>
    <row r="19" spans="1:39" ht="15.75" x14ac:dyDescent="0.25">
      <c r="A19" s="100" t="s">
        <v>1114</v>
      </c>
      <c r="B19" s="93">
        <v>40909</v>
      </c>
      <c r="C19" s="103">
        <v>0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>
        <v>0</v>
      </c>
      <c r="K19" s="103">
        <v>0</v>
      </c>
      <c r="L19" s="103">
        <v>0</v>
      </c>
      <c r="M19" s="103">
        <v>0</v>
      </c>
      <c r="N19" s="103">
        <v>-23690.68</v>
      </c>
      <c r="O19" s="92">
        <f t="shared" si="3"/>
        <v>-23690.68</v>
      </c>
      <c r="P19" s="103">
        <v>0</v>
      </c>
      <c r="Q19" s="92">
        <f t="shared" si="4"/>
        <v>-23690.68</v>
      </c>
      <c r="R19" s="95"/>
      <c r="S19" s="95"/>
      <c r="T19" s="95"/>
      <c r="U19" s="95"/>
      <c r="V19" s="95"/>
      <c r="W19" s="95"/>
      <c r="X19" s="95"/>
      <c r="Y19" s="90"/>
      <c r="Z19" s="90"/>
      <c r="AA19" s="90"/>
      <c r="AB19" s="90"/>
      <c r="AC19" s="90"/>
      <c r="AD19" s="90"/>
      <c r="AE19" s="90"/>
      <c r="AF19" s="90"/>
      <c r="AG19" s="90">
        <v>18</v>
      </c>
      <c r="AH19" s="90" t="s">
        <v>1097</v>
      </c>
      <c r="AI19" s="91">
        <f t="shared" si="0"/>
        <v>41426</v>
      </c>
      <c r="AJ19" s="90">
        <f t="shared" si="1"/>
        <v>0</v>
      </c>
      <c r="AK19" s="90">
        <f t="array" ref="AK19">INDEX($P$3:$P$24,MATCH(AM19&amp;YEAR(AI19),$A$3:$A$24&amp;YEAR($B$3:$B$24),0))</f>
        <v>2386855</v>
      </c>
      <c r="AL19" s="90" t="s">
        <v>1099</v>
      </c>
      <c r="AM19" s="90" t="str">
        <f t="shared" si="2"/>
        <v>Sales Tax (313-10)</v>
      </c>
    </row>
    <row r="20" spans="1:39" ht="15.75" x14ac:dyDescent="0.25">
      <c r="A20" s="100" t="s">
        <v>1114</v>
      </c>
      <c r="B20" s="93">
        <v>41275</v>
      </c>
      <c r="C20" s="103"/>
      <c r="D20" s="103"/>
      <c r="E20" s="103">
        <v>0</v>
      </c>
      <c r="F20" s="103">
        <v>0</v>
      </c>
      <c r="G20" s="103">
        <v>0</v>
      </c>
      <c r="H20" s="103"/>
      <c r="I20" s="103"/>
      <c r="J20" s="103"/>
      <c r="K20" s="103"/>
      <c r="L20" s="103"/>
      <c r="M20" s="103"/>
      <c r="N20" s="103"/>
      <c r="O20" s="92">
        <f t="shared" si="3"/>
        <v>0</v>
      </c>
      <c r="P20" s="103"/>
      <c r="Q20" s="92">
        <f t="shared" si="4"/>
        <v>0</v>
      </c>
      <c r="R20" s="95"/>
      <c r="S20" s="95"/>
      <c r="T20" s="95"/>
      <c r="U20" s="95"/>
      <c r="V20" s="95"/>
      <c r="W20" s="95"/>
      <c r="X20" s="95"/>
      <c r="Y20" s="90"/>
      <c r="Z20" s="90"/>
      <c r="AA20" s="90"/>
      <c r="AB20" s="90"/>
      <c r="AC20" s="90"/>
      <c r="AD20" s="90"/>
      <c r="AE20" s="90"/>
      <c r="AF20" s="90"/>
      <c r="AG20" s="90">
        <v>19</v>
      </c>
      <c r="AH20" s="90" t="s">
        <v>1097</v>
      </c>
      <c r="AI20" s="91">
        <f t="shared" si="0"/>
        <v>41456</v>
      </c>
      <c r="AJ20" s="90">
        <f t="shared" si="1"/>
        <v>0</v>
      </c>
      <c r="AK20" s="90">
        <f t="array" ref="AK20">INDEX($P$3:$P$24,MATCH(AM20&amp;YEAR(AI20),$A$3:$A$24&amp;YEAR($B$3:$B$24),0))</f>
        <v>2386855</v>
      </c>
      <c r="AL20" s="90" t="s">
        <v>1099</v>
      </c>
      <c r="AM20" s="90" t="str">
        <f t="shared" si="2"/>
        <v>Sales Tax (313-10)</v>
      </c>
    </row>
    <row r="21" spans="1:39" ht="15.75" x14ac:dyDescent="0.25">
      <c r="A21" s="100" t="s">
        <v>1113</v>
      </c>
      <c r="B21" s="93">
        <v>40909</v>
      </c>
      <c r="C21" s="103">
        <v>0</v>
      </c>
      <c r="D21" s="103">
        <v>0</v>
      </c>
      <c r="E21" s="103">
        <v>12500</v>
      </c>
      <c r="F21" s="103">
        <v>0</v>
      </c>
      <c r="G21" s="103">
        <v>865.11</v>
      </c>
      <c r="H21" s="103">
        <v>338</v>
      </c>
      <c r="I21" s="103">
        <v>114</v>
      </c>
      <c r="J21" s="103">
        <v>6413.5</v>
      </c>
      <c r="K21" s="103">
        <v>-347.93</v>
      </c>
      <c r="L21" s="103">
        <v>16188.72</v>
      </c>
      <c r="M21" s="103">
        <v>23816.28</v>
      </c>
      <c r="N21" s="103">
        <v>14494.4</v>
      </c>
      <c r="O21" s="92">
        <f t="shared" si="3"/>
        <v>74382.080000000002</v>
      </c>
      <c r="P21" s="103">
        <v>30000</v>
      </c>
      <c r="Q21" s="92">
        <f t="shared" si="4"/>
        <v>44382.080000000002</v>
      </c>
      <c r="R21" s="95"/>
      <c r="S21" s="95"/>
      <c r="T21" s="95"/>
      <c r="U21" s="95"/>
      <c r="V21" s="95"/>
      <c r="W21" s="95"/>
      <c r="X21" s="95"/>
      <c r="Y21" s="90"/>
      <c r="Z21" s="90"/>
      <c r="AA21" s="90"/>
      <c r="AB21" s="90"/>
      <c r="AC21" s="90"/>
      <c r="AD21" s="90"/>
      <c r="AE21" s="90"/>
      <c r="AF21" s="90"/>
      <c r="AG21" s="90">
        <v>20</v>
      </c>
      <c r="AH21" s="90" t="s">
        <v>1097</v>
      </c>
      <c r="AI21" s="91">
        <f t="shared" si="0"/>
        <v>41487</v>
      </c>
      <c r="AJ21" s="90">
        <f t="shared" si="1"/>
        <v>0</v>
      </c>
      <c r="AK21" s="90">
        <f t="array" ref="AK21">INDEX($P$3:$P$24,MATCH(AM21&amp;YEAR(AI21),$A$3:$A$24&amp;YEAR($B$3:$B$24),0))</f>
        <v>2386855</v>
      </c>
      <c r="AL21" s="90" t="s">
        <v>1099</v>
      </c>
      <c r="AM21" s="90" t="str">
        <f t="shared" si="2"/>
        <v>Sales Tax (313-10)</v>
      </c>
    </row>
    <row r="22" spans="1:39" ht="15.75" x14ac:dyDescent="0.25">
      <c r="A22" s="100" t="s">
        <v>1113</v>
      </c>
      <c r="B22" s="93">
        <v>41275</v>
      </c>
      <c r="C22" s="103">
        <v>-137.19999999999999</v>
      </c>
      <c r="D22" s="103">
        <v>-132.79</v>
      </c>
      <c r="E22" s="103">
        <v>-130.33000000000001</v>
      </c>
      <c r="F22" s="103">
        <v>55896.18</v>
      </c>
      <c r="G22" s="103">
        <v>0</v>
      </c>
      <c r="H22" s="103"/>
      <c r="I22" s="103"/>
      <c r="J22" s="103"/>
      <c r="K22" s="103"/>
      <c r="L22" s="103"/>
      <c r="M22" s="103"/>
      <c r="N22" s="103"/>
      <c r="O22" s="92">
        <f t="shared" si="3"/>
        <v>55495.86</v>
      </c>
      <c r="P22" s="103">
        <v>35000</v>
      </c>
      <c r="Q22" s="92">
        <f t="shared" si="4"/>
        <v>20495.86</v>
      </c>
      <c r="R22" s="95"/>
      <c r="S22" s="95"/>
      <c r="T22" s="95"/>
      <c r="U22" s="95"/>
      <c r="V22" s="95"/>
      <c r="W22" s="95"/>
      <c r="X22" s="95"/>
      <c r="Y22" s="90"/>
      <c r="Z22" s="90"/>
      <c r="AA22" s="90"/>
      <c r="AB22" s="90"/>
      <c r="AC22" s="90"/>
      <c r="AD22" s="90"/>
      <c r="AE22" s="90"/>
      <c r="AF22" s="90"/>
      <c r="AG22" s="90">
        <v>21</v>
      </c>
      <c r="AH22" s="90" t="s">
        <v>1097</v>
      </c>
      <c r="AI22" s="91">
        <f t="shared" si="0"/>
        <v>41518</v>
      </c>
      <c r="AJ22" s="90">
        <f t="shared" si="1"/>
        <v>0</v>
      </c>
      <c r="AK22" s="90">
        <f t="array" ref="AK22">INDEX($P$3:$P$24,MATCH(AM22&amp;YEAR(AI22),$A$3:$A$24&amp;YEAR($B$3:$B$24),0))</f>
        <v>2386855</v>
      </c>
      <c r="AL22" s="90" t="s">
        <v>1099</v>
      </c>
      <c r="AM22" s="90" t="str">
        <f t="shared" si="2"/>
        <v>Sales Tax (313-10)</v>
      </c>
    </row>
    <row r="23" spans="1:39" ht="15.75" x14ac:dyDescent="0.25">
      <c r="A23" s="100" t="s">
        <v>1112</v>
      </c>
      <c r="B23" s="93">
        <v>40909</v>
      </c>
      <c r="C23" s="103">
        <v>0</v>
      </c>
      <c r="D23" s="103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3">
        <v>0</v>
      </c>
      <c r="L23" s="103">
        <v>29947173.149999999</v>
      </c>
      <c r="M23" s="103">
        <v>0</v>
      </c>
      <c r="N23" s="103">
        <v>0</v>
      </c>
      <c r="O23" s="92">
        <f t="shared" si="3"/>
        <v>29947173.149999999</v>
      </c>
      <c r="P23" s="103">
        <v>21934381</v>
      </c>
      <c r="Q23" s="92">
        <f t="shared" si="4"/>
        <v>8012792.1499999985</v>
      </c>
      <c r="R23" s="95"/>
      <c r="S23" s="95"/>
      <c r="T23" s="95"/>
      <c r="U23" s="95"/>
      <c r="V23" s="95"/>
      <c r="W23" s="95"/>
      <c r="X23" s="95"/>
      <c r="Y23" s="90"/>
      <c r="Z23" s="90"/>
      <c r="AA23" s="90"/>
      <c r="AB23" s="90"/>
      <c r="AC23" s="90"/>
      <c r="AD23" s="90"/>
      <c r="AE23" s="90"/>
      <c r="AF23" s="90"/>
      <c r="AG23" s="90">
        <v>22</v>
      </c>
      <c r="AH23" s="90" t="s">
        <v>1097</v>
      </c>
      <c r="AI23" s="91">
        <f t="shared" si="0"/>
        <v>41548</v>
      </c>
      <c r="AJ23" s="90">
        <f t="shared" si="1"/>
        <v>0</v>
      </c>
      <c r="AK23" s="90">
        <f t="array" ref="AK23">INDEX($P$3:$P$24,MATCH(AM23&amp;YEAR(AI23),$A$3:$A$24&amp;YEAR($B$3:$B$24),0))</f>
        <v>2386855</v>
      </c>
      <c r="AL23" s="90" t="s">
        <v>1099</v>
      </c>
      <c r="AM23" s="90" t="str">
        <f t="shared" si="2"/>
        <v>Sales Tax (313-10)</v>
      </c>
    </row>
    <row r="24" spans="1:39" ht="15.75" x14ac:dyDescent="0.25">
      <c r="A24" s="100" t="s">
        <v>1112</v>
      </c>
      <c r="B24" s="93">
        <v>41275</v>
      </c>
      <c r="C24" s="103">
        <v>0</v>
      </c>
      <c r="D24" s="103">
        <v>0</v>
      </c>
      <c r="E24" s="103">
        <v>0</v>
      </c>
      <c r="F24" s="103">
        <v>0</v>
      </c>
      <c r="G24" s="103">
        <v>0</v>
      </c>
      <c r="H24" s="103"/>
      <c r="I24" s="103"/>
      <c r="J24" s="103"/>
      <c r="K24" s="103"/>
      <c r="L24" s="103"/>
      <c r="M24" s="103"/>
      <c r="N24" s="103"/>
      <c r="O24" s="92">
        <f t="shared" si="3"/>
        <v>0</v>
      </c>
      <c r="P24" s="103">
        <v>0</v>
      </c>
      <c r="Q24" s="92">
        <f t="shared" si="4"/>
        <v>0</v>
      </c>
      <c r="R24" s="95"/>
      <c r="S24" s="95"/>
      <c r="T24" s="95"/>
      <c r="U24" s="95"/>
      <c r="V24" s="95"/>
      <c r="W24" s="95"/>
      <c r="X24" s="95"/>
      <c r="Y24" s="90"/>
      <c r="Z24" s="90"/>
      <c r="AA24" s="90"/>
      <c r="AB24" s="90"/>
      <c r="AC24" s="90"/>
      <c r="AD24" s="90"/>
      <c r="AE24" s="90"/>
      <c r="AF24" s="90"/>
      <c r="AG24" s="90">
        <v>23</v>
      </c>
      <c r="AH24" s="90" t="s">
        <v>1097</v>
      </c>
      <c r="AI24" s="91">
        <f t="shared" si="0"/>
        <v>41579</v>
      </c>
      <c r="AJ24" s="90">
        <f t="shared" si="1"/>
        <v>0</v>
      </c>
      <c r="AK24" s="90">
        <f t="array" ref="AK24">INDEX($P$3:$P$24,MATCH(AM24&amp;YEAR(AI24),$A$3:$A$24&amp;YEAR($B$3:$B$24),0))</f>
        <v>2386855</v>
      </c>
      <c r="AL24" s="90" t="s">
        <v>1099</v>
      </c>
      <c r="AM24" s="90" t="str">
        <f t="shared" si="2"/>
        <v>Sales Tax (313-10)</v>
      </c>
    </row>
    <row r="25" spans="1:39" ht="15.75" x14ac:dyDescent="0.25">
      <c r="A25" s="100" t="s">
        <v>1111</v>
      </c>
      <c r="B25" s="93">
        <v>40909</v>
      </c>
      <c r="C25" s="92">
        <f t="shared" ref="C25:N25" si="5">SUM(C3+C5+C7+C9+C11+C13+C15+C17+C19+C21+C23)</f>
        <v>288335.13</v>
      </c>
      <c r="D25" s="92">
        <f t="shared" si="5"/>
        <v>198403.06999999998</v>
      </c>
      <c r="E25" s="92">
        <f t="shared" si="5"/>
        <v>210855.71</v>
      </c>
      <c r="F25" s="92">
        <f t="shared" si="5"/>
        <v>232566.07999999996</v>
      </c>
      <c r="G25" s="92">
        <f t="shared" si="5"/>
        <v>210061.76</v>
      </c>
      <c r="H25" s="92">
        <f t="shared" si="5"/>
        <v>252594.39</v>
      </c>
      <c r="I25" s="92">
        <f t="shared" si="5"/>
        <v>244054.06</v>
      </c>
      <c r="J25" s="92">
        <f t="shared" si="5"/>
        <v>222753.41999999998</v>
      </c>
      <c r="K25" s="92">
        <f t="shared" si="5"/>
        <v>227387.72000000003</v>
      </c>
      <c r="L25" s="92">
        <f t="shared" si="5"/>
        <v>30204885.18</v>
      </c>
      <c r="M25" s="92">
        <f t="shared" si="5"/>
        <v>243222.06999999998</v>
      </c>
      <c r="N25" s="92">
        <f t="shared" si="5"/>
        <v>246479.16999999998</v>
      </c>
      <c r="O25" s="92">
        <f t="shared" si="3"/>
        <v>32781597.760000002</v>
      </c>
      <c r="P25" s="92">
        <f>SUM(P3+P5+P7+P9+P11+P13+P15+P17+P19+P21+P23)</f>
        <v>24673697</v>
      </c>
      <c r="Q25" s="92">
        <f t="shared" si="4"/>
        <v>8107900.7600000016</v>
      </c>
      <c r="R25" s="95"/>
      <c r="S25" s="95"/>
      <c r="T25" s="95"/>
      <c r="U25" s="95"/>
      <c r="V25" s="95"/>
      <c r="W25" s="95"/>
      <c r="X25" s="95"/>
      <c r="Y25" s="101"/>
      <c r="Z25" s="101"/>
      <c r="AA25" s="101"/>
      <c r="AB25" s="101"/>
      <c r="AC25" s="101"/>
      <c r="AD25" s="101"/>
      <c r="AE25" s="101"/>
      <c r="AF25" s="90"/>
      <c r="AG25" s="90">
        <v>24</v>
      </c>
      <c r="AH25" s="90" t="s">
        <v>1097</v>
      </c>
      <c r="AI25" s="91">
        <f t="shared" si="0"/>
        <v>41609</v>
      </c>
      <c r="AJ25" s="90">
        <f t="shared" si="1"/>
        <v>0</v>
      </c>
      <c r="AK25" s="90">
        <f t="array" ref="AK25">INDEX($P$3:$P$24,MATCH(AM25&amp;YEAR(AI25),$A$3:$A$24&amp;YEAR($B$3:$B$24),0))</f>
        <v>2386855</v>
      </c>
      <c r="AL25" s="90" t="s">
        <v>1099</v>
      </c>
      <c r="AM25" s="90" t="str">
        <f t="shared" si="2"/>
        <v>Sales Tax (313-10)</v>
      </c>
    </row>
    <row r="26" spans="1:39" ht="15.75" x14ac:dyDescent="0.25">
      <c r="A26" s="100" t="s">
        <v>1111</v>
      </c>
      <c r="B26" s="93">
        <v>41275</v>
      </c>
      <c r="C26" s="92">
        <f t="shared" ref="C26:N26" si="6">SUM(C4+C6+C8+C10+C12+C14+C16+C18+C20+C22+C24)</f>
        <v>308898.15999999997</v>
      </c>
      <c r="D26" s="92">
        <f t="shared" si="6"/>
        <v>204450.29</v>
      </c>
      <c r="E26" s="92">
        <f t="shared" si="6"/>
        <v>201982.95</v>
      </c>
      <c r="F26" s="92">
        <f t="shared" si="6"/>
        <v>329556.47999999998</v>
      </c>
      <c r="G26" s="92">
        <f t="shared" si="6"/>
        <v>228395.42999999996</v>
      </c>
      <c r="H26" s="92">
        <f t="shared" si="6"/>
        <v>0</v>
      </c>
      <c r="I26" s="92">
        <f t="shared" si="6"/>
        <v>0</v>
      </c>
      <c r="J26" s="92">
        <f t="shared" si="6"/>
        <v>0</v>
      </c>
      <c r="K26" s="92">
        <f t="shared" si="6"/>
        <v>0</v>
      </c>
      <c r="L26" s="92">
        <f t="shared" si="6"/>
        <v>0</v>
      </c>
      <c r="M26" s="92">
        <f t="shared" si="6"/>
        <v>0</v>
      </c>
      <c r="N26" s="92">
        <f t="shared" si="6"/>
        <v>0</v>
      </c>
      <c r="O26" s="92">
        <f t="shared" si="3"/>
        <v>1273283.3099999998</v>
      </c>
      <c r="P26" s="92">
        <f>SUM(P4+P6+P8+P10+P12+P14+P16+P18+P20+P22+P24)</f>
        <v>2862678</v>
      </c>
      <c r="Q26" s="92">
        <f t="shared" si="4"/>
        <v>-1589394.6900000002</v>
      </c>
      <c r="R26" s="95"/>
      <c r="S26" s="95"/>
      <c r="T26" s="95"/>
      <c r="U26" s="95"/>
      <c r="V26" s="95"/>
      <c r="W26" s="95"/>
      <c r="X26" s="95"/>
      <c r="Y26" s="101"/>
      <c r="Z26" s="101"/>
      <c r="AA26" s="101"/>
      <c r="AB26" s="101"/>
      <c r="AC26" s="101"/>
      <c r="AD26" s="101"/>
      <c r="AE26" s="101"/>
      <c r="AF26" s="90"/>
      <c r="AG26" s="90">
        <v>25</v>
      </c>
      <c r="AH26" s="90" t="s">
        <v>1097</v>
      </c>
      <c r="AI26" s="91">
        <f t="shared" si="0"/>
        <v>40909</v>
      </c>
      <c r="AJ26" s="90">
        <f t="shared" si="1"/>
        <v>33891.089999999997</v>
      </c>
      <c r="AK26" s="90">
        <f t="array" ref="AK26">INDEX($P$3:$P$24,MATCH(AM26&amp;YEAR(AI26),$A$3:$A$24&amp;YEAR($B$3:$B$24),0))</f>
        <v>326868</v>
      </c>
      <c r="AL26" s="90" t="s">
        <v>1099</v>
      </c>
      <c r="AM26" s="90" t="str">
        <f t="shared" si="2"/>
        <v>Use Tax (313-11)</v>
      </c>
    </row>
    <row r="27" spans="1:39" ht="15.75" x14ac:dyDescent="0.25">
      <c r="A27" s="90"/>
      <c r="B27" s="99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5"/>
      <c r="S27" s="95"/>
      <c r="T27" s="95"/>
      <c r="U27" s="95"/>
      <c r="V27" s="95"/>
      <c r="W27" s="95"/>
      <c r="X27" s="95"/>
      <c r="Y27" s="101"/>
      <c r="Z27" s="101"/>
      <c r="AA27" s="101"/>
      <c r="AB27" s="101"/>
      <c r="AC27" s="101"/>
      <c r="AD27" s="101"/>
      <c r="AE27" s="101"/>
      <c r="AF27" s="90"/>
      <c r="AG27" s="90">
        <v>26</v>
      </c>
      <c r="AH27" s="90" t="s">
        <v>1097</v>
      </c>
      <c r="AI27" s="91">
        <f t="shared" si="0"/>
        <v>40940</v>
      </c>
      <c r="AJ27" s="90">
        <f t="shared" si="1"/>
        <v>21130.39</v>
      </c>
      <c r="AK27" s="90">
        <f t="array" ref="AK27">INDEX($P$3:$P$24,MATCH(AM27&amp;YEAR(AI27),$A$3:$A$24&amp;YEAR($B$3:$B$24),0))</f>
        <v>326868</v>
      </c>
      <c r="AL27" s="90" t="s">
        <v>1099</v>
      </c>
      <c r="AM27" s="90" t="str">
        <f t="shared" si="2"/>
        <v>Use Tax (313-11)</v>
      </c>
    </row>
    <row r="28" spans="1:39" ht="15.75" x14ac:dyDescent="0.25">
      <c r="A28" s="90"/>
      <c r="B28" s="99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5"/>
      <c r="S28" s="95"/>
      <c r="T28" s="95"/>
      <c r="U28" s="95"/>
      <c r="V28" s="95"/>
      <c r="W28" s="95"/>
      <c r="X28" s="95"/>
      <c r="Y28" s="101"/>
      <c r="Z28" s="101"/>
      <c r="AA28" s="101"/>
      <c r="AB28" s="101"/>
      <c r="AC28" s="101"/>
      <c r="AD28" s="101"/>
      <c r="AE28" s="101"/>
      <c r="AF28" s="90"/>
      <c r="AG28" s="90">
        <v>27</v>
      </c>
      <c r="AH28" s="90" t="s">
        <v>1097</v>
      </c>
      <c r="AI28" s="91">
        <f t="shared" si="0"/>
        <v>40969</v>
      </c>
      <c r="AJ28" s="90">
        <f t="shared" si="1"/>
        <v>27015.23</v>
      </c>
      <c r="AK28" s="90">
        <f t="array" ref="AK28">INDEX($P$3:$P$24,MATCH(AM28&amp;YEAR(AI28),$A$3:$A$24&amp;YEAR($B$3:$B$24),0))</f>
        <v>326868</v>
      </c>
      <c r="AL28" s="90" t="s">
        <v>1099</v>
      </c>
      <c r="AM28" s="90" t="str">
        <f t="shared" si="2"/>
        <v>Use Tax (313-11)</v>
      </c>
    </row>
    <row r="29" spans="1:39" ht="15.75" x14ac:dyDescent="0.25">
      <c r="A29" s="102" t="s">
        <v>1110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5"/>
      <c r="S29" s="95"/>
      <c r="T29" s="95"/>
      <c r="U29" s="95"/>
      <c r="V29" s="95"/>
      <c r="W29" s="95"/>
      <c r="X29" s="95"/>
      <c r="Y29" s="101"/>
      <c r="Z29" s="101"/>
      <c r="AA29" s="101"/>
      <c r="AB29" s="101"/>
      <c r="AC29" s="101"/>
      <c r="AD29" s="101"/>
      <c r="AE29" s="101"/>
      <c r="AF29" s="90"/>
      <c r="AG29" s="90">
        <v>28</v>
      </c>
      <c r="AH29" s="90" t="s">
        <v>1097</v>
      </c>
      <c r="AI29" s="91">
        <f t="shared" si="0"/>
        <v>41000</v>
      </c>
      <c r="AJ29" s="90">
        <f t="shared" si="1"/>
        <v>29858.67</v>
      </c>
      <c r="AK29" s="90">
        <f t="array" ref="AK29">INDEX($P$3:$P$24,MATCH(AM29&amp;YEAR(AI29),$A$3:$A$24&amp;YEAR($B$3:$B$24),0))</f>
        <v>326868</v>
      </c>
      <c r="AL29" s="90" t="s">
        <v>1099</v>
      </c>
      <c r="AM29" s="90" t="str">
        <f t="shared" si="2"/>
        <v>Use Tax (313-11)</v>
      </c>
    </row>
    <row r="30" spans="1:39" ht="15.75" x14ac:dyDescent="0.25">
      <c r="A30" s="97"/>
      <c r="B30" s="96" t="s">
        <v>1106</v>
      </c>
      <c r="C30" s="96" t="s">
        <v>790</v>
      </c>
      <c r="D30" s="96" t="s">
        <v>787</v>
      </c>
      <c r="E30" s="96" t="s">
        <v>784</v>
      </c>
      <c r="F30" s="96" t="s">
        <v>781</v>
      </c>
      <c r="G30" s="96" t="s">
        <v>778</v>
      </c>
      <c r="H30" s="96" t="s">
        <v>775</v>
      </c>
      <c r="I30" s="96" t="s">
        <v>789</v>
      </c>
      <c r="J30" s="96" t="s">
        <v>786</v>
      </c>
      <c r="K30" s="96" t="s">
        <v>783</v>
      </c>
      <c r="L30" s="96" t="s">
        <v>780</v>
      </c>
      <c r="M30" s="96" t="s">
        <v>777</v>
      </c>
      <c r="N30" s="96" t="s">
        <v>774</v>
      </c>
      <c r="O30" s="96" t="s">
        <v>1105</v>
      </c>
      <c r="P30" s="96" t="s">
        <v>1104</v>
      </c>
      <c r="Q30" s="96" t="s">
        <v>1103</v>
      </c>
      <c r="R30" s="109"/>
      <c r="S30" s="109"/>
      <c r="T30" s="109"/>
      <c r="U30" s="109"/>
      <c r="V30" s="109"/>
      <c r="W30" s="109"/>
      <c r="X30" s="109"/>
      <c r="Y30" s="101"/>
      <c r="Z30" s="101"/>
      <c r="AA30" s="101"/>
      <c r="AB30" s="101"/>
      <c r="AC30" s="101"/>
      <c r="AD30" s="101"/>
      <c r="AE30" s="101"/>
      <c r="AF30" s="90"/>
      <c r="AG30" s="90">
        <v>29</v>
      </c>
      <c r="AH30" s="90" t="s">
        <v>1097</v>
      </c>
      <c r="AI30" s="91">
        <f t="shared" si="0"/>
        <v>41030</v>
      </c>
      <c r="AJ30" s="90">
        <f t="shared" si="1"/>
        <v>29429.32</v>
      </c>
      <c r="AK30" s="90">
        <f t="array" ref="AK30">INDEX($P$3:$P$24,MATCH(AM30&amp;YEAR(AI30),$A$3:$A$24&amp;YEAR($B$3:$B$24),0))</f>
        <v>326868</v>
      </c>
      <c r="AL30" s="90" t="s">
        <v>1099</v>
      </c>
      <c r="AM30" s="90" t="str">
        <f t="shared" si="2"/>
        <v>Use Tax (313-11)</v>
      </c>
    </row>
    <row r="31" spans="1:39" ht="15.75" x14ac:dyDescent="0.25">
      <c r="A31" s="100" t="s">
        <v>1109</v>
      </c>
      <c r="B31" s="93">
        <v>41275</v>
      </c>
      <c r="C31" s="90">
        <v>0</v>
      </c>
      <c r="D31" s="90">
        <v>0</v>
      </c>
      <c r="E31" s="90">
        <v>0</v>
      </c>
      <c r="F31" s="90">
        <v>0</v>
      </c>
      <c r="G31" s="90">
        <v>114241.33</v>
      </c>
      <c r="H31" s="90"/>
      <c r="I31" s="90"/>
      <c r="J31" s="90"/>
      <c r="K31" s="90"/>
      <c r="L31" s="90"/>
      <c r="M31" s="90"/>
      <c r="N31" s="90"/>
      <c r="O31" s="92">
        <f>SUM(C31:N31)</f>
        <v>114241.33</v>
      </c>
      <c r="P31" s="90">
        <v>237429</v>
      </c>
      <c r="Q31" s="92">
        <f t="shared" ref="Q31:Q37" si="7">O31-P31</f>
        <v>-123187.67</v>
      </c>
      <c r="R31" s="95"/>
      <c r="S31" s="95"/>
      <c r="T31" s="95"/>
      <c r="U31" s="95"/>
      <c r="V31" s="95"/>
      <c r="W31" s="95"/>
      <c r="X31" s="95"/>
      <c r="Y31" s="101"/>
      <c r="Z31" s="101"/>
      <c r="AA31" s="101"/>
      <c r="AB31" s="101"/>
      <c r="AC31" s="101"/>
      <c r="AD31" s="101"/>
      <c r="AE31" s="101"/>
      <c r="AF31" s="90"/>
      <c r="AG31" s="90">
        <v>30</v>
      </c>
      <c r="AH31" s="90" t="s">
        <v>1097</v>
      </c>
      <c r="AI31" s="91">
        <f t="shared" si="0"/>
        <v>41061</v>
      </c>
      <c r="AJ31" s="90">
        <f t="shared" si="1"/>
        <v>55879.22</v>
      </c>
      <c r="AK31" s="90">
        <f t="array" ref="AK31">INDEX($P$3:$P$24,MATCH(AM31&amp;YEAR(AI31),$A$3:$A$24&amp;YEAR($B$3:$B$24),0))</f>
        <v>326868</v>
      </c>
      <c r="AL31" s="90" t="s">
        <v>1099</v>
      </c>
      <c r="AM31" s="90" t="str">
        <f t="shared" si="2"/>
        <v>Use Tax (313-11)</v>
      </c>
    </row>
    <row r="32" spans="1:39" ht="15.75" x14ac:dyDescent="0.25">
      <c r="A32" s="100" t="s">
        <v>1102</v>
      </c>
      <c r="B32" s="93">
        <v>40909</v>
      </c>
      <c r="C32" s="90">
        <v>0</v>
      </c>
      <c r="D32" s="90">
        <v>739.75</v>
      </c>
      <c r="E32" s="90">
        <v>1052.76</v>
      </c>
      <c r="F32" s="90">
        <v>1269.5899999999999</v>
      </c>
      <c r="G32" s="90">
        <v>1558.22</v>
      </c>
      <c r="H32" s="90">
        <v>1549.29</v>
      </c>
      <c r="I32" s="90">
        <v>1322.24</v>
      </c>
      <c r="J32" s="90">
        <v>1573.63</v>
      </c>
      <c r="K32" s="90">
        <v>1703.17</v>
      </c>
      <c r="L32" s="90">
        <v>1880.54</v>
      </c>
      <c r="M32" s="90">
        <v>2680.05</v>
      </c>
      <c r="N32" s="95">
        <v>-4211.5599999999995</v>
      </c>
      <c r="O32" s="92">
        <f>SUM(C32:N32)</f>
        <v>11117.679999999998</v>
      </c>
      <c r="P32" s="90">
        <v>0</v>
      </c>
      <c r="Q32" s="92">
        <f t="shared" si="7"/>
        <v>11117.679999999998</v>
      </c>
      <c r="R32" s="95"/>
      <c r="S32" s="95"/>
      <c r="T32" s="95"/>
      <c r="U32" s="95"/>
      <c r="V32" s="95"/>
      <c r="W32" s="95"/>
      <c r="X32" s="95"/>
      <c r="Y32" s="90"/>
      <c r="Z32" s="90"/>
      <c r="AA32" s="90"/>
      <c r="AB32" s="90"/>
      <c r="AC32" s="90"/>
      <c r="AD32" s="90"/>
      <c r="AE32" s="90"/>
      <c r="AF32" s="90"/>
      <c r="AG32" s="90">
        <v>31</v>
      </c>
      <c r="AH32" s="90" t="s">
        <v>1097</v>
      </c>
      <c r="AI32" s="91">
        <f t="shared" si="0"/>
        <v>41091</v>
      </c>
      <c r="AJ32" s="90">
        <f t="shared" si="1"/>
        <v>29662.74</v>
      </c>
      <c r="AK32" s="90">
        <f t="array" ref="AK32">INDEX($P$3:$P$24,MATCH(AM32&amp;YEAR(AI32),$A$3:$A$24&amp;YEAR($B$3:$B$24),0))</f>
        <v>326868</v>
      </c>
      <c r="AL32" s="90" t="s">
        <v>1099</v>
      </c>
      <c r="AM32" s="90" t="str">
        <f t="shared" si="2"/>
        <v>Use Tax (313-11)</v>
      </c>
    </row>
    <row r="33" spans="1:39" ht="15.75" x14ac:dyDescent="0.25">
      <c r="A33" s="100" t="s">
        <v>1102</v>
      </c>
      <c r="B33" s="93">
        <v>41275</v>
      </c>
      <c r="C33" s="90">
        <v>0</v>
      </c>
      <c r="D33" s="90">
        <v>3886.42</v>
      </c>
      <c r="E33" s="90">
        <v>3481</v>
      </c>
      <c r="F33" s="90">
        <v>3919.18</v>
      </c>
      <c r="G33" s="90">
        <v>3883.8</v>
      </c>
      <c r="H33" s="90"/>
      <c r="I33" s="90"/>
      <c r="J33" s="90"/>
      <c r="K33" s="90"/>
      <c r="L33" s="90"/>
      <c r="M33" s="90"/>
      <c r="N33" s="90"/>
      <c r="O33" s="92">
        <f>SUM(C33:N33)</f>
        <v>15170.400000000001</v>
      </c>
      <c r="P33" s="90">
        <v>0</v>
      </c>
      <c r="Q33" s="92">
        <f t="shared" si="7"/>
        <v>15170.400000000001</v>
      </c>
      <c r="R33" s="95"/>
      <c r="S33" s="95"/>
      <c r="T33" s="95"/>
      <c r="U33" s="95"/>
      <c r="V33" s="95"/>
      <c r="W33" s="95"/>
      <c r="X33" s="95"/>
      <c r="Y33" s="90"/>
      <c r="Z33" s="90"/>
      <c r="AA33" s="90"/>
      <c r="AB33" s="90"/>
      <c r="AC33" s="90"/>
      <c r="AD33" s="90"/>
      <c r="AE33" s="90"/>
      <c r="AF33" s="90"/>
      <c r="AG33" s="90">
        <v>32</v>
      </c>
      <c r="AH33" s="90" t="s">
        <v>1097</v>
      </c>
      <c r="AI33" s="91">
        <f t="shared" si="0"/>
        <v>41122</v>
      </c>
      <c r="AJ33" s="90">
        <f t="shared" si="1"/>
        <v>25699.18</v>
      </c>
      <c r="AK33" s="90">
        <f t="array" ref="AK33">INDEX($P$3:$P$24,MATCH(AM33&amp;YEAR(AI33),$A$3:$A$24&amp;YEAR($B$3:$B$24),0))</f>
        <v>326868</v>
      </c>
      <c r="AL33" s="90" t="s">
        <v>1099</v>
      </c>
      <c r="AM33" s="90" t="str">
        <f t="shared" si="2"/>
        <v>Use Tax (313-11)</v>
      </c>
    </row>
    <row r="34" spans="1:39" ht="15.75" x14ac:dyDescent="0.25">
      <c r="A34" s="100" t="s">
        <v>1101</v>
      </c>
      <c r="B34" s="93">
        <v>40909</v>
      </c>
      <c r="C34" s="90">
        <v>148616.32999999999</v>
      </c>
      <c r="D34" s="90">
        <v>148616.32999999999</v>
      </c>
      <c r="E34" s="90">
        <v>148616.32999999999</v>
      </c>
      <c r="F34" s="90">
        <v>148616.32999999999</v>
      </c>
      <c r="G34" s="90">
        <v>148616.32999999999</v>
      </c>
      <c r="H34" s="90">
        <v>148616.32999999999</v>
      </c>
      <c r="I34" s="90">
        <v>148616.32999999999</v>
      </c>
      <c r="J34" s="90">
        <v>148616.32999999999</v>
      </c>
      <c r="K34" s="90">
        <v>148616.32999999999</v>
      </c>
      <c r="L34" s="90">
        <v>934685.64</v>
      </c>
      <c r="M34" s="90">
        <v>187683.61</v>
      </c>
      <c r="N34" s="90">
        <v>187683.61</v>
      </c>
      <c r="O34" s="92">
        <f>SUM(C34:N34)</f>
        <v>2647599.8299999996</v>
      </c>
      <c r="P34" s="90">
        <v>0</v>
      </c>
      <c r="Q34" s="92">
        <f t="shared" si="7"/>
        <v>2647599.8299999996</v>
      </c>
      <c r="R34" s="95"/>
      <c r="S34" s="95"/>
      <c r="T34" s="95"/>
      <c r="U34" s="95"/>
      <c r="V34" s="95"/>
      <c r="W34" s="95"/>
      <c r="X34" s="95"/>
      <c r="Y34" s="90"/>
      <c r="Z34" s="90"/>
      <c r="AA34" s="90"/>
      <c r="AB34" s="90"/>
      <c r="AC34" s="90"/>
      <c r="AD34" s="90"/>
      <c r="AE34" s="90"/>
      <c r="AF34" s="90"/>
      <c r="AG34" s="90">
        <v>33</v>
      </c>
      <c r="AH34" s="90" t="s">
        <v>1097</v>
      </c>
      <c r="AI34" s="91">
        <f t="shared" si="0"/>
        <v>41153</v>
      </c>
      <c r="AJ34" s="90">
        <f t="shared" si="1"/>
        <v>31261.79</v>
      </c>
      <c r="AK34" s="90">
        <f t="array" ref="AK34">INDEX($P$3:$P$24,MATCH(AM34&amp;YEAR(AI34),$A$3:$A$24&amp;YEAR($B$3:$B$24),0))</f>
        <v>326868</v>
      </c>
      <c r="AL34" s="90" t="s">
        <v>1099</v>
      </c>
      <c r="AM34" s="90" t="str">
        <f t="shared" si="2"/>
        <v>Use Tax (313-11)</v>
      </c>
    </row>
    <row r="35" spans="1:39" ht="15.75" x14ac:dyDescent="0.25">
      <c r="A35" s="100" t="s">
        <v>1101</v>
      </c>
      <c r="B35" s="93">
        <v>41275</v>
      </c>
      <c r="C35" s="90">
        <v>187683.61</v>
      </c>
      <c r="D35" s="90">
        <v>187683.61</v>
      </c>
      <c r="E35" s="90">
        <v>188285.53</v>
      </c>
      <c r="F35" s="90">
        <v>188285.53</v>
      </c>
      <c r="G35" s="90">
        <v>188285.53</v>
      </c>
      <c r="H35" s="90"/>
      <c r="I35" s="90"/>
      <c r="J35" s="90"/>
      <c r="K35" s="90"/>
      <c r="L35" s="90"/>
      <c r="M35" s="90"/>
      <c r="N35" s="90"/>
      <c r="O35" s="92">
        <f>SUM(C35:N35)</f>
        <v>940223.81</v>
      </c>
      <c r="P35" s="90">
        <v>0</v>
      </c>
      <c r="Q35" s="92">
        <f t="shared" si="7"/>
        <v>940223.81</v>
      </c>
      <c r="R35" s="95"/>
      <c r="S35" s="95"/>
      <c r="T35" s="95"/>
      <c r="U35" s="95"/>
      <c r="V35" s="95"/>
      <c r="W35" s="95"/>
      <c r="X35" s="95"/>
      <c r="Y35" s="90"/>
      <c r="Z35" s="90"/>
      <c r="AA35" s="90"/>
      <c r="AB35" s="90"/>
      <c r="AC35" s="90"/>
      <c r="AD35" s="90"/>
      <c r="AE35" s="90"/>
      <c r="AF35" s="90"/>
      <c r="AG35" s="90">
        <v>34</v>
      </c>
      <c r="AH35" s="90" t="s">
        <v>1097</v>
      </c>
      <c r="AI35" s="91">
        <f t="shared" si="0"/>
        <v>41183</v>
      </c>
      <c r="AJ35" s="90">
        <f t="shared" si="1"/>
        <v>37199.75</v>
      </c>
      <c r="AK35" s="90">
        <f t="array" ref="AK35">INDEX($P$3:$P$24,MATCH(AM35&amp;YEAR(AI35),$A$3:$A$24&amp;YEAR($B$3:$B$24),0))</f>
        <v>326868</v>
      </c>
      <c r="AL35" s="90" t="s">
        <v>1099</v>
      </c>
      <c r="AM35" s="90" t="str">
        <f t="shared" si="2"/>
        <v>Use Tax (313-11)</v>
      </c>
    </row>
    <row r="36" spans="1:39" ht="15.75" x14ac:dyDescent="0.25">
      <c r="A36" s="100" t="s">
        <v>1108</v>
      </c>
      <c r="B36" s="93">
        <v>40909</v>
      </c>
      <c r="C36" s="92">
        <f t="shared" ref="C36:P36" si="8">SUM(C32+C34)</f>
        <v>148616.32999999999</v>
      </c>
      <c r="D36" s="92">
        <f t="shared" si="8"/>
        <v>149356.07999999999</v>
      </c>
      <c r="E36" s="92">
        <f t="shared" si="8"/>
        <v>149669.09</v>
      </c>
      <c r="F36" s="92">
        <f t="shared" si="8"/>
        <v>149885.91999999998</v>
      </c>
      <c r="G36" s="92">
        <f t="shared" si="8"/>
        <v>150174.54999999999</v>
      </c>
      <c r="H36" s="92">
        <f t="shared" si="8"/>
        <v>150165.62</v>
      </c>
      <c r="I36" s="92">
        <f t="shared" si="8"/>
        <v>149938.56999999998</v>
      </c>
      <c r="J36" s="92">
        <f t="shared" si="8"/>
        <v>150189.96</v>
      </c>
      <c r="K36" s="92">
        <f t="shared" si="8"/>
        <v>150319.5</v>
      </c>
      <c r="L36" s="92">
        <f t="shared" si="8"/>
        <v>936566.18</v>
      </c>
      <c r="M36" s="92">
        <f t="shared" si="8"/>
        <v>190363.65999999997</v>
      </c>
      <c r="N36" s="92">
        <f t="shared" si="8"/>
        <v>183472.05</v>
      </c>
      <c r="O36" s="92">
        <f t="shared" si="8"/>
        <v>2658717.5099999998</v>
      </c>
      <c r="P36" s="92">
        <f t="shared" si="8"/>
        <v>0</v>
      </c>
      <c r="Q36" s="92">
        <f t="shared" si="7"/>
        <v>2658717.5099999998</v>
      </c>
      <c r="R36" s="95"/>
      <c r="S36" s="95"/>
      <c r="T36" s="95"/>
      <c r="U36" s="95"/>
      <c r="V36" s="95"/>
      <c r="W36" s="95"/>
      <c r="X36" s="95"/>
      <c r="Y36" s="101"/>
      <c r="Z36" s="101"/>
      <c r="AA36" s="101"/>
      <c r="AB36" s="101"/>
      <c r="AC36" s="101"/>
      <c r="AD36" s="101"/>
      <c r="AE36" s="101"/>
      <c r="AF36" s="90"/>
      <c r="AG36" s="90">
        <v>35</v>
      </c>
      <c r="AH36" s="90" t="s">
        <v>1097</v>
      </c>
      <c r="AI36" s="91">
        <f t="shared" si="0"/>
        <v>41214</v>
      </c>
      <c r="AJ36" s="90">
        <f t="shared" si="1"/>
        <v>28862.53</v>
      </c>
      <c r="AK36" s="90">
        <f t="array" ref="AK36">INDEX($P$3:$P$24,MATCH(AM36&amp;YEAR(AI36),$A$3:$A$24&amp;YEAR($B$3:$B$24),0))</f>
        <v>326868</v>
      </c>
      <c r="AL36" s="90" t="s">
        <v>1099</v>
      </c>
      <c r="AM36" s="90" t="str">
        <f t="shared" si="2"/>
        <v>Use Tax (313-11)</v>
      </c>
    </row>
    <row r="37" spans="1:39" ht="15.75" x14ac:dyDescent="0.25">
      <c r="A37" s="100" t="s">
        <v>1108</v>
      </c>
      <c r="B37" s="93">
        <v>41275</v>
      </c>
      <c r="C37" s="92">
        <f t="shared" ref="C37:N37" si="9">SUM(C31+C33+C35)</f>
        <v>187683.61</v>
      </c>
      <c r="D37" s="92">
        <f t="shared" si="9"/>
        <v>191570.03</v>
      </c>
      <c r="E37" s="92">
        <f t="shared" si="9"/>
        <v>191766.53</v>
      </c>
      <c r="F37" s="92">
        <f t="shared" si="9"/>
        <v>192204.71</v>
      </c>
      <c r="G37" s="92">
        <f t="shared" si="9"/>
        <v>306410.66000000003</v>
      </c>
      <c r="H37" s="92">
        <f t="shared" si="9"/>
        <v>0</v>
      </c>
      <c r="I37" s="92">
        <f t="shared" si="9"/>
        <v>0</v>
      </c>
      <c r="J37" s="92">
        <f t="shared" si="9"/>
        <v>0</v>
      </c>
      <c r="K37" s="92">
        <f t="shared" si="9"/>
        <v>0</v>
      </c>
      <c r="L37" s="92">
        <f t="shared" si="9"/>
        <v>0</v>
      </c>
      <c r="M37" s="92">
        <f t="shared" si="9"/>
        <v>0</v>
      </c>
      <c r="N37" s="92">
        <f t="shared" si="9"/>
        <v>0</v>
      </c>
      <c r="O37" s="92">
        <f>SUM(C37:N37)</f>
        <v>1069635.54</v>
      </c>
      <c r="P37" s="92">
        <f>SUM(P31+P33+P35)</f>
        <v>237429</v>
      </c>
      <c r="Q37" s="92">
        <f t="shared" si="7"/>
        <v>832206.54</v>
      </c>
      <c r="R37" s="95"/>
      <c r="S37" s="95"/>
      <c r="T37" s="95"/>
      <c r="U37" s="95"/>
      <c r="V37" s="95"/>
      <c r="W37" s="95"/>
      <c r="X37" s="95"/>
      <c r="Y37" s="90"/>
      <c r="Z37" s="90"/>
      <c r="AA37" s="90"/>
      <c r="AB37" s="90"/>
      <c r="AC37" s="90"/>
      <c r="AD37" s="90"/>
      <c r="AE37" s="90"/>
      <c r="AF37" s="90"/>
      <c r="AG37" s="90">
        <v>36</v>
      </c>
      <c r="AH37" s="90" t="s">
        <v>1097</v>
      </c>
      <c r="AI37" s="91">
        <f t="shared" si="0"/>
        <v>41244</v>
      </c>
      <c r="AJ37" s="90">
        <f t="shared" si="1"/>
        <v>30683.279999999999</v>
      </c>
      <c r="AK37" s="90">
        <f t="array" ref="AK37">INDEX($P$3:$P$24,MATCH(AM37&amp;YEAR(AI37),$A$3:$A$24&amp;YEAR($B$3:$B$24),0))</f>
        <v>326868</v>
      </c>
      <c r="AL37" s="90" t="s">
        <v>1099</v>
      </c>
      <c r="AM37" s="90" t="str">
        <f t="shared" si="2"/>
        <v>Use Tax (313-11)</v>
      </c>
    </row>
    <row r="38" spans="1:39" ht="15.75" x14ac:dyDescent="0.25">
      <c r="A38" s="90"/>
      <c r="B38" s="99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5"/>
      <c r="S38" s="95"/>
      <c r="T38" s="95"/>
      <c r="U38" s="95"/>
      <c r="V38" s="95"/>
      <c r="W38" s="95"/>
      <c r="X38" s="95"/>
      <c r="Y38" s="90"/>
      <c r="Z38" s="90"/>
      <c r="AA38" s="90"/>
      <c r="AB38" s="90"/>
      <c r="AC38" s="90"/>
      <c r="AD38" s="90"/>
      <c r="AE38" s="90"/>
      <c r="AF38" s="90"/>
      <c r="AG38" s="90">
        <v>37</v>
      </c>
      <c r="AH38" s="90" t="s">
        <v>1097</v>
      </c>
      <c r="AI38" s="91">
        <f t="shared" si="0"/>
        <v>41275</v>
      </c>
      <c r="AJ38" s="90">
        <f t="shared" si="1"/>
        <v>42273.53</v>
      </c>
      <c r="AK38" s="90">
        <f t="array" ref="AK38">INDEX($P$3:$P$24,MATCH(AM38&amp;YEAR(AI38),$A$3:$A$24&amp;YEAR($B$3:$B$24),0))</f>
        <v>322023</v>
      </c>
      <c r="AL38" s="90" t="s">
        <v>1099</v>
      </c>
      <c r="AM38" s="90" t="str">
        <f t="shared" si="2"/>
        <v>Use Tax (313-11)</v>
      </c>
    </row>
    <row r="39" spans="1:39" ht="15.75" x14ac:dyDescent="0.25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5"/>
      <c r="S39" s="95"/>
      <c r="T39" s="95"/>
      <c r="U39" s="95"/>
      <c r="V39" s="95"/>
      <c r="W39" s="95"/>
      <c r="X39" s="95"/>
      <c r="Y39" s="90"/>
      <c r="Z39" s="90"/>
      <c r="AA39" s="90"/>
      <c r="AB39" s="90"/>
      <c r="AC39" s="90"/>
      <c r="AD39" s="90"/>
      <c r="AE39" s="90"/>
      <c r="AF39" s="90"/>
      <c r="AG39" s="90">
        <v>38</v>
      </c>
      <c r="AH39" s="90" t="s">
        <v>1097</v>
      </c>
      <c r="AI39" s="91">
        <f t="shared" si="0"/>
        <v>41306</v>
      </c>
      <c r="AJ39" s="90">
        <f t="shared" si="1"/>
        <v>31845.59</v>
      </c>
      <c r="AK39" s="90">
        <f t="array" ref="AK39">INDEX($P$3:$P$24,MATCH(AM39&amp;YEAR(AI39),$A$3:$A$24&amp;YEAR($B$3:$B$24),0))</f>
        <v>322023</v>
      </c>
      <c r="AL39" s="90" t="s">
        <v>1099</v>
      </c>
      <c r="AM39" s="90" t="str">
        <f t="shared" si="2"/>
        <v>Use Tax (313-11)</v>
      </c>
    </row>
    <row r="40" spans="1:39" ht="15.75" x14ac:dyDescent="0.25">
      <c r="A40" s="98" t="s">
        <v>1107</v>
      </c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5"/>
      <c r="S40" s="95"/>
      <c r="T40" s="95"/>
      <c r="U40" s="95"/>
      <c r="V40" s="95"/>
      <c r="W40" s="95"/>
      <c r="X40" s="95"/>
      <c r="Y40" s="90"/>
      <c r="Z40" s="90"/>
      <c r="AA40" s="90"/>
      <c r="AB40" s="90"/>
      <c r="AC40" s="90"/>
      <c r="AD40" s="90"/>
      <c r="AE40" s="90"/>
      <c r="AF40" s="90"/>
      <c r="AG40" s="90">
        <v>39</v>
      </c>
      <c r="AH40" s="90" t="s">
        <v>1097</v>
      </c>
      <c r="AI40" s="91">
        <f t="shared" si="0"/>
        <v>41334</v>
      </c>
      <c r="AJ40" s="90">
        <f t="shared" si="1"/>
        <v>26771.77</v>
      </c>
      <c r="AK40" s="90">
        <f t="array" ref="AK40">INDEX($P$3:$P$24,MATCH(AM40&amp;YEAR(AI40),$A$3:$A$24&amp;YEAR($B$3:$B$24),0))</f>
        <v>322023</v>
      </c>
      <c r="AL40" s="90" t="s">
        <v>1099</v>
      </c>
      <c r="AM40" s="90" t="str">
        <f t="shared" si="2"/>
        <v>Use Tax (313-11)</v>
      </c>
    </row>
    <row r="41" spans="1:39" ht="15.75" x14ac:dyDescent="0.25">
      <c r="A41" s="97"/>
      <c r="B41" s="96" t="s">
        <v>1106</v>
      </c>
      <c r="C41" s="96" t="s">
        <v>790</v>
      </c>
      <c r="D41" s="96" t="s">
        <v>787</v>
      </c>
      <c r="E41" s="96" t="s">
        <v>784</v>
      </c>
      <c r="F41" s="96" t="s">
        <v>781</v>
      </c>
      <c r="G41" s="96" t="s">
        <v>778</v>
      </c>
      <c r="H41" s="96" t="s">
        <v>775</v>
      </c>
      <c r="I41" s="96" t="s">
        <v>789</v>
      </c>
      <c r="J41" s="96" t="s">
        <v>786</v>
      </c>
      <c r="K41" s="96" t="s">
        <v>783</v>
      </c>
      <c r="L41" s="96" t="s">
        <v>780</v>
      </c>
      <c r="M41" s="96" t="s">
        <v>777</v>
      </c>
      <c r="N41" s="96" t="s">
        <v>774</v>
      </c>
      <c r="O41" s="96" t="s">
        <v>1105</v>
      </c>
      <c r="P41" s="96" t="s">
        <v>1104</v>
      </c>
      <c r="Q41" s="96" t="s">
        <v>1103</v>
      </c>
      <c r="R41" s="109"/>
      <c r="S41" s="109"/>
      <c r="T41" s="109"/>
      <c r="U41" s="109"/>
      <c r="V41" s="109"/>
      <c r="W41" s="109"/>
      <c r="X41" s="109"/>
      <c r="Y41" s="90"/>
      <c r="Z41" s="90"/>
      <c r="AA41" s="90"/>
      <c r="AB41" s="90"/>
      <c r="AC41" s="90"/>
      <c r="AD41" s="90"/>
      <c r="AE41" s="90"/>
      <c r="AF41" s="90"/>
      <c r="AG41" s="90">
        <v>40</v>
      </c>
      <c r="AH41" s="90" t="s">
        <v>1097</v>
      </c>
      <c r="AI41" s="91">
        <f t="shared" si="0"/>
        <v>41365</v>
      </c>
      <c r="AJ41" s="90">
        <f t="shared" si="1"/>
        <v>52875.7</v>
      </c>
      <c r="AK41" s="90">
        <f t="array" ref="AK41">INDEX($P$3:$P$24,MATCH(AM41&amp;YEAR(AI41),$A$3:$A$24&amp;YEAR($B$3:$B$24),0))</f>
        <v>322023</v>
      </c>
      <c r="AL41" s="90" t="s">
        <v>1099</v>
      </c>
      <c r="AM41" s="90" t="str">
        <f t="shared" si="2"/>
        <v>Use Tax (313-11)</v>
      </c>
    </row>
    <row r="42" spans="1:39" ht="15.75" x14ac:dyDescent="0.25">
      <c r="A42" s="94" t="s">
        <v>1102</v>
      </c>
      <c r="B42" s="93">
        <v>40909</v>
      </c>
      <c r="C42" s="90">
        <v>0</v>
      </c>
      <c r="D42" s="90">
        <v>0</v>
      </c>
      <c r="E42" s="90">
        <v>0</v>
      </c>
      <c r="F42" s="90">
        <v>0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5915.68</v>
      </c>
      <c r="N42" s="95">
        <v>6593.04</v>
      </c>
      <c r="O42" s="92">
        <f t="shared" ref="O42:O47" si="10">SUM(C42:N42)</f>
        <v>12508.720000000001</v>
      </c>
      <c r="P42" s="90">
        <v>0</v>
      </c>
      <c r="Q42" s="92">
        <f t="shared" ref="Q42:Q47" si="11">O42-P42</f>
        <v>12508.720000000001</v>
      </c>
      <c r="R42" s="95"/>
      <c r="S42" s="95"/>
      <c r="T42" s="95"/>
      <c r="U42" s="95"/>
      <c r="V42" s="95"/>
      <c r="W42" s="95"/>
      <c r="X42" s="95"/>
      <c r="Y42" s="90"/>
      <c r="Z42" s="90"/>
      <c r="AA42" s="90"/>
      <c r="AB42" s="90"/>
      <c r="AC42" s="90"/>
      <c r="AD42" s="90"/>
      <c r="AE42" s="90"/>
      <c r="AF42" s="90"/>
      <c r="AG42" s="90">
        <v>41</v>
      </c>
      <c r="AH42" s="90" t="s">
        <v>1097</v>
      </c>
      <c r="AI42" s="91">
        <f t="shared" si="0"/>
        <v>41395</v>
      </c>
      <c r="AJ42" s="90">
        <f t="shared" si="1"/>
        <v>34177.94</v>
      </c>
      <c r="AK42" s="90">
        <f t="array" ref="AK42">INDEX($P$3:$P$24,MATCH(AM42&amp;YEAR(AI42),$A$3:$A$24&amp;YEAR($B$3:$B$24),0))</f>
        <v>322023</v>
      </c>
      <c r="AL42" s="90" t="s">
        <v>1099</v>
      </c>
      <c r="AM42" s="90" t="str">
        <f t="shared" si="2"/>
        <v>Use Tax (313-11)</v>
      </c>
    </row>
    <row r="43" spans="1:39" ht="15.75" x14ac:dyDescent="0.25">
      <c r="A43" s="94" t="s">
        <v>1102</v>
      </c>
      <c r="B43" s="93">
        <v>41275</v>
      </c>
      <c r="C43" s="90">
        <v>1042.33</v>
      </c>
      <c r="D43" s="90">
        <v>874.1</v>
      </c>
      <c r="E43" s="90">
        <v>871.01</v>
      </c>
      <c r="F43" s="90">
        <v>788.14</v>
      </c>
      <c r="G43" s="90">
        <v>754.98</v>
      </c>
      <c r="H43" s="90"/>
      <c r="I43" s="90"/>
      <c r="J43" s="90"/>
      <c r="K43" s="90"/>
      <c r="L43" s="90"/>
      <c r="M43" s="90"/>
      <c r="N43" s="90"/>
      <c r="O43" s="92">
        <f t="shared" si="10"/>
        <v>4330.5599999999995</v>
      </c>
      <c r="P43" s="90">
        <v>0</v>
      </c>
      <c r="Q43" s="92">
        <f t="shared" si="11"/>
        <v>4330.5599999999995</v>
      </c>
      <c r="R43" s="95"/>
      <c r="S43" s="95"/>
      <c r="T43" s="95"/>
      <c r="U43" s="95"/>
      <c r="V43" s="95"/>
      <c r="W43" s="95"/>
      <c r="X43" s="95"/>
      <c r="Y43" s="90"/>
      <c r="Z43" s="90"/>
      <c r="AA43" s="90"/>
      <c r="AB43" s="90"/>
      <c r="AC43" s="90"/>
      <c r="AD43" s="90"/>
      <c r="AE43" s="90"/>
      <c r="AF43" s="90"/>
      <c r="AG43" s="90">
        <v>42</v>
      </c>
      <c r="AH43" s="90" t="s">
        <v>1097</v>
      </c>
      <c r="AI43" s="91">
        <f t="shared" si="0"/>
        <v>41426</v>
      </c>
      <c r="AJ43" s="90">
        <f t="shared" si="1"/>
        <v>0</v>
      </c>
      <c r="AK43" s="90">
        <f t="array" ref="AK43">INDEX($P$3:$P$24,MATCH(AM43&amp;YEAR(AI43),$A$3:$A$24&amp;YEAR($B$3:$B$24),0))</f>
        <v>322023</v>
      </c>
      <c r="AL43" s="90" t="s">
        <v>1099</v>
      </c>
      <c r="AM43" s="90" t="str">
        <f t="shared" si="2"/>
        <v>Use Tax (313-11)</v>
      </c>
    </row>
    <row r="44" spans="1:39" ht="15.75" x14ac:dyDescent="0.25">
      <c r="A44" s="94" t="s">
        <v>1101</v>
      </c>
      <c r="B44" s="93">
        <v>40909</v>
      </c>
      <c r="C44" s="90">
        <v>0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0">
        <v>0</v>
      </c>
      <c r="L44" s="90">
        <v>7206733.8399999999</v>
      </c>
      <c r="M44" s="90">
        <v>0</v>
      </c>
      <c r="N44" s="90">
        <v>0</v>
      </c>
      <c r="O44" s="92">
        <f t="shared" si="10"/>
        <v>7206733.8399999999</v>
      </c>
      <c r="P44" s="90">
        <v>0</v>
      </c>
      <c r="Q44" s="92">
        <f t="shared" si="11"/>
        <v>7206733.8399999999</v>
      </c>
      <c r="R44" s="95"/>
      <c r="S44" s="95"/>
      <c r="T44" s="95"/>
      <c r="U44" s="95"/>
      <c r="V44" s="95"/>
      <c r="W44" s="95"/>
      <c r="X44" s="95"/>
      <c r="Y44" s="90"/>
      <c r="Z44" s="90"/>
      <c r="AA44" s="90"/>
      <c r="AB44" s="90"/>
      <c r="AC44" s="90"/>
      <c r="AD44" s="90"/>
      <c r="AE44" s="90"/>
      <c r="AF44" s="90"/>
      <c r="AG44" s="90">
        <v>43</v>
      </c>
      <c r="AH44" s="90" t="s">
        <v>1097</v>
      </c>
      <c r="AI44" s="91">
        <f t="shared" si="0"/>
        <v>41456</v>
      </c>
      <c r="AJ44" s="90">
        <f t="shared" si="1"/>
        <v>0</v>
      </c>
      <c r="AK44" s="90">
        <f t="array" ref="AK44">INDEX($P$3:$P$24,MATCH(AM44&amp;YEAR(AI44),$A$3:$A$24&amp;YEAR($B$3:$B$24),0))</f>
        <v>322023</v>
      </c>
      <c r="AL44" s="90" t="s">
        <v>1099</v>
      </c>
      <c r="AM44" s="90" t="str">
        <f t="shared" si="2"/>
        <v>Use Tax (313-11)</v>
      </c>
    </row>
    <row r="45" spans="1:39" ht="15.75" x14ac:dyDescent="0.25">
      <c r="A45" s="94" t="s">
        <v>1101</v>
      </c>
      <c r="B45" s="93">
        <v>41275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/>
      <c r="I45" s="90"/>
      <c r="J45" s="90"/>
      <c r="K45" s="90"/>
      <c r="L45" s="90"/>
      <c r="M45" s="90"/>
      <c r="N45" s="90"/>
      <c r="O45" s="92">
        <f t="shared" si="10"/>
        <v>0</v>
      </c>
      <c r="P45" s="90">
        <v>0</v>
      </c>
      <c r="Q45" s="92">
        <f t="shared" si="11"/>
        <v>0</v>
      </c>
      <c r="R45" s="95"/>
      <c r="S45" s="95"/>
      <c r="T45" s="95"/>
      <c r="U45" s="95"/>
      <c r="V45" s="95"/>
      <c r="W45" s="95"/>
      <c r="X45" s="95"/>
      <c r="Y45" s="90"/>
      <c r="Z45" s="90"/>
      <c r="AA45" s="90"/>
      <c r="AB45" s="90"/>
      <c r="AC45" s="90"/>
      <c r="AD45" s="90"/>
      <c r="AE45" s="90"/>
      <c r="AF45" s="90"/>
      <c r="AG45" s="90">
        <v>44</v>
      </c>
      <c r="AH45" s="90" t="s">
        <v>1097</v>
      </c>
      <c r="AI45" s="91">
        <f t="shared" si="0"/>
        <v>41487</v>
      </c>
      <c r="AJ45" s="90">
        <f t="shared" si="1"/>
        <v>0</v>
      </c>
      <c r="AK45" s="90">
        <f t="array" ref="AK45">INDEX($P$3:$P$24,MATCH(AM45&amp;YEAR(AI45),$A$3:$A$24&amp;YEAR($B$3:$B$24),0))</f>
        <v>322023</v>
      </c>
      <c r="AL45" s="90" t="s">
        <v>1099</v>
      </c>
      <c r="AM45" s="90" t="str">
        <f t="shared" si="2"/>
        <v>Use Tax (313-11)</v>
      </c>
    </row>
    <row r="46" spans="1:39" ht="15.75" x14ac:dyDescent="0.25">
      <c r="A46" s="94" t="s">
        <v>1100</v>
      </c>
      <c r="B46" s="93">
        <v>40909</v>
      </c>
      <c r="C46" s="92">
        <f t="shared" ref="C46:N46" si="12">SUM(C42+C44)</f>
        <v>0</v>
      </c>
      <c r="D46" s="92">
        <f t="shared" si="12"/>
        <v>0</v>
      </c>
      <c r="E46" s="92">
        <f t="shared" si="12"/>
        <v>0</v>
      </c>
      <c r="F46" s="92">
        <f t="shared" si="12"/>
        <v>0</v>
      </c>
      <c r="G46" s="92">
        <f t="shared" si="12"/>
        <v>0</v>
      </c>
      <c r="H46" s="92">
        <f t="shared" si="12"/>
        <v>0</v>
      </c>
      <c r="I46" s="92">
        <f t="shared" si="12"/>
        <v>0</v>
      </c>
      <c r="J46" s="92">
        <f t="shared" si="12"/>
        <v>0</v>
      </c>
      <c r="K46" s="92">
        <f t="shared" si="12"/>
        <v>0</v>
      </c>
      <c r="L46" s="92">
        <f t="shared" si="12"/>
        <v>7206733.8399999999</v>
      </c>
      <c r="M46" s="92">
        <f t="shared" si="12"/>
        <v>5915.68</v>
      </c>
      <c r="N46" s="92">
        <f t="shared" si="12"/>
        <v>6593.04</v>
      </c>
      <c r="O46" s="92">
        <f t="shared" si="10"/>
        <v>7219242.5599999996</v>
      </c>
      <c r="P46" s="92">
        <f>SUM(P42+P44)</f>
        <v>0</v>
      </c>
      <c r="Q46" s="92">
        <f t="shared" si="11"/>
        <v>7219242.5599999996</v>
      </c>
      <c r="R46" s="95"/>
      <c r="S46" s="95"/>
      <c r="T46" s="95"/>
      <c r="U46" s="95"/>
      <c r="V46" s="95"/>
      <c r="W46" s="95"/>
      <c r="X46" s="95"/>
      <c r="Y46" s="90"/>
      <c r="Z46" s="90"/>
      <c r="AA46" s="90"/>
      <c r="AB46" s="90"/>
      <c r="AC46" s="90"/>
      <c r="AD46" s="90"/>
      <c r="AE46" s="90"/>
      <c r="AF46" s="90"/>
      <c r="AG46" s="90">
        <v>45</v>
      </c>
      <c r="AH46" s="90" t="s">
        <v>1097</v>
      </c>
      <c r="AI46" s="91">
        <f t="shared" si="0"/>
        <v>41518</v>
      </c>
      <c r="AJ46" s="90">
        <f t="shared" si="1"/>
        <v>0</v>
      </c>
      <c r="AK46" s="90">
        <f t="array" ref="AK46">INDEX($P$3:$P$24,MATCH(AM46&amp;YEAR(AI46),$A$3:$A$24&amp;YEAR($B$3:$B$24),0))</f>
        <v>322023</v>
      </c>
      <c r="AL46" s="90" t="s">
        <v>1099</v>
      </c>
      <c r="AM46" s="90" t="str">
        <f t="shared" si="2"/>
        <v>Use Tax (313-11)</v>
      </c>
    </row>
    <row r="47" spans="1:39" ht="15.75" x14ac:dyDescent="0.25">
      <c r="A47" s="94" t="s">
        <v>1100</v>
      </c>
      <c r="B47" s="93">
        <v>41275</v>
      </c>
      <c r="C47" s="92">
        <f t="shared" ref="C47:N47" si="13">SUM(C43+C45)</f>
        <v>1042.33</v>
      </c>
      <c r="D47" s="92">
        <f t="shared" si="13"/>
        <v>874.1</v>
      </c>
      <c r="E47" s="92">
        <f t="shared" si="13"/>
        <v>871.01</v>
      </c>
      <c r="F47" s="92">
        <f t="shared" si="13"/>
        <v>788.14</v>
      </c>
      <c r="G47" s="92">
        <f t="shared" si="13"/>
        <v>754.98</v>
      </c>
      <c r="H47" s="92">
        <f t="shared" si="13"/>
        <v>0</v>
      </c>
      <c r="I47" s="92">
        <f t="shared" si="13"/>
        <v>0</v>
      </c>
      <c r="J47" s="92">
        <f t="shared" si="13"/>
        <v>0</v>
      </c>
      <c r="K47" s="92">
        <f t="shared" si="13"/>
        <v>0</v>
      </c>
      <c r="L47" s="92">
        <f t="shared" si="13"/>
        <v>0</v>
      </c>
      <c r="M47" s="92">
        <f t="shared" si="13"/>
        <v>0</v>
      </c>
      <c r="N47" s="92">
        <f t="shared" si="13"/>
        <v>0</v>
      </c>
      <c r="O47" s="92">
        <f t="shared" si="10"/>
        <v>4330.5599999999995</v>
      </c>
      <c r="P47" s="92">
        <f>SUM(P43+P45)</f>
        <v>0</v>
      </c>
      <c r="Q47" s="92">
        <f t="shared" si="11"/>
        <v>4330.5599999999995</v>
      </c>
      <c r="R47" s="95"/>
      <c r="S47" s="95"/>
      <c r="T47" s="95"/>
      <c r="U47" s="95"/>
      <c r="V47" s="95"/>
      <c r="W47" s="95"/>
      <c r="X47" s="95"/>
      <c r="Y47" s="90"/>
      <c r="Z47" s="90"/>
      <c r="AA47" s="90"/>
      <c r="AB47" s="90"/>
      <c r="AC47" s="90"/>
      <c r="AD47" s="90"/>
      <c r="AE47" s="90"/>
      <c r="AF47" s="90"/>
      <c r="AG47" s="90">
        <v>46</v>
      </c>
      <c r="AH47" s="90" t="s">
        <v>1097</v>
      </c>
      <c r="AI47" s="91">
        <f t="shared" si="0"/>
        <v>41548</v>
      </c>
      <c r="AJ47" s="90">
        <f t="shared" si="1"/>
        <v>0</v>
      </c>
      <c r="AK47" s="90">
        <f t="array" ref="AK47">INDEX($P$3:$P$24,MATCH(AM47&amp;YEAR(AI47),$A$3:$A$24&amp;YEAR($B$3:$B$24),0))</f>
        <v>322023</v>
      </c>
      <c r="AL47" s="90" t="s">
        <v>1099</v>
      </c>
      <c r="AM47" s="90" t="str">
        <f t="shared" si="2"/>
        <v>Use Tax (313-11)</v>
      </c>
    </row>
    <row r="48" spans="1:39" ht="15.75" x14ac:dyDescent="0.25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5"/>
      <c r="S48" s="95"/>
      <c r="T48" s="95"/>
      <c r="U48" s="95"/>
      <c r="V48" s="95"/>
      <c r="W48" s="95"/>
      <c r="X48" s="95"/>
      <c r="Y48" s="90"/>
      <c r="Z48" s="90"/>
      <c r="AA48" s="90"/>
      <c r="AB48" s="90"/>
      <c r="AC48" s="90"/>
      <c r="AD48" s="90"/>
      <c r="AE48" s="90"/>
      <c r="AF48" s="90"/>
      <c r="AG48" s="90">
        <v>47</v>
      </c>
      <c r="AH48" s="90" t="s">
        <v>1097</v>
      </c>
      <c r="AI48" s="91">
        <f t="shared" si="0"/>
        <v>41579</v>
      </c>
      <c r="AJ48" s="90">
        <f t="shared" si="1"/>
        <v>0</v>
      </c>
      <c r="AK48" s="90">
        <f t="array" ref="AK48">INDEX($P$3:$P$24,MATCH(AM48&amp;YEAR(AI48),$A$3:$A$24&amp;YEAR($B$3:$B$24),0))</f>
        <v>322023</v>
      </c>
      <c r="AL48" s="90" t="s">
        <v>1099</v>
      </c>
      <c r="AM48" s="90" t="str">
        <f t="shared" si="2"/>
        <v>Use Tax (313-11)</v>
      </c>
    </row>
    <row r="49" spans="1:39" ht="15.75" x14ac:dyDescent="0.2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5"/>
      <c r="S49" s="95"/>
      <c r="T49" s="95"/>
      <c r="U49" s="95"/>
      <c r="V49" s="95"/>
      <c r="W49" s="95"/>
      <c r="X49" s="95"/>
      <c r="Y49" s="90"/>
      <c r="Z49" s="90"/>
      <c r="AA49" s="90"/>
      <c r="AB49" s="90"/>
      <c r="AC49" s="90"/>
      <c r="AD49" s="90"/>
      <c r="AE49" s="90"/>
      <c r="AF49" s="90"/>
      <c r="AG49" s="90">
        <v>48</v>
      </c>
      <c r="AH49" s="90" t="s">
        <v>1097</v>
      </c>
      <c r="AI49" s="91">
        <f t="shared" si="0"/>
        <v>41609</v>
      </c>
      <c r="AJ49" s="90">
        <f t="shared" si="1"/>
        <v>0</v>
      </c>
      <c r="AK49" s="90">
        <f t="array" ref="AK49">INDEX($P$3:$P$24,MATCH(AM49&amp;YEAR(AI49),$A$3:$A$24&amp;YEAR($B$3:$B$24),0))</f>
        <v>322023</v>
      </c>
      <c r="AL49" s="90" t="s">
        <v>1099</v>
      </c>
      <c r="AM49" s="90" t="str">
        <f t="shared" si="2"/>
        <v>Use Tax (313-11)</v>
      </c>
    </row>
    <row r="50" spans="1:39" ht="15.75" x14ac:dyDescent="0.2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5"/>
      <c r="S50" s="95"/>
      <c r="T50" s="95"/>
      <c r="U50" s="95"/>
      <c r="V50" s="95"/>
      <c r="W50" s="95"/>
      <c r="X50" s="95"/>
      <c r="Y50" s="90"/>
      <c r="Z50" s="90"/>
      <c r="AA50" s="90"/>
      <c r="AB50" s="90"/>
      <c r="AC50" s="90"/>
      <c r="AD50" s="90"/>
      <c r="AE50" s="90"/>
      <c r="AF50" s="90"/>
      <c r="AG50" s="90">
        <v>49</v>
      </c>
      <c r="AH50" s="90" t="s">
        <v>1097</v>
      </c>
      <c r="AI50" s="91">
        <f t="shared" si="0"/>
        <v>40909</v>
      </c>
      <c r="AJ50" s="90">
        <f t="shared" si="1"/>
        <v>0</v>
      </c>
      <c r="AK50" s="90">
        <f t="array" ref="AK50">INDEX($P$3:$P$24,MATCH(AM50&amp;YEAR(AI50),$A$3:$A$24&amp;YEAR($B$3:$B$24),0))</f>
        <v>0</v>
      </c>
      <c r="AL50" s="90" t="s">
        <v>1099</v>
      </c>
      <c r="AM50" s="90" t="str">
        <f t="shared" si="2"/>
        <v>Taxpayer Assd Use Tax Accrual (313-98)</v>
      </c>
    </row>
    <row r="51" spans="1:39" ht="15.75" x14ac:dyDescent="0.2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5"/>
      <c r="S51" s="95"/>
      <c r="T51" s="95"/>
      <c r="U51" s="95"/>
      <c r="V51" s="95"/>
      <c r="W51" s="95"/>
      <c r="X51" s="95"/>
      <c r="Y51" s="90"/>
      <c r="Z51" s="90"/>
      <c r="AA51" s="90"/>
      <c r="AB51" s="90"/>
      <c r="AC51" s="90"/>
      <c r="AD51" s="90"/>
      <c r="AE51" s="90"/>
      <c r="AF51" s="90"/>
      <c r="AG51" s="90">
        <v>50</v>
      </c>
      <c r="AH51" s="90" t="s">
        <v>1097</v>
      </c>
      <c r="AI51" s="91">
        <f t="shared" si="0"/>
        <v>40940</v>
      </c>
      <c r="AJ51" s="90">
        <f t="shared" si="1"/>
        <v>0</v>
      </c>
      <c r="AK51" s="90">
        <f t="array" ref="AK51">INDEX($P$3:$P$24,MATCH(AM51&amp;YEAR(AI51),$A$3:$A$24&amp;YEAR($B$3:$B$24),0))</f>
        <v>0</v>
      </c>
      <c r="AL51" s="90" t="s">
        <v>1099</v>
      </c>
      <c r="AM51" s="90" t="str">
        <f t="shared" si="2"/>
        <v>Taxpayer Assd Use Tax Accrual (313-98)</v>
      </c>
    </row>
    <row r="52" spans="1:39" ht="15.75" x14ac:dyDescent="0.2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5"/>
      <c r="S52" s="95"/>
      <c r="T52" s="95"/>
      <c r="U52" s="95"/>
      <c r="V52" s="95"/>
      <c r="W52" s="95"/>
      <c r="X52" s="95"/>
      <c r="Y52" s="90"/>
      <c r="Z52" s="90"/>
      <c r="AA52" s="90"/>
      <c r="AB52" s="90"/>
      <c r="AC52" s="90"/>
      <c r="AD52" s="90"/>
      <c r="AE52" s="90"/>
      <c r="AF52" s="90"/>
      <c r="AG52" s="90">
        <v>51</v>
      </c>
      <c r="AH52" s="90" t="s">
        <v>1097</v>
      </c>
      <c r="AI52" s="91">
        <f t="shared" si="0"/>
        <v>40969</v>
      </c>
      <c r="AJ52" s="90">
        <f t="shared" si="1"/>
        <v>0</v>
      </c>
      <c r="AK52" s="90">
        <f t="array" ref="AK52">INDEX($P$3:$P$24,MATCH(AM52&amp;YEAR(AI52),$A$3:$A$24&amp;YEAR($B$3:$B$24),0))</f>
        <v>0</v>
      </c>
      <c r="AL52" s="90" t="s">
        <v>1099</v>
      </c>
      <c r="AM52" s="90" t="str">
        <f t="shared" si="2"/>
        <v>Taxpayer Assd Use Tax Accrual (313-98)</v>
      </c>
    </row>
    <row r="53" spans="1:39" ht="15.75" x14ac:dyDescent="0.2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5"/>
      <c r="S53" s="95"/>
      <c r="T53" s="95"/>
      <c r="U53" s="95"/>
      <c r="V53" s="95"/>
      <c r="W53" s="95"/>
      <c r="X53" s="95"/>
      <c r="Y53" s="90"/>
      <c r="Z53" s="90"/>
      <c r="AA53" s="90"/>
      <c r="AB53" s="90"/>
      <c r="AC53" s="90"/>
      <c r="AD53" s="90"/>
      <c r="AE53" s="90"/>
      <c r="AF53" s="90"/>
      <c r="AG53" s="90">
        <v>52</v>
      </c>
      <c r="AH53" s="90" t="s">
        <v>1097</v>
      </c>
      <c r="AI53" s="91">
        <f t="shared" si="0"/>
        <v>41000</v>
      </c>
      <c r="AJ53" s="90">
        <f t="shared" si="1"/>
        <v>0</v>
      </c>
      <c r="AK53" s="90">
        <f t="array" ref="AK53">INDEX($P$3:$P$24,MATCH(AM53&amp;YEAR(AI53),$A$3:$A$24&amp;YEAR($B$3:$B$24),0))</f>
        <v>0</v>
      </c>
      <c r="AL53" s="90" t="s">
        <v>1099</v>
      </c>
      <c r="AM53" s="90" t="str">
        <f t="shared" si="2"/>
        <v>Taxpayer Assd Use Tax Accrual (313-98)</v>
      </c>
    </row>
    <row r="54" spans="1:39" ht="15.75" x14ac:dyDescent="0.2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5"/>
      <c r="S54" s="95"/>
      <c r="T54" s="95"/>
      <c r="U54" s="95"/>
      <c r="V54" s="95"/>
      <c r="W54" s="95"/>
      <c r="X54" s="95"/>
      <c r="Y54" s="90"/>
      <c r="Z54" s="90"/>
      <c r="AA54" s="90"/>
      <c r="AB54" s="90"/>
      <c r="AC54" s="90"/>
      <c r="AD54" s="90"/>
      <c r="AE54" s="90"/>
      <c r="AF54" s="90"/>
      <c r="AG54" s="90">
        <v>53</v>
      </c>
      <c r="AH54" s="90" t="s">
        <v>1097</v>
      </c>
      <c r="AI54" s="91">
        <f t="shared" si="0"/>
        <v>41030</v>
      </c>
      <c r="AJ54" s="90">
        <f t="shared" si="1"/>
        <v>0</v>
      </c>
      <c r="AK54" s="90">
        <f t="array" ref="AK54">INDEX($P$3:$P$24,MATCH(AM54&amp;YEAR(AI54),$A$3:$A$24&amp;YEAR($B$3:$B$24),0))</f>
        <v>0</v>
      </c>
      <c r="AL54" s="90" t="s">
        <v>1099</v>
      </c>
      <c r="AM54" s="90" t="str">
        <f t="shared" si="2"/>
        <v>Taxpayer Assd Use Tax Accrual (313-98)</v>
      </c>
    </row>
    <row r="55" spans="1:39" ht="15.75" x14ac:dyDescent="0.2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5"/>
      <c r="S55" s="95"/>
      <c r="T55" s="95"/>
      <c r="U55" s="95"/>
      <c r="V55" s="95"/>
      <c r="W55" s="95"/>
      <c r="X55" s="95"/>
      <c r="Y55" s="90"/>
      <c r="Z55" s="90"/>
      <c r="AA55" s="90"/>
      <c r="AB55" s="90"/>
      <c r="AC55" s="90"/>
      <c r="AD55" s="90"/>
      <c r="AE55" s="90"/>
      <c r="AF55" s="90"/>
      <c r="AG55" s="90">
        <v>54</v>
      </c>
      <c r="AH55" s="90" t="s">
        <v>1097</v>
      </c>
      <c r="AI55" s="91">
        <f t="shared" si="0"/>
        <v>41061</v>
      </c>
      <c r="AJ55" s="90">
        <f t="shared" si="1"/>
        <v>0</v>
      </c>
      <c r="AK55" s="90">
        <f t="array" ref="AK55">INDEX($P$3:$P$24,MATCH(AM55&amp;YEAR(AI55),$A$3:$A$24&amp;YEAR($B$3:$B$24),0))</f>
        <v>0</v>
      </c>
      <c r="AL55" s="90" t="s">
        <v>1099</v>
      </c>
      <c r="AM55" s="90" t="str">
        <f t="shared" si="2"/>
        <v>Taxpayer Assd Use Tax Accrual (313-98)</v>
      </c>
    </row>
    <row r="56" spans="1:39" ht="15.75" x14ac:dyDescent="0.2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5"/>
      <c r="S56" s="95"/>
      <c r="T56" s="95"/>
      <c r="U56" s="95"/>
      <c r="V56" s="95"/>
      <c r="W56" s="95"/>
      <c r="X56" s="95"/>
      <c r="Y56" s="90"/>
      <c r="Z56" s="90"/>
      <c r="AA56" s="90"/>
      <c r="AB56" s="90"/>
      <c r="AC56" s="90"/>
      <c r="AD56" s="90"/>
      <c r="AE56" s="90"/>
      <c r="AF56" s="90"/>
      <c r="AG56" s="90">
        <v>55</v>
      </c>
      <c r="AH56" s="90" t="s">
        <v>1097</v>
      </c>
      <c r="AI56" s="91">
        <f t="shared" si="0"/>
        <v>41091</v>
      </c>
      <c r="AJ56" s="90">
        <f t="shared" si="1"/>
        <v>0</v>
      </c>
      <c r="AK56" s="90">
        <f t="array" ref="AK56">INDEX($P$3:$P$24,MATCH(AM56&amp;YEAR(AI56),$A$3:$A$24&amp;YEAR($B$3:$B$24),0))</f>
        <v>0</v>
      </c>
      <c r="AL56" s="90" t="s">
        <v>1099</v>
      </c>
      <c r="AM56" s="90" t="str">
        <f t="shared" si="2"/>
        <v>Taxpayer Assd Use Tax Accrual (313-98)</v>
      </c>
    </row>
    <row r="57" spans="1:39" ht="15.75" x14ac:dyDescent="0.2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5"/>
      <c r="S57" s="95"/>
      <c r="T57" s="95"/>
      <c r="U57" s="95"/>
      <c r="V57" s="95"/>
      <c r="W57" s="95"/>
      <c r="X57" s="95"/>
      <c r="Y57" s="90"/>
      <c r="Z57" s="90"/>
      <c r="AA57" s="90"/>
      <c r="AB57" s="90"/>
      <c r="AC57" s="90"/>
      <c r="AD57" s="90"/>
      <c r="AE57" s="90"/>
      <c r="AF57" s="90"/>
      <c r="AG57" s="90">
        <v>56</v>
      </c>
      <c r="AH57" s="90" t="s">
        <v>1097</v>
      </c>
      <c r="AI57" s="91">
        <f t="shared" si="0"/>
        <v>41122</v>
      </c>
      <c r="AJ57" s="90">
        <f t="shared" si="1"/>
        <v>0</v>
      </c>
      <c r="AK57" s="90">
        <f t="array" ref="AK57">INDEX($P$3:$P$24,MATCH(AM57&amp;YEAR(AI57),$A$3:$A$24&amp;YEAR($B$3:$B$24),0))</f>
        <v>0</v>
      </c>
      <c r="AL57" s="90" t="s">
        <v>1099</v>
      </c>
      <c r="AM57" s="90" t="str">
        <f t="shared" si="2"/>
        <v>Taxpayer Assd Use Tax Accrual (313-98)</v>
      </c>
    </row>
    <row r="58" spans="1:39" ht="15.75" x14ac:dyDescent="0.2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5"/>
      <c r="S58" s="95"/>
      <c r="T58" s="95"/>
      <c r="U58" s="95"/>
      <c r="V58" s="95"/>
      <c r="W58" s="95"/>
      <c r="X58" s="95"/>
      <c r="Y58" s="90"/>
      <c r="Z58" s="90"/>
      <c r="AA58" s="90"/>
      <c r="AB58" s="90"/>
      <c r="AC58" s="90"/>
      <c r="AD58" s="90"/>
      <c r="AE58" s="90"/>
      <c r="AF58" s="90"/>
      <c r="AG58" s="90">
        <v>57</v>
      </c>
      <c r="AH58" s="90" t="s">
        <v>1097</v>
      </c>
      <c r="AI58" s="91">
        <f t="shared" si="0"/>
        <v>41153</v>
      </c>
      <c r="AJ58" s="90">
        <f t="shared" si="1"/>
        <v>0</v>
      </c>
      <c r="AK58" s="90">
        <f t="array" ref="AK58">INDEX($P$3:$P$24,MATCH(AM58&amp;YEAR(AI58),$A$3:$A$24&amp;YEAR($B$3:$B$24),0))</f>
        <v>0</v>
      </c>
      <c r="AL58" s="90" t="s">
        <v>1099</v>
      </c>
      <c r="AM58" s="90" t="str">
        <f t="shared" si="2"/>
        <v>Taxpayer Assd Use Tax Accrual (313-98)</v>
      </c>
    </row>
    <row r="59" spans="1:39" ht="15.75" x14ac:dyDescent="0.2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5"/>
      <c r="S59" s="95"/>
      <c r="T59" s="95"/>
      <c r="U59" s="95"/>
      <c r="V59" s="95"/>
      <c r="W59" s="95"/>
      <c r="X59" s="95"/>
      <c r="Y59" s="90"/>
      <c r="Z59" s="90"/>
      <c r="AA59" s="90"/>
      <c r="AB59" s="90"/>
      <c r="AC59" s="90"/>
      <c r="AD59" s="90"/>
      <c r="AE59" s="90"/>
      <c r="AF59" s="90"/>
      <c r="AG59" s="90">
        <v>58</v>
      </c>
      <c r="AH59" s="90" t="s">
        <v>1097</v>
      </c>
      <c r="AI59" s="91">
        <f t="shared" si="0"/>
        <v>41183</v>
      </c>
      <c r="AJ59" s="90">
        <f t="shared" si="1"/>
        <v>0</v>
      </c>
      <c r="AK59" s="90">
        <f t="array" ref="AK59">INDEX($P$3:$P$24,MATCH(AM59&amp;YEAR(AI59),$A$3:$A$24&amp;YEAR($B$3:$B$24),0))</f>
        <v>0</v>
      </c>
      <c r="AL59" s="90" t="s">
        <v>1099</v>
      </c>
      <c r="AM59" s="90" t="str">
        <f t="shared" si="2"/>
        <v>Taxpayer Assd Use Tax Accrual (313-98)</v>
      </c>
    </row>
    <row r="60" spans="1:39" ht="15.75" x14ac:dyDescent="0.2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5"/>
      <c r="S60" s="95"/>
      <c r="T60" s="95"/>
      <c r="U60" s="95"/>
      <c r="V60" s="95"/>
      <c r="W60" s="95"/>
      <c r="X60" s="95"/>
      <c r="Y60" s="90"/>
      <c r="Z60" s="90"/>
      <c r="AA60" s="90"/>
      <c r="AB60" s="90"/>
      <c r="AC60" s="90"/>
      <c r="AD60" s="90"/>
      <c r="AE60" s="90"/>
      <c r="AF60" s="90"/>
      <c r="AG60" s="90">
        <v>59</v>
      </c>
      <c r="AH60" s="90" t="s">
        <v>1097</v>
      </c>
      <c r="AI60" s="91">
        <f t="shared" si="0"/>
        <v>41214</v>
      </c>
      <c r="AJ60" s="90">
        <f t="shared" si="1"/>
        <v>0</v>
      </c>
      <c r="AK60" s="90">
        <f t="array" ref="AK60">INDEX($P$3:$P$24,MATCH(AM60&amp;YEAR(AI60),$A$3:$A$24&amp;YEAR($B$3:$B$24),0))</f>
        <v>0</v>
      </c>
      <c r="AL60" s="90" t="s">
        <v>1099</v>
      </c>
      <c r="AM60" s="90" t="str">
        <f t="shared" si="2"/>
        <v>Taxpayer Assd Use Tax Accrual (313-98)</v>
      </c>
    </row>
    <row r="61" spans="1:39" ht="15.75" x14ac:dyDescent="0.2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5"/>
      <c r="S61" s="95"/>
      <c r="T61" s="95"/>
      <c r="U61" s="95"/>
      <c r="V61" s="95"/>
      <c r="W61" s="95"/>
      <c r="X61" s="95"/>
      <c r="Y61" s="90"/>
      <c r="Z61" s="90"/>
      <c r="AA61" s="90"/>
      <c r="AB61" s="90"/>
      <c r="AC61" s="90"/>
      <c r="AD61" s="90"/>
      <c r="AE61" s="90"/>
      <c r="AF61" s="90"/>
      <c r="AG61" s="90">
        <v>60</v>
      </c>
      <c r="AH61" s="90" t="s">
        <v>1097</v>
      </c>
      <c r="AI61" s="91">
        <f t="shared" si="0"/>
        <v>41244</v>
      </c>
      <c r="AJ61" s="90">
        <f t="shared" si="1"/>
        <v>8682.44</v>
      </c>
      <c r="AK61" s="90">
        <f t="array" ref="AK61">INDEX($P$3:$P$24,MATCH(AM61&amp;YEAR(AI61),$A$3:$A$24&amp;YEAR($B$3:$B$24),0))</f>
        <v>0</v>
      </c>
      <c r="AL61" s="90" t="s">
        <v>1099</v>
      </c>
      <c r="AM61" s="90" t="str">
        <f t="shared" si="2"/>
        <v>Taxpayer Assd Use Tax Accrual (313-98)</v>
      </c>
    </row>
    <row r="62" spans="1:39" ht="15.75" x14ac:dyDescent="0.2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5"/>
      <c r="S62" s="95"/>
      <c r="T62" s="95"/>
      <c r="U62" s="95"/>
      <c r="V62" s="95"/>
      <c r="W62" s="95"/>
      <c r="X62" s="95"/>
      <c r="Y62" s="90"/>
      <c r="Z62" s="90"/>
      <c r="AA62" s="90"/>
      <c r="AB62" s="90"/>
      <c r="AC62" s="90"/>
      <c r="AD62" s="90"/>
      <c r="AE62" s="90"/>
      <c r="AF62" s="90"/>
      <c r="AG62" s="90">
        <v>61</v>
      </c>
      <c r="AH62" s="90" t="s">
        <v>1097</v>
      </c>
      <c r="AI62" s="91">
        <f t="shared" si="0"/>
        <v>41275</v>
      </c>
      <c r="AJ62" s="90">
        <f t="shared" si="1"/>
        <v>0</v>
      </c>
      <c r="AK62" s="90">
        <f t="array" ref="AK62">INDEX($P$3:$P$24,MATCH(AM62&amp;YEAR(AI62),$A$3:$A$24&amp;YEAR($B$3:$B$24),0))</f>
        <v>0</v>
      </c>
      <c r="AL62" s="90" t="s">
        <v>1099</v>
      </c>
      <c r="AM62" s="90" t="str">
        <f t="shared" si="2"/>
        <v>Taxpayer Assd Use Tax Accrual (313-98)</v>
      </c>
    </row>
    <row r="63" spans="1:39" ht="15.75" x14ac:dyDescent="0.2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5"/>
      <c r="S63" s="95"/>
      <c r="T63" s="95"/>
      <c r="U63" s="95"/>
      <c r="V63" s="95"/>
      <c r="W63" s="95"/>
      <c r="X63" s="95"/>
      <c r="Y63" s="90"/>
      <c r="Z63" s="90"/>
      <c r="AA63" s="90"/>
      <c r="AB63" s="90"/>
      <c r="AC63" s="90"/>
      <c r="AD63" s="90"/>
      <c r="AE63" s="90"/>
      <c r="AF63" s="90"/>
      <c r="AG63" s="90">
        <v>62</v>
      </c>
      <c r="AH63" s="90" t="s">
        <v>1097</v>
      </c>
      <c r="AI63" s="91">
        <f t="shared" si="0"/>
        <v>41306</v>
      </c>
      <c r="AJ63" s="90">
        <f t="shared" si="1"/>
        <v>0</v>
      </c>
      <c r="AK63" s="90">
        <f t="array" ref="AK63">INDEX($P$3:$P$24,MATCH(AM63&amp;YEAR(AI63),$A$3:$A$24&amp;YEAR($B$3:$B$24),0))</f>
        <v>0</v>
      </c>
      <c r="AL63" s="90" t="s">
        <v>1099</v>
      </c>
      <c r="AM63" s="90" t="str">
        <f t="shared" si="2"/>
        <v>Taxpayer Assd Use Tax Accrual (313-98)</v>
      </c>
    </row>
    <row r="64" spans="1:39" ht="15.75" x14ac:dyDescent="0.2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5"/>
      <c r="S64" s="95"/>
      <c r="T64" s="95"/>
      <c r="U64" s="95"/>
      <c r="V64" s="95"/>
      <c r="W64" s="95"/>
      <c r="X64" s="95"/>
      <c r="Y64" s="90"/>
      <c r="Z64" s="90"/>
      <c r="AA64" s="90"/>
      <c r="AB64" s="90"/>
      <c r="AC64" s="90"/>
      <c r="AD64" s="90"/>
      <c r="AE64" s="90"/>
      <c r="AF64" s="90"/>
      <c r="AG64" s="90">
        <v>63</v>
      </c>
      <c r="AH64" s="90" t="s">
        <v>1097</v>
      </c>
      <c r="AI64" s="91">
        <f t="shared" si="0"/>
        <v>41334</v>
      </c>
      <c r="AJ64" s="90">
        <f t="shared" si="1"/>
        <v>0</v>
      </c>
      <c r="AK64" s="90">
        <f t="array" ref="AK64">INDEX($P$3:$P$24,MATCH(AM64&amp;YEAR(AI64),$A$3:$A$24&amp;YEAR($B$3:$B$24),0))</f>
        <v>0</v>
      </c>
      <c r="AL64" s="90" t="s">
        <v>1099</v>
      </c>
      <c r="AM64" s="90" t="str">
        <f t="shared" si="2"/>
        <v>Taxpayer Assd Use Tax Accrual (313-98)</v>
      </c>
    </row>
    <row r="65" spans="1:39" ht="15.75" x14ac:dyDescent="0.2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5"/>
      <c r="S65" s="95"/>
      <c r="T65" s="95"/>
      <c r="U65" s="95"/>
      <c r="V65" s="95"/>
      <c r="W65" s="95"/>
      <c r="X65" s="95"/>
      <c r="Y65" s="90"/>
      <c r="Z65" s="90"/>
      <c r="AA65" s="90"/>
      <c r="AB65" s="90"/>
      <c r="AC65" s="90"/>
      <c r="AD65" s="90"/>
      <c r="AE65" s="90"/>
      <c r="AF65" s="90"/>
      <c r="AG65" s="90">
        <v>64</v>
      </c>
      <c r="AH65" s="90" t="s">
        <v>1097</v>
      </c>
      <c r="AI65" s="91">
        <f t="shared" si="0"/>
        <v>41365</v>
      </c>
      <c r="AJ65" s="90">
        <f t="shared" si="1"/>
        <v>0</v>
      </c>
      <c r="AK65" s="90">
        <f t="array" ref="AK65">INDEX($P$3:$P$24,MATCH(AM65&amp;YEAR(AI65),$A$3:$A$24&amp;YEAR($B$3:$B$24),0))</f>
        <v>0</v>
      </c>
      <c r="AL65" s="90" t="s">
        <v>1099</v>
      </c>
      <c r="AM65" s="90" t="str">
        <f t="shared" si="2"/>
        <v>Taxpayer Assd Use Tax Accrual (313-98)</v>
      </c>
    </row>
    <row r="66" spans="1:39" ht="15.75" x14ac:dyDescent="0.2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5"/>
      <c r="S66" s="95"/>
      <c r="T66" s="95"/>
      <c r="U66" s="95"/>
      <c r="V66" s="95"/>
      <c r="W66" s="95"/>
      <c r="X66" s="95"/>
      <c r="Y66" s="90"/>
      <c r="Z66" s="90"/>
      <c r="AA66" s="90"/>
      <c r="AB66" s="90"/>
      <c r="AC66" s="90"/>
      <c r="AD66" s="90"/>
      <c r="AE66" s="90"/>
      <c r="AF66" s="90"/>
      <c r="AG66" s="90">
        <v>65</v>
      </c>
      <c r="AH66" s="90" t="s">
        <v>1097</v>
      </c>
      <c r="AI66" s="91">
        <f t="shared" ref="AI66:AI129" si="14">DATE(YEAR(INDEX($B$2:$N$24,INT((AG66+11)/12)+1,1)),IF(MOD(AG66,12)&lt;&gt;0,MOD(AG66,12),12),1)</f>
        <v>41395</v>
      </c>
      <c r="AJ66" s="90">
        <f t="shared" ref="AJ66:AJ129" si="15">INDEX($C$3:$N$24,INT((AG66+11)/12),AG66-(12*(INT((AG66+11)/12)-1)))</f>
        <v>0</v>
      </c>
      <c r="AK66" s="90">
        <f t="array" ref="AK66">INDEX($P$3:$P$24,MATCH(AM66&amp;YEAR(AI66),$A$3:$A$24&amp;YEAR($B$3:$B$24),0))</f>
        <v>0</v>
      </c>
      <c r="AL66" s="90" t="s">
        <v>1099</v>
      </c>
      <c r="AM66" s="90" t="str">
        <f t="shared" ref="AM66:AM129" si="16">INDEX($A$3:$A$24,INT((AG66+11)/12))</f>
        <v>Taxpayer Assd Use Tax Accrual (313-98)</v>
      </c>
    </row>
    <row r="67" spans="1:39" ht="15.75" x14ac:dyDescent="0.2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5"/>
      <c r="S67" s="95"/>
      <c r="T67" s="95"/>
      <c r="U67" s="95"/>
      <c r="V67" s="95"/>
      <c r="W67" s="95"/>
      <c r="X67" s="95"/>
      <c r="Y67" s="90"/>
      <c r="Z67" s="90"/>
      <c r="AA67" s="90"/>
      <c r="AB67" s="90"/>
      <c r="AC67" s="90"/>
      <c r="AD67" s="90"/>
      <c r="AE67" s="90"/>
      <c r="AF67" s="90"/>
      <c r="AG67" s="90">
        <v>66</v>
      </c>
      <c r="AH67" s="90" t="s">
        <v>1097</v>
      </c>
      <c r="AI67" s="91">
        <f t="shared" si="14"/>
        <v>41426</v>
      </c>
      <c r="AJ67" s="90">
        <f t="shared" si="15"/>
        <v>0</v>
      </c>
      <c r="AK67" s="90">
        <f t="array" ref="AK67">INDEX($P$3:$P$24,MATCH(AM67&amp;YEAR(AI67),$A$3:$A$24&amp;YEAR($B$3:$B$24),0))</f>
        <v>0</v>
      </c>
      <c r="AL67" s="90" t="s">
        <v>1099</v>
      </c>
      <c r="AM67" s="90" t="str">
        <f t="shared" si="16"/>
        <v>Taxpayer Assd Use Tax Accrual (313-98)</v>
      </c>
    </row>
    <row r="68" spans="1:39" ht="15.75" x14ac:dyDescent="0.2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5"/>
      <c r="S68" s="95"/>
      <c r="T68" s="95"/>
      <c r="U68" s="95"/>
      <c r="V68" s="95"/>
      <c r="W68" s="95"/>
      <c r="X68" s="95"/>
      <c r="Y68" s="90"/>
      <c r="Z68" s="90"/>
      <c r="AA68" s="90"/>
      <c r="AB68" s="90"/>
      <c r="AC68" s="90"/>
      <c r="AD68" s="90"/>
      <c r="AE68" s="90"/>
      <c r="AF68" s="90"/>
      <c r="AG68" s="90">
        <v>67</v>
      </c>
      <c r="AH68" s="90" t="s">
        <v>1097</v>
      </c>
      <c r="AI68" s="91">
        <f t="shared" si="14"/>
        <v>41456</v>
      </c>
      <c r="AJ68" s="90">
        <f t="shared" si="15"/>
        <v>0</v>
      </c>
      <c r="AK68" s="90">
        <f t="array" ref="AK68">INDEX($P$3:$P$24,MATCH(AM68&amp;YEAR(AI68),$A$3:$A$24&amp;YEAR($B$3:$B$24),0))</f>
        <v>0</v>
      </c>
      <c r="AL68" s="90" t="s">
        <v>1099</v>
      </c>
      <c r="AM68" s="90" t="str">
        <f t="shared" si="16"/>
        <v>Taxpayer Assd Use Tax Accrual (313-98)</v>
      </c>
    </row>
    <row r="69" spans="1:39" ht="15.75" x14ac:dyDescent="0.2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5"/>
      <c r="S69" s="95"/>
      <c r="T69" s="95"/>
      <c r="U69" s="95"/>
      <c r="V69" s="95"/>
      <c r="W69" s="95"/>
      <c r="X69" s="95"/>
      <c r="Y69" s="90"/>
      <c r="Z69" s="90"/>
      <c r="AA69" s="90"/>
      <c r="AB69" s="90"/>
      <c r="AC69" s="90"/>
      <c r="AD69" s="90"/>
      <c r="AE69" s="90"/>
      <c r="AF69" s="90"/>
      <c r="AG69" s="90">
        <v>68</v>
      </c>
      <c r="AH69" s="90" t="s">
        <v>1097</v>
      </c>
      <c r="AI69" s="91">
        <f t="shared" si="14"/>
        <v>41487</v>
      </c>
      <c r="AJ69" s="90">
        <f t="shared" si="15"/>
        <v>0</v>
      </c>
      <c r="AK69" s="90">
        <f t="array" ref="AK69">INDEX($P$3:$P$24,MATCH(AM69&amp;YEAR(AI69),$A$3:$A$24&amp;YEAR($B$3:$B$24),0))</f>
        <v>0</v>
      </c>
      <c r="AL69" s="90" t="s">
        <v>1099</v>
      </c>
      <c r="AM69" s="90" t="str">
        <f t="shared" si="16"/>
        <v>Taxpayer Assd Use Tax Accrual (313-98)</v>
      </c>
    </row>
    <row r="70" spans="1:39" ht="15.75" x14ac:dyDescent="0.2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5"/>
      <c r="S70" s="95"/>
      <c r="T70" s="95"/>
      <c r="U70" s="95"/>
      <c r="V70" s="95"/>
      <c r="W70" s="95"/>
      <c r="X70" s="95"/>
      <c r="Y70" s="90"/>
      <c r="Z70" s="90"/>
      <c r="AA70" s="90"/>
      <c r="AB70" s="90"/>
      <c r="AC70" s="90"/>
      <c r="AD70" s="90"/>
      <c r="AE70" s="90"/>
      <c r="AF70" s="90"/>
      <c r="AG70" s="90">
        <v>69</v>
      </c>
      <c r="AH70" s="90" t="s">
        <v>1097</v>
      </c>
      <c r="AI70" s="91">
        <f t="shared" si="14"/>
        <v>41518</v>
      </c>
      <c r="AJ70" s="90">
        <f t="shared" si="15"/>
        <v>0</v>
      </c>
      <c r="AK70" s="90">
        <f t="array" ref="AK70">INDEX($P$3:$P$24,MATCH(AM70&amp;YEAR(AI70),$A$3:$A$24&amp;YEAR($B$3:$B$24),0))</f>
        <v>0</v>
      </c>
      <c r="AL70" s="90" t="s">
        <v>1099</v>
      </c>
      <c r="AM70" s="90" t="str">
        <f t="shared" si="16"/>
        <v>Taxpayer Assd Use Tax Accrual (313-98)</v>
      </c>
    </row>
    <row r="71" spans="1:39" ht="15.75" x14ac:dyDescent="0.2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5"/>
      <c r="S71" s="95"/>
      <c r="T71" s="95"/>
      <c r="U71" s="95"/>
      <c r="V71" s="95"/>
      <c r="W71" s="95"/>
      <c r="X71" s="95"/>
      <c r="Y71" s="90"/>
      <c r="Z71" s="90"/>
      <c r="AA71" s="90"/>
      <c r="AB71" s="90"/>
      <c r="AC71" s="90"/>
      <c r="AD71" s="90"/>
      <c r="AE71" s="90"/>
      <c r="AF71" s="90"/>
      <c r="AG71" s="90">
        <v>70</v>
      </c>
      <c r="AH71" s="90" t="s">
        <v>1097</v>
      </c>
      <c r="AI71" s="91">
        <f t="shared" si="14"/>
        <v>41548</v>
      </c>
      <c r="AJ71" s="90">
        <f t="shared" si="15"/>
        <v>0</v>
      </c>
      <c r="AK71" s="90">
        <f t="array" ref="AK71">INDEX($P$3:$P$24,MATCH(AM71&amp;YEAR(AI71),$A$3:$A$24&amp;YEAR($B$3:$B$24),0))</f>
        <v>0</v>
      </c>
      <c r="AL71" s="90" t="s">
        <v>1099</v>
      </c>
      <c r="AM71" s="90" t="str">
        <f t="shared" si="16"/>
        <v>Taxpayer Assd Use Tax Accrual (313-98)</v>
      </c>
    </row>
    <row r="72" spans="1:39" ht="15.75" x14ac:dyDescent="0.2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5"/>
      <c r="S72" s="95"/>
      <c r="T72" s="95"/>
      <c r="U72" s="95"/>
      <c r="V72" s="95"/>
      <c r="W72" s="95"/>
      <c r="X72" s="95"/>
      <c r="Y72" s="90"/>
      <c r="Z72" s="90"/>
      <c r="AA72" s="90"/>
      <c r="AB72" s="90"/>
      <c r="AC72" s="90"/>
      <c r="AD72" s="90"/>
      <c r="AE72" s="90"/>
      <c r="AF72" s="90"/>
      <c r="AG72" s="90">
        <v>71</v>
      </c>
      <c r="AH72" s="90" t="s">
        <v>1097</v>
      </c>
      <c r="AI72" s="91">
        <f t="shared" si="14"/>
        <v>41579</v>
      </c>
      <c r="AJ72" s="90">
        <f t="shared" si="15"/>
        <v>0</v>
      </c>
      <c r="AK72" s="90">
        <f t="array" ref="AK72">INDEX($P$3:$P$24,MATCH(AM72&amp;YEAR(AI72),$A$3:$A$24&amp;YEAR($B$3:$B$24),0))</f>
        <v>0</v>
      </c>
      <c r="AL72" s="90" t="s">
        <v>1099</v>
      </c>
      <c r="AM72" s="90" t="str">
        <f t="shared" si="16"/>
        <v>Taxpayer Assd Use Tax Accrual (313-98)</v>
      </c>
    </row>
    <row r="73" spans="1:39" ht="15.75" x14ac:dyDescent="0.2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5"/>
      <c r="S73" s="95"/>
      <c r="T73" s="95"/>
      <c r="U73" s="95"/>
      <c r="V73" s="95"/>
      <c r="W73" s="95"/>
      <c r="X73" s="95"/>
      <c r="Y73" s="90"/>
      <c r="Z73" s="90"/>
      <c r="AA73" s="90"/>
      <c r="AB73" s="90"/>
      <c r="AC73" s="90"/>
      <c r="AD73" s="90"/>
      <c r="AE73" s="90"/>
      <c r="AF73" s="90"/>
      <c r="AG73" s="90">
        <v>72</v>
      </c>
      <c r="AH73" s="90" t="s">
        <v>1097</v>
      </c>
      <c r="AI73" s="91">
        <f t="shared" si="14"/>
        <v>41609</v>
      </c>
      <c r="AJ73" s="90">
        <f t="shared" si="15"/>
        <v>0</v>
      </c>
      <c r="AK73" s="90">
        <f t="array" ref="AK73">INDEX($P$3:$P$24,MATCH(AM73&amp;YEAR(AI73),$A$3:$A$24&amp;YEAR($B$3:$B$24),0))</f>
        <v>0</v>
      </c>
      <c r="AL73" s="90" t="s">
        <v>1099</v>
      </c>
      <c r="AM73" s="90" t="str">
        <f t="shared" si="16"/>
        <v>Taxpayer Assd Use Tax Accrual (313-98)</v>
      </c>
    </row>
    <row r="74" spans="1:39" ht="15.75" x14ac:dyDescent="0.2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5"/>
      <c r="S74" s="95"/>
      <c r="T74" s="95"/>
      <c r="U74" s="95"/>
      <c r="V74" s="95"/>
      <c r="W74" s="95"/>
      <c r="X74" s="95"/>
      <c r="Y74" s="90"/>
      <c r="Z74" s="90"/>
      <c r="AA74" s="90"/>
      <c r="AB74" s="90"/>
      <c r="AC74" s="90"/>
      <c r="AD74" s="90"/>
      <c r="AE74" s="90"/>
      <c r="AF74" s="90"/>
      <c r="AG74" s="90">
        <v>73</v>
      </c>
      <c r="AH74" s="90" t="s">
        <v>1097</v>
      </c>
      <c r="AI74" s="91">
        <f t="shared" si="14"/>
        <v>40909</v>
      </c>
      <c r="AJ74" s="90">
        <f t="shared" si="15"/>
        <v>0</v>
      </c>
      <c r="AK74" s="90">
        <f t="array" ref="AK74">INDEX($P$3:$P$24,MATCH(AM74&amp;YEAR(AI74),$A$3:$A$24&amp;YEAR($B$3:$B$24),0))</f>
        <v>0</v>
      </c>
      <c r="AL74" s="90" t="s">
        <v>1099</v>
      </c>
      <c r="AM74" s="90" t="str">
        <f t="shared" si="16"/>
        <v>Taxpayer Assd Sales Tax Accrual (313-99)</v>
      </c>
    </row>
    <row r="75" spans="1:39" ht="15.75" x14ac:dyDescent="0.2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5"/>
      <c r="S75" s="95"/>
      <c r="T75" s="95"/>
      <c r="U75" s="95"/>
      <c r="V75" s="95"/>
      <c r="W75" s="95"/>
      <c r="X75" s="95"/>
      <c r="Y75" s="90"/>
      <c r="Z75" s="90"/>
      <c r="AA75" s="90"/>
      <c r="AB75" s="90"/>
      <c r="AC75" s="90"/>
      <c r="AD75" s="90"/>
      <c r="AE75" s="90"/>
      <c r="AF75" s="90"/>
      <c r="AG75" s="90">
        <v>74</v>
      </c>
      <c r="AH75" s="90" t="s">
        <v>1097</v>
      </c>
      <c r="AI75" s="91">
        <f t="shared" si="14"/>
        <v>40940</v>
      </c>
      <c r="AJ75" s="90">
        <f t="shared" si="15"/>
        <v>0</v>
      </c>
      <c r="AK75" s="90">
        <f t="array" ref="AK75">INDEX($P$3:$P$24,MATCH(AM75&amp;YEAR(AI75),$A$3:$A$24&amp;YEAR($B$3:$B$24),0))</f>
        <v>0</v>
      </c>
      <c r="AL75" s="90" t="s">
        <v>1099</v>
      </c>
      <c r="AM75" s="90" t="str">
        <f t="shared" si="16"/>
        <v>Taxpayer Assd Sales Tax Accrual (313-99)</v>
      </c>
    </row>
    <row r="76" spans="1:39" ht="15.75" x14ac:dyDescent="0.2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5"/>
      <c r="S76" s="95"/>
      <c r="T76" s="95"/>
      <c r="U76" s="95"/>
      <c r="V76" s="95"/>
      <c r="W76" s="95"/>
      <c r="X76" s="95"/>
      <c r="Y76" s="90"/>
      <c r="Z76" s="90"/>
      <c r="AA76" s="90"/>
      <c r="AB76" s="90"/>
      <c r="AC76" s="90"/>
      <c r="AD76" s="90"/>
      <c r="AE76" s="90"/>
      <c r="AF76" s="90"/>
      <c r="AG76" s="90">
        <v>75</v>
      </c>
      <c r="AH76" s="90" t="s">
        <v>1097</v>
      </c>
      <c r="AI76" s="91">
        <f t="shared" si="14"/>
        <v>40969</v>
      </c>
      <c r="AJ76" s="90">
        <f t="shared" si="15"/>
        <v>0</v>
      </c>
      <c r="AK76" s="90">
        <f t="array" ref="AK76">INDEX($P$3:$P$24,MATCH(AM76&amp;YEAR(AI76),$A$3:$A$24&amp;YEAR($B$3:$B$24),0))</f>
        <v>0</v>
      </c>
      <c r="AL76" s="90" t="s">
        <v>1099</v>
      </c>
      <c r="AM76" s="90" t="str">
        <f t="shared" si="16"/>
        <v>Taxpayer Assd Sales Tax Accrual (313-99)</v>
      </c>
    </row>
    <row r="77" spans="1:39" ht="15.75" x14ac:dyDescent="0.2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5"/>
      <c r="S77" s="95"/>
      <c r="T77" s="95"/>
      <c r="U77" s="95"/>
      <c r="V77" s="95"/>
      <c r="W77" s="95"/>
      <c r="X77" s="95"/>
      <c r="Y77" s="90"/>
      <c r="Z77" s="90"/>
      <c r="AA77" s="90"/>
      <c r="AB77" s="90"/>
      <c r="AC77" s="90"/>
      <c r="AD77" s="90"/>
      <c r="AE77" s="90"/>
      <c r="AF77" s="90"/>
      <c r="AG77" s="90">
        <v>76</v>
      </c>
      <c r="AH77" s="90" t="s">
        <v>1097</v>
      </c>
      <c r="AI77" s="91">
        <f t="shared" si="14"/>
        <v>41000</v>
      </c>
      <c r="AJ77" s="90">
        <f t="shared" si="15"/>
        <v>0</v>
      </c>
      <c r="AK77" s="90">
        <f t="array" ref="AK77">INDEX($P$3:$P$24,MATCH(AM77&amp;YEAR(AI77),$A$3:$A$24&amp;YEAR($B$3:$B$24),0))</f>
        <v>0</v>
      </c>
      <c r="AL77" s="90" t="s">
        <v>1099</v>
      </c>
      <c r="AM77" s="90" t="str">
        <f t="shared" si="16"/>
        <v>Taxpayer Assd Sales Tax Accrual (313-99)</v>
      </c>
    </row>
    <row r="78" spans="1:39" ht="15.75" x14ac:dyDescent="0.2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5"/>
      <c r="S78" s="95"/>
      <c r="T78" s="95"/>
      <c r="U78" s="95"/>
      <c r="V78" s="95"/>
      <c r="W78" s="95"/>
      <c r="X78" s="95"/>
      <c r="Y78" s="90"/>
      <c r="Z78" s="90"/>
      <c r="AA78" s="90"/>
      <c r="AB78" s="90"/>
      <c r="AC78" s="90"/>
      <c r="AD78" s="90"/>
      <c r="AE78" s="90"/>
      <c r="AF78" s="90"/>
      <c r="AG78" s="90">
        <v>77</v>
      </c>
      <c r="AH78" s="90" t="s">
        <v>1097</v>
      </c>
      <c r="AI78" s="91">
        <f t="shared" si="14"/>
        <v>41030</v>
      </c>
      <c r="AJ78" s="90">
        <f t="shared" si="15"/>
        <v>0</v>
      </c>
      <c r="AK78" s="90">
        <f t="array" ref="AK78">INDEX($P$3:$P$24,MATCH(AM78&amp;YEAR(AI78),$A$3:$A$24&amp;YEAR($B$3:$B$24),0))</f>
        <v>0</v>
      </c>
      <c r="AL78" s="90" t="s">
        <v>1099</v>
      </c>
      <c r="AM78" s="90" t="str">
        <f t="shared" si="16"/>
        <v>Taxpayer Assd Sales Tax Accrual (313-99)</v>
      </c>
    </row>
    <row r="79" spans="1:39" ht="15.75" x14ac:dyDescent="0.2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5"/>
      <c r="S79" s="95"/>
      <c r="T79" s="95"/>
      <c r="U79" s="95"/>
      <c r="V79" s="95"/>
      <c r="W79" s="95"/>
      <c r="X79" s="95"/>
      <c r="Y79" s="90"/>
      <c r="Z79" s="90"/>
      <c r="AA79" s="90"/>
      <c r="AB79" s="90"/>
      <c r="AC79" s="90"/>
      <c r="AD79" s="90"/>
      <c r="AE79" s="90"/>
      <c r="AF79" s="90"/>
      <c r="AG79" s="90">
        <v>78</v>
      </c>
      <c r="AH79" s="90" t="s">
        <v>1097</v>
      </c>
      <c r="AI79" s="91">
        <f t="shared" si="14"/>
        <v>41061</v>
      </c>
      <c r="AJ79" s="90">
        <f t="shared" si="15"/>
        <v>0</v>
      </c>
      <c r="AK79" s="90">
        <f t="array" ref="AK79">INDEX($P$3:$P$24,MATCH(AM79&amp;YEAR(AI79),$A$3:$A$24&amp;YEAR($B$3:$B$24),0))</f>
        <v>0</v>
      </c>
      <c r="AL79" s="90" t="s">
        <v>1099</v>
      </c>
      <c r="AM79" s="90" t="str">
        <f t="shared" si="16"/>
        <v>Taxpayer Assd Sales Tax Accrual (313-99)</v>
      </c>
    </row>
    <row r="80" spans="1:39" ht="15.75" x14ac:dyDescent="0.2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5"/>
      <c r="S80" s="95"/>
      <c r="T80" s="95"/>
      <c r="U80" s="95"/>
      <c r="V80" s="95"/>
      <c r="W80" s="95"/>
      <c r="X80" s="95"/>
      <c r="Y80" s="90"/>
      <c r="Z80" s="90"/>
      <c r="AA80" s="90"/>
      <c r="AB80" s="90"/>
      <c r="AC80" s="90"/>
      <c r="AD80" s="90"/>
      <c r="AE80" s="90"/>
      <c r="AF80" s="90"/>
      <c r="AG80" s="90">
        <v>79</v>
      </c>
      <c r="AH80" s="90" t="s">
        <v>1097</v>
      </c>
      <c r="AI80" s="91">
        <f t="shared" si="14"/>
        <v>41091</v>
      </c>
      <c r="AJ80" s="90">
        <f t="shared" si="15"/>
        <v>0</v>
      </c>
      <c r="AK80" s="90">
        <f t="array" ref="AK80">INDEX($P$3:$P$24,MATCH(AM80&amp;YEAR(AI80),$A$3:$A$24&amp;YEAR($B$3:$B$24),0))</f>
        <v>0</v>
      </c>
      <c r="AL80" s="90" t="s">
        <v>1099</v>
      </c>
      <c r="AM80" s="90" t="str">
        <f t="shared" si="16"/>
        <v>Taxpayer Assd Sales Tax Accrual (313-99)</v>
      </c>
    </row>
    <row r="81" spans="1:39" ht="15.75" x14ac:dyDescent="0.2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5"/>
      <c r="S81" s="95"/>
      <c r="T81" s="95"/>
      <c r="U81" s="95"/>
      <c r="V81" s="95"/>
      <c r="W81" s="95"/>
      <c r="X81" s="95"/>
      <c r="Y81" s="90"/>
      <c r="Z81" s="90"/>
      <c r="AA81" s="90"/>
      <c r="AB81" s="90"/>
      <c r="AC81" s="90"/>
      <c r="AD81" s="90"/>
      <c r="AE81" s="90"/>
      <c r="AF81" s="90"/>
      <c r="AG81" s="90">
        <v>80</v>
      </c>
      <c r="AH81" s="90" t="s">
        <v>1097</v>
      </c>
      <c r="AI81" s="91">
        <f t="shared" si="14"/>
        <v>41122</v>
      </c>
      <c r="AJ81" s="90">
        <f t="shared" si="15"/>
        <v>0</v>
      </c>
      <c r="AK81" s="90">
        <f t="array" ref="AK81">INDEX($P$3:$P$24,MATCH(AM81&amp;YEAR(AI81),$A$3:$A$24&amp;YEAR($B$3:$B$24),0))</f>
        <v>0</v>
      </c>
      <c r="AL81" s="90" t="s">
        <v>1099</v>
      </c>
      <c r="AM81" s="90" t="str">
        <f t="shared" si="16"/>
        <v>Taxpayer Assd Sales Tax Accrual (313-99)</v>
      </c>
    </row>
    <row r="82" spans="1:39" ht="15.75" x14ac:dyDescent="0.2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5"/>
      <c r="S82" s="95"/>
      <c r="T82" s="95"/>
      <c r="U82" s="95"/>
      <c r="V82" s="95"/>
      <c r="W82" s="95"/>
      <c r="X82" s="95"/>
      <c r="Y82" s="90"/>
      <c r="Z82" s="90"/>
      <c r="AA82" s="90"/>
      <c r="AB82" s="90"/>
      <c r="AC82" s="90"/>
      <c r="AD82" s="90"/>
      <c r="AE82" s="90"/>
      <c r="AF82" s="90"/>
      <c r="AG82" s="90">
        <v>81</v>
      </c>
      <c r="AH82" s="90" t="s">
        <v>1097</v>
      </c>
      <c r="AI82" s="91">
        <f t="shared" si="14"/>
        <v>41153</v>
      </c>
      <c r="AJ82" s="90">
        <f t="shared" si="15"/>
        <v>0</v>
      </c>
      <c r="AK82" s="90">
        <f t="array" ref="AK82">INDEX($P$3:$P$24,MATCH(AM82&amp;YEAR(AI82),$A$3:$A$24&amp;YEAR($B$3:$B$24),0))</f>
        <v>0</v>
      </c>
      <c r="AL82" s="90" t="s">
        <v>1099</v>
      </c>
      <c r="AM82" s="90" t="str">
        <f t="shared" si="16"/>
        <v>Taxpayer Assd Sales Tax Accrual (313-99)</v>
      </c>
    </row>
    <row r="83" spans="1:39" ht="15.75" x14ac:dyDescent="0.2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5"/>
      <c r="S83" s="95"/>
      <c r="T83" s="95"/>
      <c r="U83" s="95"/>
      <c r="V83" s="95"/>
      <c r="W83" s="95"/>
      <c r="X83" s="95"/>
      <c r="Y83" s="90"/>
      <c r="Z83" s="90"/>
      <c r="AA83" s="90"/>
      <c r="AB83" s="90"/>
      <c r="AC83" s="90"/>
      <c r="AD83" s="90"/>
      <c r="AE83" s="90"/>
      <c r="AF83" s="90"/>
      <c r="AG83" s="90">
        <v>82</v>
      </c>
      <c r="AH83" s="90" t="s">
        <v>1097</v>
      </c>
      <c r="AI83" s="91">
        <f t="shared" si="14"/>
        <v>41183</v>
      </c>
      <c r="AJ83" s="90">
        <f t="shared" si="15"/>
        <v>0</v>
      </c>
      <c r="AK83" s="90">
        <f t="array" ref="AK83">INDEX($P$3:$P$24,MATCH(AM83&amp;YEAR(AI83),$A$3:$A$24&amp;YEAR($B$3:$B$24),0))</f>
        <v>0</v>
      </c>
      <c r="AL83" s="90" t="s">
        <v>1099</v>
      </c>
      <c r="AM83" s="90" t="str">
        <f t="shared" si="16"/>
        <v>Taxpayer Assd Sales Tax Accrual (313-99)</v>
      </c>
    </row>
    <row r="84" spans="1:39" ht="15.75" x14ac:dyDescent="0.2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5"/>
      <c r="S84" s="95"/>
      <c r="T84" s="95"/>
      <c r="U84" s="95"/>
      <c r="V84" s="95"/>
      <c r="W84" s="95"/>
      <c r="X84" s="95"/>
      <c r="Y84" s="90"/>
      <c r="Z84" s="90"/>
      <c r="AA84" s="90"/>
      <c r="AB84" s="90"/>
      <c r="AC84" s="90"/>
      <c r="AD84" s="90"/>
      <c r="AE84" s="90"/>
      <c r="AF84" s="90"/>
      <c r="AG84" s="90">
        <v>83</v>
      </c>
      <c r="AH84" s="90" t="s">
        <v>1097</v>
      </c>
      <c r="AI84" s="91">
        <f t="shared" si="14"/>
        <v>41214</v>
      </c>
      <c r="AJ84" s="90">
        <f t="shared" si="15"/>
        <v>0</v>
      </c>
      <c r="AK84" s="90">
        <f t="array" ref="AK84">INDEX($P$3:$P$24,MATCH(AM84&amp;YEAR(AI84),$A$3:$A$24&amp;YEAR($B$3:$B$24),0))</f>
        <v>0</v>
      </c>
      <c r="AL84" s="90" t="s">
        <v>1099</v>
      </c>
      <c r="AM84" s="90" t="str">
        <f t="shared" si="16"/>
        <v>Taxpayer Assd Sales Tax Accrual (313-99)</v>
      </c>
    </row>
    <row r="85" spans="1:39" ht="15.75" x14ac:dyDescent="0.2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5"/>
      <c r="S85" s="95"/>
      <c r="T85" s="95"/>
      <c r="U85" s="95"/>
      <c r="V85" s="95"/>
      <c r="W85" s="95"/>
      <c r="X85" s="95"/>
      <c r="Y85" s="90"/>
      <c r="Z85" s="90"/>
      <c r="AA85" s="90"/>
      <c r="AB85" s="90"/>
      <c r="AC85" s="90"/>
      <c r="AD85" s="90"/>
      <c r="AE85" s="90"/>
      <c r="AF85" s="90"/>
      <c r="AG85" s="90">
        <v>84</v>
      </c>
      <c r="AH85" s="90" t="s">
        <v>1097</v>
      </c>
      <c r="AI85" s="91">
        <f t="shared" si="14"/>
        <v>41244</v>
      </c>
      <c r="AJ85" s="90">
        <f t="shared" si="15"/>
        <v>12617.79</v>
      </c>
      <c r="AK85" s="90">
        <f t="array" ref="AK85">INDEX($P$3:$P$24,MATCH(AM85&amp;YEAR(AI85),$A$3:$A$24&amp;YEAR($B$3:$B$24),0))</f>
        <v>0</v>
      </c>
      <c r="AL85" s="90" t="s">
        <v>1099</v>
      </c>
      <c r="AM85" s="90" t="str">
        <f t="shared" si="16"/>
        <v>Taxpayer Assd Sales Tax Accrual (313-99)</v>
      </c>
    </row>
    <row r="86" spans="1:39" ht="15.75" x14ac:dyDescent="0.2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5"/>
      <c r="S86" s="95"/>
      <c r="T86" s="95"/>
      <c r="U86" s="95"/>
      <c r="V86" s="95"/>
      <c r="W86" s="95"/>
      <c r="X86" s="95"/>
      <c r="Y86" s="90"/>
      <c r="Z86" s="90"/>
      <c r="AA86" s="90"/>
      <c r="AB86" s="90"/>
      <c r="AC86" s="90"/>
      <c r="AD86" s="90"/>
      <c r="AE86" s="90"/>
      <c r="AF86" s="90"/>
      <c r="AG86" s="90">
        <v>85</v>
      </c>
      <c r="AH86" s="90" t="s">
        <v>1097</v>
      </c>
      <c r="AI86" s="91">
        <f t="shared" si="14"/>
        <v>41275</v>
      </c>
      <c r="AJ86" s="90">
        <f t="shared" si="15"/>
        <v>0</v>
      </c>
      <c r="AK86" s="90">
        <f t="array" ref="AK86">INDEX($P$3:$P$24,MATCH(AM86&amp;YEAR(AI86),$A$3:$A$24&amp;YEAR($B$3:$B$24),0))</f>
        <v>0</v>
      </c>
      <c r="AL86" s="90" t="s">
        <v>1099</v>
      </c>
      <c r="AM86" s="90" t="str">
        <f t="shared" si="16"/>
        <v>Taxpayer Assd Sales Tax Accrual (313-99)</v>
      </c>
    </row>
    <row r="87" spans="1:39" ht="15.75" x14ac:dyDescent="0.2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5"/>
      <c r="S87" s="95"/>
      <c r="T87" s="95"/>
      <c r="U87" s="95"/>
      <c r="V87" s="95"/>
      <c r="W87" s="95"/>
      <c r="X87" s="95"/>
      <c r="Y87" s="90"/>
      <c r="Z87" s="90"/>
      <c r="AA87" s="90"/>
      <c r="AB87" s="90"/>
      <c r="AC87" s="90"/>
      <c r="AD87" s="90"/>
      <c r="AE87" s="90"/>
      <c r="AF87" s="90"/>
      <c r="AG87" s="90">
        <v>86</v>
      </c>
      <c r="AH87" s="90" t="s">
        <v>1097</v>
      </c>
      <c r="AI87" s="91">
        <f t="shared" si="14"/>
        <v>41306</v>
      </c>
      <c r="AJ87" s="90">
        <f t="shared" si="15"/>
        <v>0</v>
      </c>
      <c r="AK87" s="90">
        <f t="array" ref="AK87">INDEX($P$3:$P$24,MATCH(AM87&amp;YEAR(AI87),$A$3:$A$24&amp;YEAR($B$3:$B$24),0))</f>
        <v>0</v>
      </c>
      <c r="AL87" s="90" t="s">
        <v>1099</v>
      </c>
      <c r="AM87" s="90" t="str">
        <f t="shared" si="16"/>
        <v>Taxpayer Assd Sales Tax Accrual (313-99)</v>
      </c>
    </row>
    <row r="88" spans="1:39" ht="15.75" x14ac:dyDescent="0.2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5"/>
      <c r="S88" s="95"/>
      <c r="T88" s="95"/>
      <c r="U88" s="95"/>
      <c r="V88" s="95"/>
      <c r="W88" s="95"/>
      <c r="X88" s="95"/>
      <c r="Y88" s="90"/>
      <c r="Z88" s="90"/>
      <c r="AA88" s="90"/>
      <c r="AB88" s="90"/>
      <c r="AC88" s="90"/>
      <c r="AD88" s="90"/>
      <c r="AE88" s="90"/>
      <c r="AF88" s="90"/>
      <c r="AG88" s="90">
        <v>87</v>
      </c>
      <c r="AH88" s="90" t="s">
        <v>1097</v>
      </c>
      <c r="AI88" s="91">
        <f t="shared" si="14"/>
        <v>41334</v>
      </c>
      <c r="AJ88" s="90">
        <f t="shared" si="15"/>
        <v>0</v>
      </c>
      <c r="AK88" s="90">
        <f t="array" ref="AK88">INDEX($P$3:$P$24,MATCH(AM88&amp;YEAR(AI88),$A$3:$A$24&amp;YEAR($B$3:$B$24),0))</f>
        <v>0</v>
      </c>
      <c r="AL88" s="90" t="s">
        <v>1099</v>
      </c>
      <c r="AM88" s="90" t="str">
        <f t="shared" si="16"/>
        <v>Taxpayer Assd Sales Tax Accrual (313-99)</v>
      </c>
    </row>
    <row r="89" spans="1:39" ht="15.75" x14ac:dyDescent="0.2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5"/>
      <c r="S89" s="95"/>
      <c r="T89" s="95"/>
      <c r="U89" s="95"/>
      <c r="V89" s="95"/>
      <c r="W89" s="95"/>
      <c r="X89" s="95"/>
      <c r="Y89" s="90"/>
      <c r="Z89" s="90"/>
      <c r="AA89" s="90"/>
      <c r="AB89" s="90"/>
      <c r="AC89" s="90"/>
      <c r="AD89" s="90"/>
      <c r="AE89" s="90"/>
      <c r="AF89" s="90"/>
      <c r="AG89" s="90">
        <v>88</v>
      </c>
      <c r="AH89" s="90" t="s">
        <v>1097</v>
      </c>
      <c r="AI89" s="91">
        <f t="shared" si="14"/>
        <v>41365</v>
      </c>
      <c r="AJ89" s="90">
        <f t="shared" si="15"/>
        <v>0</v>
      </c>
      <c r="AK89" s="90">
        <f t="array" ref="AK89">INDEX($P$3:$P$24,MATCH(AM89&amp;YEAR(AI89),$A$3:$A$24&amp;YEAR($B$3:$B$24),0))</f>
        <v>0</v>
      </c>
      <c r="AL89" s="90" t="s">
        <v>1099</v>
      </c>
      <c r="AM89" s="90" t="str">
        <f t="shared" si="16"/>
        <v>Taxpayer Assd Sales Tax Accrual (313-99)</v>
      </c>
    </row>
    <row r="90" spans="1:39" ht="15.75" x14ac:dyDescent="0.2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5"/>
      <c r="S90" s="95"/>
      <c r="T90" s="95"/>
      <c r="U90" s="95"/>
      <c r="V90" s="95"/>
      <c r="W90" s="95"/>
      <c r="X90" s="95"/>
      <c r="Y90" s="90"/>
      <c r="Z90" s="90"/>
      <c r="AA90" s="90"/>
      <c r="AB90" s="90"/>
      <c r="AC90" s="90"/>
      <c r="AD90" s="90"/>
      <c r="AE90" s="90"/>
      <c r="AF90" s="90"/>
      <c r="AG90" s="90">
        <v>89</v>
      </c>
      <c r="AH90" s="90" t="s">
        <v>1097</v>
      </c>
      <c r="AI90" s="91">
        <f t="shared" si="14"/>
        <v>41395</v>
      </c>
      <c r="AJ90" s="90">
        <f t="shared" si="15"/>
        <v>0</v>
      </c>
      <c r="AK90" s="90">
        <f t="array" ref="AK90">INDEX($P$3:$P$24,MATCH(AM90&amp;YEAR(AI90),$A$3:$A$24&amp;YEAR($B$3:$B$24),0))</f>
        <v>0</v>
      </c>
      <c r="AL90" s="90" t="s">
        <v>1099</v>
      </c>
      <c r="AM90" s="90" t="str">
        <f t="shared" si="16"/>
        <v>Taxpayer Assd Sales Tax Accrual (313-99)</v>
      </c>
    </row>
    <row r="91" spans="1:39" ht="15.75" x14ac:dyDescent="0.2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5"/>
      <c r="S91" s="95"/>
      <c r="T91" s="95"/>
      <c r="U91" s="95"/>
      <c r="V91" s="95"/>
      <c r="W91" s="95"/>
      <c r="X91" s="95"/>
      <c r="Y91" s="90"/>
      <c r="Z91" s="90"/>
      <c r="AA91" s="90"/>
      <c r="AB91" s="90"/>
      <c r="AC91" s="90"/>
      <c r="AD91" s="90"/>
      <c r="AE91" s="90"/>
      <c r="AF91" s="90"/>
      <c r="AG91" s="90">
        <v>90</v>
      </c>
      <c r="AH91" s="90" t="s">
        <v>1097</v>
      </c>
      <c r="AI91" s="91">
        <f t="shared" si="14"/>
        <v>41426</v>
      </c>
      <c r="AJ91" s="90">
        <f t="shared" si="15"/>
        <v>0</v>
      </c>
      <c r="AK91" s="90">
        <f t="array" ref="AK91">INDEX($P$3:$P$24,MATCH(AM91&amp;YEAR(AI91),$A$3:$A$24&amp;YEAR($B$3:$B$24),0))</f>
        <v>0</v>
      </c>
      <c r="AL91" s="90" t="s">
        <v>1099</v>
      </c>
      <c r="AM91" s="90" t="str">
        <f t="shared" si="16"/>
        <v>Taxpayer Assd Sales Tax Accrual (313-99)</v>
      </c>
    </row>
    <row r="92" spans="1:39" ht="15.75" x14ac:dyDescent="0.2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5"/>
      <c r="S92" s="95"/>
      <c r="T92" s="95"/>
      <c r="U92" s="95"/>
      <c r="V92" s="95"/>
      <c r="W92" s="95"/>
      <c r="X92" s="95"/>
      <c r="Y92" s="90"/>
      <c r="Z92" s="90"/>
      <c r="AA92" s="90"/>
      <c r="AB92" s="90"/>
      <c r="AC92" s="90"/>
      <c r="AD92" s="90"/>
      <c r="AE92" s="90"/>
      <c r="AF92" s="90"/>
      <c r="AG92" s="90">
        <v>91</v>
      </c>
      <c r="AH92" s="90" t="s">
        <v>1097</v>
      </c>
      <c r="AI92" s="91">
        <f t="shared" si="14"/>
        <v>41456</v>
      </c>
      <c r="AJ92" s="90">
        <f t="shared" si="15"/>
        <v>0</v>
      </c>
      <c r="AK92" s="90">
        <f t="array" ref="AK92">INDEX($P$3:$P$24,MATCH(AM92&amp;YEAR(AI92),$A$3:$A$24&amp;YEAR($B$3:$B$24),0))</f>
        <v>0</v>
      </c>
      <c r="AL92" s="90" t="s">
        <v>1099</v>
      </c>
      <c r="AM92" s="90" t="str">
        <f t="shared" si="16"/>
        <v>Taxpayer Assd Sales Tax Accrual (313-99)</v>
      </c>
    </row>
    <row r="93" spans="1:39" ht="15.75" x14ac:dyDescent="0.2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5"/>
      <c r="S93" s="95"/>
      <c r="T93" s="95"/>
      <c r="U93" s="95"/>
      <c r="V93" s="95"/>
      <c r="W93" s="95"/>
      <c r="X93" s="95"/>
      <c r="Y93" s="90"/>
      <c r="Z93" s="90"/>
      <c r="AA93" s="90"/>
      <c r="AB93" s="90"/>
      <c r="AC93" s="90"/>
      <c r="AD93" s="90"/>
      <c r="AE93" s="90"/>
      <c r="AF93" s="90"/>
      <c r="AG93" s="90">
        <v>92</v>
      </c>
      <c r="AH93" s="90" t="s">
        <v>1097</v>
      </c>
      <c r="AI93" s="91">
        <f t="shared" si="14"/>
        <v>41487</v>
      </c>
      <c r="AJ93" s="90">
        <f t="shared" si="15"/>
        <v>0</v>
      </c>
      <c r="AK93" s="90">
        <f t="array" ref="AK93">INDEX($P$3:$P$24,MATCH(AM93&amp;YEAR(AI93),$A$3:$A$24&amp;YEAR($B$3:$B$24),0))</f>
        <v>0</v>
      </c>
      <c r="AL93" s="90" t="s">
        <v>1099</v>
      </c>
      <c r="AM93" s="90" t="str">
        <f t="shared" si="16"/>
        <v>Taxpayer Assd Sales Tax Accrual (313-99)</v>
      </c>
    </row>
    <row r="94" spans="1:39" ht="15.75" x14ac:dyDescent="0.2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5"/>
      <c r="S94" s="95"/>
      <c r="T94" s="95"/>
      <c r="U94" s="95"/>
      <c r="V94" s="95"/>
      <c r="W94" s="95"/>
      <c r="X94" s="95"/>
      <c r="Y94" s="90"/>
      <c r="Z94" s="90"/>
      <c r="AA94" s="90"/>
      <c r="AB94" s="90"/>
      <c r="AC94" s="90"/>
      <c r="AD94" s="90"/>
      <c r="AE94" s="90"/>
      <c r="AF94" s="90"/>
      <c r="AG94" s="90">
        <v>93</v>
      </c>
      <c r="AH94" s="90" t="s">
        <v>1097</v>
      </c>
      <c r="AI94" s="91">
        <f t="shared" si="14"/>
        <v>41518</v>
      </c>
      <c r="AJ94" s="90">
        <f t="shared" si="15"/>
        <v>0</v>
      </c>
      <c r="AK94" s="90">
        <f t="array" ref="AK94">INDEX($P$3:$P$24,MATCH(AM94&amp;YEAR(AI94),$A$3:$A$24&amp;YEAR($B$3:$B$24),0))</f>
        <v>0</v>
      </c>
      <c r="AL94" s="90" t="s">
        <v>1099</v>
      </c>
      <c r="AM94" s="90" t="str">
        <f t="shared" si="16"/>
        <v>Taxpayer Assd Sales Tax Accrual (313-99)</v>
      </c>
    </row>
    <row r="95" spans="1:39" ht="15.75" x14ac:dyDescent="0.2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5"/>
      <c r="S95" s="95"/>
      <c r="T95" s="95"/>
      <c r="U95" s="95"/>
      <c r="V95" s="95"/>
      <c r="W95" s="95"/>
      <c r="X95" s="95"/>
      <c r="Y95" s="90"/>
      <c r="Z95" s="90"/>
      <c r="AA95" s="90"/>
      <c r="AB95" s="90"/>
      <c r="AC95" s="90"/>
      <c r="AD95" s="90"/>
      <c r="AE95" s="90"/>
      <c r="AF95" s="90"/>
      <c r="AG95" s="90">
        <v>94</v>
      </c>
      <c r="AH95" s="90" t="s">
        <v>1097</v>
      </c>
      <c r="AI95" s="91">
        <f t="shared" si="14"/>
        <v>41548</v>
      </c>
      <c r="AJ95" s="90">
        <f t="shared" si="15"/>
        <v>0</v>
      </c>
      <c r="AK95" s="90">
        <f t="array" ref="AK95">INDEX($P$3:$P$24,MATCH(AM95&amp;YEAR(AI95),$A$3:$A$24&amp;YEAR($B$3:$B$24),0))</f>
        <v>0</v>
      </c>
      <c r="AL95" s="90" t="s">
        <v>1099</v>
      </c>
      <c r="AM95" s="90" t="str">
        <f t="shared" si="16"/>
        <v>Taxpayer Assd Sales Tax Accrual (313-99)</v>
      </c>
    </row>
    <row r="96" spans="1:39" ht="15.75" x14ac:dyDescent="0.2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5"/>
      <c r="S96" s="95"/>
      <c r="T96" s="95"/>
      <c r="U96" s="95"/>
      <c r="V96" s="95"/>
      <c r="W96" s="95"/>
      <c r="X96" s="95"/>
      <c r="Y96" s="90"/>
      <c r="Z96" s="90"/>
      <c r="AA96" s="90"/>
      <c r="AB96" s="90"/>
      <c r="AC96" s="90"/>
      <c r="AD96" s="90"/>
      <c r="AE96" s="90"/>
      <c r="AF96" s="90"/>
      <c r="AG96" s="90">
        <v>95</v>
      </c>
      <c r="AH96" s="90" t="s">
        <v>1097</v>
      </c>
      <c r="AI96" s="91">
        <f t="shared" si="14"/>
        <v>41579</v>
      </c>
      <c r="AJ96" s="90">
        <f t="shared" si="15"/>
        <v>0</v>
      </c>
      <c r="AK96" s="90">
        <f t="array" ref="AK96">INDEX($P$3:$P$24,MATCH(AM96&amp;YEAR(AI96),$A$3:$A$24&amp;YEAR($B$3:$B$24),0))</f>
        <v>0</v>
      </c>
      <c r="AL96" s="90" t="s">
        <v>1099</v>
      </c>
      <c r="AM96" s="90" t="str">
        <f t="shared" si="16"/>
        <v>Taxpayer Assd Sales Tax Accrual (313-99)</v>
      </c>
    </row>
    <row r="97" spans="1:39" ht="15.75" x14ac:dyDescent="0.2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5"/>
      <c r="S97" s="95"/>
      <c r="T97" s="95"/>
      <c r="U97" s="95"/>
      <c r="V97" s="95"/>
      <c r="W97" s="95"/>
      <c r="X97" s="95"/>
      <c r="Y97" s="90"/>
      <c r="Z97" s="90"/>
      <c r="AA97" s="90"/>
      <c r="AB97" s="90"/>
      <c r="AC97" s="90"/>
      <c r="AD97" s="90"/>
      <c r="AE97" s="90"/>
      <c r="AF97" s="90"/>
      <c r="AG97" s="90">
        <v>96</v>
      </c>
      <c r="AH97" s="90" t="s">
        <v>1097</v>
      </c>
      <c r="AI97" s="91">
        <f t="shared" si="14"/>
        <v>41609</v>
      </c>
      <c r="AJ97" s="90">
        <f t="shared" si="15"/>
        <v>0</v>
      </c>
      <c r="AK97" s="90">
        <f t="array" ref="AK97">INDEX($P$3:$P$24,MATCH(AM97&amp;YEAR(AI97),$A$3:$A$24&amp;YEAR($B$3:$B$24),0))</f>
        <v>0</v>
      </c>
      <c r="AL97" s="90" t="s">
        <v>1099</v>
      </c>
      <c r="AM97" s="90" t="str">
        <f t="shared" si="16"/>
        <v>Taxpayer Assd Sales Tax Accrual (313-99)</v>
      </c>
    </row>
    <row r="98" spans="1:39" ht="15.75" x14ac:dyDescent="0.2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5"/>
      <c r="S98" s="95"/>
      <c r="T98" s="95"/>
      <c r="U98" s="95"/>
      <c r="V98" s="95"/>
      <c r="W98" s="95"/>
      <c r="X98" s="95"/>
      <c r="Y98" s="90"/>
      <c r="Z98" s="90"/>
      <c r="AA98" s="90"/>
      <c r="AB98" s="90"/>
      <c r="AC98" s="90"/>
      <c r="AD98" s="90"/>
      <c r="AE98" s="90"/>
      <c r="AF98" s="90"/>
      <c r="AG98" s="90">
        <v>97</v>
      </c>
      <c r="AH98" s="90" t="s">
        <v>1097</v>
      </c>
      <c r="AI98" s="91">
        <f t="shared" si="14"/>
        <v>40909</v>
      </c>
      <c r="AJ98" s="90">
        <f t="shared" si="15"/>
        <v>0</v>
      </c>
      <c r="AK98" s="90">
        <f t="array" ref="AK98">INDEX($P$3:$P$24,MATCH(AM98&amp;YEAR(AI98),$A$3:$A$24&amp;YEAR($B$3:$B$24),0))</f>
        <v>0</v>
      </c>
      <c r="AL98" s="90" t="s">
        <v>1099</v>
      </c>
      <c r="AM98" s="90" t="str">
        <f t="shared" si="16"/>
        <v>Intergovernment Revenue (330-**)</v>
      </c>
    </row>
    <row r="99" spans="1:39" ht="15.75" x14ac:dyDescent="0.2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5"/>
      <c r="S99" s="95"/>
      <c r="T99" s="95"/>
      <c r="U99" s="95"/>
      <c r="V99" s="95"/>
      <c r="W99" s="95"/>
      <c r="X99" s="95"/>
      <c r="Y99" s="90"/>
      <c r="Z99" s="90"/>
      <c r="AA99" s="90"/>
      <c r="AB99" s="90"/>
      <c r="AC99" s="90"/>
      <c r="AD99" s="90"/>
      <c r="AE99" s="90"/>
      <c r="AF99" s="90"/>
      <c r="AG99" s="90">
        <v>98</v>
      </c>
      <c r="AH99" s="90" t="s">
        <v>1097</v>
      </c>
      <c r="AI99" s="91">
        <f t="shared" si="14"/>
        <v>40940</v>
      </c>
      <c r="AJ99" s="90">
        <f t="shared" si="15"/>
        <v>0</v>
      </c>
      <c r="AK99" s="90">
        <f t="array" ref="AK99">INDEX($P$3:$P$24,MATCH(AM99&amp;YEAR(AI99),$A$3:$A$24&amp;YEAR($B$3:$B$24),0))</f>
        <v>0</v>
      </c>
      <c r="AL99" s="90" t="s">
        <v>1099</v>
      </c>
      <c r="AM99" s="90" t="str">
        <f t="shared" si="16"/>
        <v>Intergovernment Revenue (330-**)</v>
      </c>
    </row>
    <row r="100" spans="1:39" ht="15.75" x14ac:dyDescent="0.2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5"/>
      <c r="S100" s="95"/>
      <c r="T100" s="95"/>
      <c r="U100" s="95"/>
      <c r="V100" s="95"/>
      <c r="W100" s="95"/>
      <c r="X100" s="95"/>
      <c r="Y100" s="90"/>
      <c r="Z100" s="90"/>
      <c r="AA100" s="90"/>
      <c r="AB100" s="90"/>
      <c r="AC100" s="90"/>
      <c r="AD100" s="90"/>
      <c r="AE100" s="90"/>
      <c r="AF100" s="90"/>
      <c r="AG100" s="90">
        <v>99</v>
      </c>
      <c r="AH100" s="90" t="s">
        <v>1097</v>
      </c>
      <c r="AI100" s="91">
        <f t="shared" si="14"/>
        <v>40969</v>
      </c>
      <c r="AJ100" s="90">
        <f t="shared" si="15"/>
        <v>0</v>
      </c>
      <c r="AK100" s="90">
        <f t="array" ref="AK100">INDEX($P$3:$P$24,MATCH(AM100&amp;YEAR(AI100),$A$3:$A$24&amp;YEAR($B$3:$B$24),0))</f>
        <v>0</v>
      </c>
      <c r="AL100" s="90" t="s">
        <v>1099</v>
      </c>
      <c r="AM100" s="90" t="str">
        <f t="shared" si="16"/>
        <v>Intergovernment Revenue (330-**)</v>
      </c>
    </row>
    <row r="101" spans="1:39" ht="15.75" x14ac:dyDescent="0.2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5"/>
      <c r="S101" s="95"/>
      <c r="T101" s="95"/>
      <c r="U101" s="95"/>
      <c r="V101" s="95"/>
      <c r="W101" s="95"/>
      <c r="X101" s="95"/>
      <c r="Y101" s="90"/>
      <c r="Z101" s="90"/>
      <c r="AA101" s="90"/>
      <c r="AB101" s="90"/>
      <c r="AC101" s="90"/>
      <c r="AD101" s="90"/>
      <c r="AE101" s="90"/>
      <c r="AF101" s="90"/>
      <c r="AG101" s="90">
        <v>100</v>
      </c>
      <c r="AH101" s="90" t="s">
        <v>1097</v>
      </c>
      <c r="AI101" s="91">
        <f t="shared" si="14"/>
        <v>41000</v>
      </c>
      <c r="AJ101" s="90">
        <f t="shared" si="15"/>
        <v>0</v>
      </c>
      <c r="AK101" s="90">
        <f t="array" ref="AK101">INDEX($P$3:$P$24,MATCH(AM101&amp;YEAR(AI101),$A$3:$A$24&amp;YEAR($B$3:$B$24),0))</f>
        <v>0</v>
      </c>
      <c r="AL101" s="90" t="s">
        <v>1099</v>
      </c>
      <c r="AM101" s="90" t="str">
        <f t="shared" si="16"/>
        <v>Intergovernment Revenue (330-**)</v>
      </c>
    </row>
    <row r="102" spans="1:39" ht="15.75" x14ac:dyDescent="0.2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5"/>
      <c r="S102" s="95"/>
      <c r="T102" s="95"/>
      <c r="U102" s="95"/>
      <c r="V102" s="95"/>
      <c r="W102" s="95"/>
      <c r="X102" s="95"/>
      <c r="Y102" s="90"/>
      <c r="Z102" s="90"/>
      <c r="AA102" s="90"/>
      <c r="AB102" s="90"/>
      <c r="AC102" s="90"/>
      <c r="AD102" s="90"/>
      <c r="AE102" s="90"/>
      <c r="AF102" s="90"/>
      <c r="AG102" s="90">
        <v>101</v>
      </c>
      <c r="AH102" s="90" t="s">
        <v>1097</v>
      </c>
      <c r="AI102" s="91">
        <f t="shared" si="14"/>
        <v>41030</v>
      </c>
      <c r="AJ102" s="90">
        <f t="shared" si="15"/>
        <v>0</v>
      </c>
      <c r="AK102" s="90">
        <f t="array" ref="AK102">INDEX($P$3:$P$24,MATCH(AM102&amp;YEAR(AI102),$A$3:$A$24&amp;YEAR($B$3:$B$24),0))</f>
        <v>0</v>
      </c>
      <c r="AL102" s="90" t="s">
        <v>1099</v>
      </c>
      <c r="AM102" s="90" t="str">
        <f t="shared" si="16"/>
        <v>Intergovernment Revenue (330-**)</v>
      </c>
    </row>
    <row r="103" spans="1:39" ht="15.75" x14ac:dyDescent="0.2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5"/>
      <c r="S103" s="95"/>
      <c r="T103" s="95"/>
      <c r="U103" s="95"/>
      <c r="V103" s="95"/>
      <c r="W103" s="95"/>
      <c r="X103" s="95"/>
      <c r="Y103" s="90"/>
      <c r="Z103" s="90"/>
      <c r="AA103" s="90"/>
      <c r="AB103" s="90"/>
      <c r="AC103" s="90"/>
      <c r="AD103" s="90"/>
      <c r="AE103" s="90"/>
      <c r="AF103" s="90"/>
      <c r="AG103" s="90">
        <v>102</v>
      </c>
      <c r="AH103" s="90" t="s">
        <v>1097</v>
      </c>
      <c r="AI103" s="91">
        <f t="shared" si="14"/>
        <v>41061</v>
      </c>
      <c r="AJ103" s="90">
        <f t="shared" si="15"/>
        <v>0</v>
      </c>
      <c r="AK103" s="90">
        <f t="array" ref="AK103">INDEX($P$3:$P$24,MATCH(AM103&amp;YEAR(AI103),$A$3:$A$24&amp;YEAR($B$3:$B$24),0))</f>
        <v>0</v>
      </c>
      <c r="AL103" s="90" t="s">
        <v>1099</v>
      </c>
      <c r="AM103" s="90" t="str">
        <f t="shared" si="16"/>
        <v>Intergovernment Revenue (330-**)</v>
      </c>
    </row>
    <row r="104" spans="1:39" ht="15.75" x14ac:dyDescent="0.2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5"/>
      <c r="S104" s="95"/>
      <c r="T104" s="95"/>
      <c r="U104" s="95"/>
      <c r="V104" s="95"/>
      <c r="W104" s="95"/>
      <c r="X104" s="95"/>
      <c r="Y104" s="90"/>
      <c r="Z104" s="90"/>
      <c r="AA104" s="90"/>
      <c r="AB104" s="90"/>
      <c r="AC104" s="90"/>
      <c r="AD104" s="90"/>
      <c r="AE104" s="90"/>
      <c r="AF104" s="90"/>
      <c r="AG104" s="90">
        <v>103</v>
      </c>
      <c r="AH104" s="90" t="s">
        <v>1097</v>
      </c>
      <c r="AI104" s="91">
        <f t="shared" si="14"/>
        <v>41091</v>
      </c>
      <c r="AJ104" s="90">
        <f t="shared" si="15"/>
        <v>0</v>
      </c>
      <c r="AK104" s="90">
        <f t="array" ref="AK104">INDEX($P$3:$P$24,MATCH(AM104&amp;YEAR(AI104),$A$3:$A$24&amp;YEAR($B$3:$B$24),0))</f>
        <v>0</v>
      </c>
      <c r="AL104" s="90" t="s">
        <v>1099</v>
      </c>
      <c r="AM104" s="90" t="str">
        <f t="shared" si="16"/>
        <v>Intergovernment Revenue (330-**)</v>
      </c>
    </row>
    <row r="105" spans="1:39" ht="15.75" x14ac:dyDescent="0.2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5"/>
      <c r="S105" s="95"/>
      <c r="T105" s="95"/>
      <c r="U105" s="95"/>
      <c r="V105" s="95"/>
      <c r="W105" s="95"/>
      <c r="X105" s="95"/>
      <c r="Y105" s="90"/>
      <c r="Z105" s="90"/>
      <c r="AA105" s="90"/>
      <c r="AB105" s="90"/>
      <c r="AC105" s="90"/>
      <c r="AD105" s="90"/>
      <c r="AE105" s="90"/>
      <c r="AF105" s="90"/>
      <c r="AG105" s="90">
        <v>104</v>
      </c>
      <c r="AH105" s="90" t="s">
        <v>1097</v>
      </c>
      <c r="AI105" s="91">
        <f t="shared" si="14"/>
        <v>41122</v>
      </c>
      <c r="AJ105" s="90">
        <f t="shared" si="15"/>
        <v>0</v>
      </c>
      <c r="AK105" s="90">
        <f t="array" ref="AK105">INDEX($P$3:$P$24,MATCH(AM105&amp;YEAR(AI105),$A$3:$A$24&amp;YEAR($B$3:$B$24),0))</f>
        <v>0</v>
      </c>
      <c r="AL105" s="90" t="s">
        <v>1099</v>
      </c>
      <c r="AM105" s="90" t="str">
        <f t="shared" si="16"/>
        <v>Intergovernment Revenue (330-**)</v>
      </c>
    </row>
    <row r="106" spans="1:39" ht="15.75" x14ac:dyDescent="0.2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5"/>
      <c r="S106" s="95"/>
      <c r="T106" s="95"/>
      <c r="U106" s="95"/>
      <c r="V106" s="95"/>
      <c r="W106" s="95"/>
      <c r="X106" s="95"/>
      <c r="Y106" s="90"/>
      <c r="Z106" s="90"/>
      <c r="AA106" s="90"/>
      <c r="AB106" s="90"/>
      <c r="AC106" s="90"/>
      <c r="AD106" s="90"/>
      <c r="AE106" s="90"/>
      <c r="AF106" s="90"/>
      <c r="AG106" s="90">
        <v>105</v>
      </c>
      <c r="AH106" s="90" t="s">
        <v>1097</v>
      </c>
      <c r="AI106" s="91">
        <f t="shared" si="14"/>
        <v>41153</v>
      </c>
      <c r="AJ106" s="90">
        <f t="shared" si="15"/>
        <v>0</v>
      </c>
      <c r="AK106" s="90">
        <f t="array" ref="AK106">INDEX($P$3:$P$24,MATCH(AM106&amp;YEAR(AI106),$A$3:$A$24&amp;YEAR($B$3:$B$24),0))</f>
        <v>0</v>
      </c>
      <c r="AL106" s="90" t="s">
        <v>1099</v>
      </c>
      <c r="AM106" s="90" t="str">
        <f t="shared" si="16"/>
        <v>Intergovernment Revenue (330-**)</v>
      </c>
    </row>
    <row r="107" spans="1:39" ht="15.75" x14ac:dyDescent="0.2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5"/>
      <c r="S107" s="95"/>
      <c r="T107" s="95"/>
      <c r="U107" s="95"/>
      <c r="V107" s="95"/>
      <c r="W107" s="95"/>
      <c r="X107" s="95"/>
      <c r="Y107" s="90"/>
      <c r="Z107" s="90"/>
      <c r="AA107" s="90"/>
      <c r="AB107" s="90"/>
      <c r="AC107" s="90"/>
      <c r="AD107" s="90"/>
      <c r="AE107" s="90"/>
      <c r="AF107" s="90"/>
      <c r="AG107" s="90">
        <v>106</v>
      </c>
      <c r="AH107" s="90" t="s">
        <v>1097</v>
      </c>
      <c r="AI107" s="91">
        <f t="shared" si="14"/>
        <v>41183</v>
      </c>
      <c r="AJ107" s="90">
        <f t="shared" si="15"/>
        <v>0</v>
      </c>
      <c r="AK107" s="90">
        <f t="array" ref="AK107">INDEX($P$3:$P$24,MATCH(AM107&amp;YEAR(AI107),$A$3:$A$24&amp;YEAR($B$3:$B$24),0))</f>
        <v>0</v>
      </c>
      <c r="AL107" s="90" t="s">
        <v>1099</v>
      </c>
      <c r="AM107" s="90" t="str">
        <f t="shared" si="16"/>
        <v>Intergovernment Revenue (330-**)</v>
      </c>
    </row>
    <row r="108" spans="1:39" ht="15.75" x14ac:dyDescent="0.2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5"/>
      <c r="S108" s="95"/>
      <c r="T108" s="95"/>
      <c r="U108" s="95"/>
      <c r="V108" s="95"/>
      <c r="W108" s="95"/>
      <c r="X108" s="95"/>
      <c r="Y108" s="90"/>
      <c r="Z108" s="90"/>
      <c r="AA108" s="90"/>
      <c r="AB108" s="90"/>
      <c r="AC108" s="90"/>
      <c r="AD108" s="90"/>
      <c r="AE108" s="90"/>
      <c r="AF108" s="90"/>
      <c r="AG108" s="90">
        <v>107</v>
      </c>
      <c r="AH108" s="90" t="s">
        <v>1097</v>
      </c>
      <c r="AI108" s="91">
        <f t="shared" si="14"/>
        <v>41214</v>
      </c>
      <c r="AJ108" s="90">
        <f t="shared" si="15"/>
        <v>0</v>
      </c>
      <c r="AK108" s="90">
        <f t="array" ref="AK108">INDEX($P$3:$P$24,MATCH(AM108&amp;YEAR(AI108),$A$3:$A$24&amp;YEAR($B$3:$B$24),0))</f>
        <v>0</v>
      </c>
      <c r="AL108" s="90" t="s">
        <v>1099</v>
      </c>
      <c r="AM108" s="90" t="str">
        <f t="shared" si="16"/>
        <v>Intergovernment Revenue (330-**)</v>
      </c>
    </row>
    <row r="109" spans="1:39" ht="15.75" x14ac:dyDescent="0.2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5"/>
      <c r="S109" s="95"/>
      <c r="T109" s="95"/>
      <c r="U109" s="95"/>
      <c r="V109" s="95"/>
      <c r="W109" s="95"/>
      <c r="X109" s="95"/>
      <c r="Y109" s="90"/>
      <c r="Z109" s="90"/>
      <c r="AA109" s="90"/>
      <c r="AB109" s="90"/>
      <c r="AC109" s="90"/>
      <c r="AD109" s="90"/>
      <c r="AE109" s="90"/>
      <c r="AF109" s="90"/>
      <c r="AG109" s="90">
        <v>108</v>
      </c>
      <c r="AH109" s="90" t="s">
        <v>1097</v>
      </c>
      <c r="AI109" s="91">
        <f t="shared" si="14"/>
        <v>41244</v>
      </c>
      <c r="AJ109" s="90">
        <f t="shared" si="15"/>
        <v>0</v>
      </c>
      <c r="AK109" s="90">
        <f t="array" ref="AK109">INDEX($P$3:$P$24,MATCH(AM109&amp;YEAR(AI109),$A$3:$A$24&amp;YEAR($B$3:$B$24),0))</f>
        <v>0</v>
      </c>
      <c r="AL109" s="90" t="s">
        <v>1099</v>
      </c>
      <c r="AM109" s="90" t="str">
        <f t="shared" si="16"/>
        <v>Intergovernment Revenue (330-**)</v>
      </c>
    </row>
    <row r="110" spans="1:39" ht="15.75" x14ac:dyDescent="0.2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5"/>
      <c r="S110" s="95"/>
      <c r="T110" s="95"/>
      <c r="U110" s="95"/>
      <c r="V110" s="95"/>
      <c r="W110" s="95"/>
      <c r="X110" s="95"/>
      <c r="Y110" s="90"/>
      <c r="Z110" s="90"/>
      <c r="AA110" s="90"/>
      <c r="AB110" s="90"/>
      <c r="AC110" s="90"/>
      <c r="AD110" s="90"/>
      <c r="AE110" s="90"/>
      <c r="AF110" s="90"/>
      <c r="AG110" s="90">
        <v>109</v>
      </c>
      <c r="AH110" s="90" t="s">
        <v>1097</v>
      </c>
      <c r="AI110" s="91">
        <f t="shared" si="14"/>
        <v>41275</v>
      </c>
      <c r="AJ110" s="90">
        <f t="shared" si="15"/>
        <v>0</v>
      </c>
      <c r="AK110" s="90">
        <f t="array" ref="AK110">INDEX($P$3:$P$24,MATCH(AM110&amp;YEAR(AI110),$A$3:$A$24&amp;YEAR($B$3:$B$24),0))</f>
        <v>0</v>
      </c>
      <c r="AL110" s="90" t="s">
        <v>1099</v>
      </c>
      <c r="AM110" s="90" t="str">
        <f t="shared" si="16"/>
        <v>Intergovernment Revenue (330-**)</v>
      </c>
    </row>
    <row r="111" spans="1:39" ht="15.75" x14ac:dyDescent="0.2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5"/>
      <c r="S111" s="95"/>
      <c r="T111" s="95"/>
      <c r="U111" s="95"/>
      <c r="V111" s="95"/>
      <c r="W111" s="95"/>
      <c r="X111" s="95"/>
      <c r="Y111" s="90"/>
      <c r="Z111" s="90"/>
      <c r="AA111" s="90"/>
      <c r="AB111" s="90"/>
      <c r="AC111" s="90"/>
      <c r="AD111" s="90"/>
      <c r="AE111" s="90"/>
      <c r="AF111" s="90"/>
      <c r="AG111" s="90">
        <v>110</v>
      </c>
      <c r="AH111" s="90" t="s">
        <v>1097</v>
      </c>
      <c r="AI111" s="91">
        <f t="shared" si="14"/>
        <v>41306</v>
      </c>
      <c r="AJ111" s="90">
        <f t="shared" si="15"/>
        <v>0</v>
      </c>
      <c r="AK111" s="90">
        <f t="array" ref="AK111">INDEX($P$3:$P$24,MATCH(AM111&amp;YEAR(AI111),$A$3:$A$24&amp;YEAR($B$3:$B$24),0))</f>
        <v>0</v>
      </c>
      <c r="AL111" s="90" t="s">
        <v>1099</v>
      </c>
      <c r="AM111" s="90" t="str">
        <f t="shared" si="16"/>
        <v>Intergovernment Revenue (330-**)</v>
      </c>
    </row>
    <row r="112" spans="1:39" ht="15.75" x14ac:dyDescent="0.2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5"/>
      <c r="S112" s="95"/>
      <c r="T112" s="95"/>
      <c r="U112" s="95"/>
      <c r="V112" s="95"/>
      <c r="W112" s="95"/>
      <c r="X112" s="95"/>
      <c r="Y112" s="90"/>
      <c r="Z112" s="90"/>
      <c r="AA112" s="90"/>
      <c r="AB112" s="90"/>
      <c r="AC112" s="90"/>
      <c r="AD112" s="90"/>
      <c r="AE112" s="90"/>
      <c r="AF112" s="90"/>
      <c r="AG112" s="90">
        <v>111</v>
      </c>
      <c r="AH112" s="90" t="s">
        <v>1097</v>
      </c>
      <c r="AI112" s="91">
        <f t="shared" si="14"/>
        <v>41334</v>
      </c>
      <c r="AJ112" s="90">
        <f t="shared" si="15"/>
        <v>0</v>
      </c>
      <c r="AK112" s="90">
        <f t="array" ref="AK112">INDEX($P$3:$P$24,MATCH(AM112&amp;YEAR(AI112),$A$3:$A$24&amp;YEAR($B$3:$B$24),0))</f>
        <v>0</v>
      </c>
      <c r="AL112" s="90" t="s">
        <v>1099</v>
      </c>
      <c r="AM112" s="90" t="str">
        <f t="shared" si="16"/>
        <v>Intergovernment Revenue (330-**)</v>
      </c>
    </row>
    <row r="113" spans="1:39" ht="15.75" x14ac:dyDescent="0.2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5"/>
      <c r="S113" s="95"/>
      <c r="T113" s="95"/>
      <c r="U113" s="95"/>
      <c r="V113" s="95"/>
      <c r="W113" s="95"/>
      <c r="X113" s="95"/>
      <c r="Y113" s="90"/>
      <c r="Z113" s="90"/>
      <c r="AA113" s="90"/>
      <c r="AB113" s="90"/>
      <c r="AC113" s="90"/>
      <c r="AD113" s="90"/>
      <c r="AE113" s="90"/>
      <c r="AF113" s="90"/>
      <c r="AG113" s="90">
        <v>112</v>
      </c>
      <c r="AH113" s="90" t="s">
        <v>1097</v>
      </c>
      <c r="AI113" s="91">
        <f t="shared" si="14"/>
        <v>41365</v>
      </c>
      <c r="AJ113" s="90">
        <f t="shared" si="15"/>
        <v>0</v>
      </c>
      <c r="AK113" s="90">
        <f t="array" ref="AK113">INDEX($P$3:$P$24,MATCH(AM113&amp;YEAR(AI113),$A$3:$A$24&amp;YEAR($B$3:$B$24),0))</f>
        <v>0</v>
      </c>
      <c r="AL113" s="90" t="s">
        <v>1099</v>
      </c>
      <c r="AM113" s="90" t="str">
        <f t="shared" si="16"/>
        <v>Intergovernment Revenue (330-**)</v>
      </c>
    </row>
    <row r="114" spans="1:39" ht="15.75" x14ac:dyDescent="0.2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5"/>
      <c r="S114" s="95"/>
      <c r="T114" s="95"/>
      <c r="U114" s="95"/>
      <c r="V114" s="95"/>
      <c r="W114" s="95"/>
      <c r="X114" s="95"/>
      <c r="Y114" s="90"/>
      <c r="Z114" s="90"/>
      <c r="AA114" s="90"/>
      <c r="AB114" s="90"/>
      <c r="AC114" s="90"/>
      <c r="AD114" s="90"/>
      <c r="AE114" s="90"/>
      <c r="AF114" s="90"/>
      <c r="AG114" s="90">
        <v>113</v>
      </c>
      <c r="AH114" s="90" t="s">
        <v>1097</v>
      </c>
      <c r="AI114" s="91">
        <f t="shared" si="14"/>
        <v>41395</v>
      </c>
      <c r="AJ114" s="90">
        <f t="shared" si="15"/>
        <v>0</v>
      </c>
      <c r="AK114" s="90">
        <f t="array" ref="AK114">INDEX($P$3:$P$24,MATCH(AM114&amp;YEAR(AI114),$A$3:$A$24&amp;YEAR($B$3:$B$24),0))</f>
        <v>0</v>
      </c>
      <c r="AL114" s="90" t="s">
        <v>1099</v>
      </c>
      <c r="AM114" s="90" t="str">
        <f t="shared" si="16"/>
        <v>Intergovernment Revenue (330-**)</v>
      </c>
    </row>
    <row r="115" spans="1:39" ht="15.75" x14ac:dyDescent="0.2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5"/>
      <c r="S115" s="95"/>
      <c r="T115" s="95"/>
      <c r="U115" s="95"/>
      <c r="V115" s="95"/>
      <c r="W115" s="95"/>
      <c r="X115" s="95"/>
      <c r="Y115" s="90"/>
      <c r="Z115" s="90"/>
      <c r="AA115" s="90"/>
      <c r="AB115" s="90"/>
      <c r="AC115" s="90"/>
      <c r="AD115" s="90"/>
      <c r="AE115" s="90"/>
      <c r="AF115" s="90"/>
      <c r="AG115" s="90">
        <v>114</v>
      </c>
      <c r="AH115" s="90" t="s">
        <v>1097</v>
      </c>
      <c r="AI115" s="91">
        <f t="shared" si="14"/>
        <v>41426</v>
      </c>
      <c r="AJ115" s="90">
        <f t="shared" si="15"/>
        <v>0</v>
      </c>
      <c r="AK115" s="90">
        <f t="array" ref="AK115">INDEX($P$3:$P$24,MATCH(AM115&amp;YEAR(AI115),$A$3:$A$24&amp;YEAR($B$3:$B$24),0))</f>
        <v>0</v>
      </c>
      <c r="AL115" s="90" t="s">
        <v>1099</v>
      </c>
      <c r="AM115" s="90" t="str">
        <f t="shared" si="16"/>
        <v>Intergovernment Revenue (330-**)</v>
      </c>
    </row>
    <row r="116" spans="1:39" ht="15.75" x14ac:dyDescent="0.2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5"/>
      <c r="S116" s="95"/>
      <c r="T116" s="95"/>
      <c r="U116" s="95"/>
      <c r="V116" s="95"/>
      <c r="W116" s="95"/>
      <c r="X116" s="95"/>
      <c r="Y116" s="90"/>
      <c r="Z116" s="90"/>
      <c r="AA116" s="90"/>
      <c r="AB116" s="90"/>
      <c r="AC116" s="90"/>
      <c r="AD116" s="90"/>
      <c r="AE116" s="90"/>
      <c r="AF116" s="90"/>
      <c r="AG116" s="90">
        <v>115</v>
      </c>
      <c r="AH116" s="90" t="s">
        <v>1097</v>
      </c>
      <c r="AI116" s="91">
        <f t="shared" si="14"/>
        <v>41456</v>
      </c>
      <c r="AJ116" s="90">
        <f t="shared" si="15"/>
        <v>0</v>
      </c>
      <c r="AK116" s="90">
        <f t="array" ref="AK116">INDEX($P$3:$P$24,MATCH(AM116&amp;YEAR(AI116),$A$3:$A$24&amp;YEAR($B$3:$B$24),0))</f>
        <v>0</v>
      </c>
      <c r="AL116" s="90" t="s">
        <v>1099</v>
      </c>
      <c r="AM116" s="90" t="str">
        <f t="shared" si="16"/>
        <v>Intergovernment Revenue (330-**)</v>
      </c>
    </row>
    <row r="117" spans="1:39" ht="15.75" x14ac:dyDescent="0.2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5"/>
      <c r="S117" s="95"/>
      <c r="T117" s="95"/>
      <c r="U117" s="95"/>
      <c r="V117" s="95"/>
      <c r="W117" s="95"/>
      <c r="X117" s="95"/>
      <c r="Y117" s="90"/>
      <c r="Z117" s="90"/>
      <c r="AA117" s="90"/>
      <c r="AB117" s="90"/>
      <c r="AC117" s="90"/>
      <c r="AD117" s="90"/>
      <c r="AE117" s="90"/>
      <c r="AF117" s="90"/>
      <c r="AG117" s="90">
        <v>116</v>
      </c>
      <c r="AH117" s="90" t="s">
        <v>1097</v>
      </c>
      <c r="AI117" s="91">
        <f t="shared" si="14"/>
        <v>41487</v>
      </c>
      <c r="AJ117" s="90">
        <f t="shared" si="15"/>
        <v>0</v>
      </c>
      <c r="AK117" s="90">
        <f t="array" ref="AK117">INDEX($P$3:$P$24,MATCH(AM117&amp;YEAR(AI117),$A$3:$A$24&amp;YEAR($B$3:$B$24),0))</f>
        <v>0</v>
      </c>
      <c r="AL117" s="90" t="s">
        <v>1099</v>
      </c>
      <c r="AM117" s="90" t="str">
        <f t="shared" si="16"/>
        <v>Intergovernment Revenue (330-**)</v>
      </c>
    </row>
    <row r="118" spans="1:39" ht="15.75" x14ac:dyDescent="0.2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5"/>
      <c r="S118" s="95"/>
      <c r="T118" s="95"/>
      <c r="U118" s="95"/>
      <c r="V118" s="95"/>
      <c r="W118" s="95"/>
      <c r="X118" s="95"/>
      <c r="Y118" s="90"/>
      <c r="Z118" s="90"/>
      <c r="AA118" s="90"/>
      <c r="AB118" s="90"/>
      <c r="AC118" s="90"/>
      <c r="AD118" s="90"/>
      <c r="AE118" s="90"/>
      <c r="AF118" s="90"/>
      <c r="AG118" s="90">
        <v>117</v>
      </c>
      <c r="AH118" s="90" t="s">
        <v>1097</v>
      </c>
      <c r="AI118" s="91">
        <f t="shared" si="14"/>
        <v>41518</v>
      </c>
      <c r="AJ118" s="90">
        <f t="shared" si="15"/>
        <v>0</v>
      </c>
      <c r="AK118" s="90">
        <f t="array" ref="AK118">INDEX($P$3:$P$24,MATCH(AM118&amp;YEAR(AI118),$A$3:$A$24&amp;YEAR($B$3:$B$24),0))</f>
        <v>0</v>
      </c>
      <c r="AL118" s="90" t="s">
        <v>1099</v>
      </c>
      <c r="AM118" s="90" t="str">
        <f t="shared" si="16"/>
        <v>Intergovernment Revenue (330-**)</v>
      </c>
    </row>
    <row r="119" spans="1:39" ht="15.75" x14ac:dyDescent="0.2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5"/>
      <c r="S119" s="95"/>
      <c r="T119" s="95"/>
      <c r="U119" s="95"/>
      <c r="V119" s="95"/>
      <c r="W119" s="95"/>
      <c r="X119" s="95"/>
      <c r="Y119" s="90"/>
      <c r="Z119" s="90"/>
      <c r="AA119" s="90"/>
      <c r="AB119" s="90"/>
      <c r="AC119" s="90"/>
      <c r="AD119" s="90"/>
      <c r="AE119" s="90"/>
      <c r="AF119" s="90"/>
      <c r="AG119" s="90">
        <v>118</v>
      </c>
      <c r="AH119" s="90" t="s">
        <v>1097</v>
      </c>
      <c r="AI119" s="91">
        <f t="shared" si="14"/>
        <v>41548</v>
      </c>
      <c r="AJ119" s="90">
        <f t="shared" si="15"/>
        <v>0</v>
      </c>
      <c r="AK119" s="90">
        <f t="array" ref="AK119">INDEX($P$3:$P$24,MATCH(AM119&amp;YEAR(AI119),$A$3:$A$24&amp;YEAR($B$3:$B$24),0))</f>
        <v>0</v>
      </c>
      <c r="AL119" s="90" t="s">
        <v>1099</v>
      </c>
      <c r="AM119" s="90" t="str">
        <f t="shared" si="16"/>
        <v>Intergovernment Revenue (330-**)</v>
      </c>
    </row>
    <row r="120" spans="1:39" ht="15.75" x14ac:dyDescent="0.2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5"/>
      <c r="S120" s="95"/>
      <c r="T120" s="95"/>
      <c r="U120" s="95"/>
      <c r="V120" s="95"/>
      <c r="W120" s="95"/>
      <c r="X120" s="95"/>
      <c r="Y120" s="90"/>
      <c r="Z120" s="90"/>
      <c r="AA120" s="90"/>
      <c r="AB120" s="90"/>
      <c r="AC120" s="90"/>
      <c r="AD120" s="90"/>
      <c r="AE120" s="90"/>
      <c r="AF120" s="90"/>
      <c r="AG120" s="90">
        <v>119</v>
      </c>
      <c r="AH120" s="90" t="s">
        <v>1097</v>
      </c>
      <c r="AI120" s="91">
        <f t="shared" si="14"/>
        <v>41579</v>
      </c>
      <c r="AJ120" s="90">
        <f t="shared" si="15"/>
        <v>0</v>
      </c>
      <c r="AK120" s="90">
        <f t="array" ref="AK120">INDEX($P$3:$P$24,MATCH(AM120&amp;YEAR(AI120),$A$3:$A$24&amp;YEAR($B$3:$B$24),0))</f>
        <v>0</v>
      </c>
      <c r="AL120" s="90" t="s">
        <v>1099</v>
      </c>
      <c r="AM120" s="90" t="str">
        <f t="shared" si="16"/>
        <v>Intergovernment Revenue (330-**)</v>
      </c>
    </row>
    <row r="121" spans="1:39" ht="15.75" x14ac:dyDescent="0.2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5"/>
      <c r="S121" s="95"/>
      <c r="T121" s="95"/>
      <c r="U121" s="95"/>
      <c r="V121" s="95"/>
      <c r="W121" s="95"/>
      <c r="X121" s="95"/>
      <c r="Y121" s="90"/>
      <c r="Z121" s="90"/>
      <c r="AA121" s="90"/>
      <c r="AB121" s="90"/>
      <c r="AC121" s="90"/>
      <c r="AD121" s="90"/>
      <c r="AE121" s="90"/>
      <c r="AF121" s="90"/>
      <c r="AG121" s="90">
        <v>120</v>
      </c>
      <c r="AH121" s="90" t="s">
        <v>1097</v>
      </c>
      <c r="AI121" s="91">
        <f t="shared" si="14"/>
        <v>41609</v>
      </c>
      <c r="AJ121" s="90">
        <f t="shared" si="15"/>
        <v>0</v>
      </c>
      <c r="AK121" s="90">
        <f t="array" ref="AK121">INDEX($P$3:$P$24,MATCH(AM121&amp;YEAR(AI121),$A$3:$A$24&amp;YEAR($B$3:$B$24),0))</f>
        <v>0</v>
      </c>
      <c r="AL121" s="90" t="s">
        <v>1099</v>
      </c>
      <c r="AM121" s="90" t="str">
        <f t="shared" si="16"/>
        <v>Intergovernment Revenue (330-**)</v>
      </c>
    </row>
    <row r="122" spans="1:39" ht="15.75" x14ac:dyDescent="0.2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5"/>
      <c r="S122" s="95"/>
      <c r="T122" s="95"/>
      <c r="U122" s="95"/>
      <c r="V122" s="95"/>
      <c r="W122" s="95"/>
      <c r="X122" s="95"/>
      <c r="Y122" s="90"/>
      <c r="Z122" s="90"/>
      <c r="AA122" s="90"/>
      <c r="AB122" s="90"/>
      <c r="AC122" s="90"/>
      <c r="AD122" s="90"/>
      <c r="AE122" s="90"/>
      <c r="AF122" s="90"/>
      <c r="AG122" s="90">
        <v>121</v>
      </c>
      <c r="AH122" s="90" t="s">
        <v>1097</v>
      </c>
      <c r="AI122" s="91">
        <f t="shared" si="14"/>
        <v>40909</v>
      </c>
      <c r="AJ122" s="90">
        <f t="shared" si="15"/>
        <v>0</v>
      </c>
      <c r="AK122" s="90">
        <f t="array" ref="AK122">INDEX($P$3:$P$24,MATCH(AM122&amp;YEAR(AI122),$A$3:$A$24&amp;YEAR($B$3:$B$24),0))</f>
        <v>0</v>
      </c>
      <c r="AL122" s="90" t="s">
        <v>1099</v>
      </c>
      <c r="AM122" s="90" t="str">
        <f t="shared" si="16"/>
        <v>Misc Revenue (360-10)</v>
      </c>
    </row>
    <row r="123" spans="1:39" ht="15.75" x14ac:dyDescent="0.2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5"/>
      <c r="S123" s="95"/>
      <c r="T123" s="95"/>
      <c r="U123" s="95"/>
      <c r="V123" s="95"/>
      <c r="W123" s="95"/>
      <c r="X123" s="95"/>
      <c r="Y123" s="90"/>
      <c r="Z123" s="90"/>
      <c r="AA123" s="90"/>
      <c r="AB123" s="90"/>
      <c r="AC123" s="90"/>
      <c r="AD123" s="90"/>
      <c r="AE123" s="90"/>
      <c r="AF123" s="90"/>
      <c r="AG123" s="90">
        <v>122</v>
      </c>
      <c r="AH123" s="90" t="s">
        <v>1097</v>
      </c>
      <c r="AI123" s="91">
        <f t="shared" si="14"/>
        <v>40940</v>
      </c>
      <c r="AJ123" s="90">
        <f t="shared" si="15"/>
        <v>0</v>
      </c>
      <c r="AK123" s="90">
        <f t="array" ref="AK123">INDEX($P$3:$P$24,MATCH(AM123&amp;YEAR(AI123),$A$3:$A$24&amp;YEAR($B$3:$B$24),0))</f>
        <v>0</v>
      </c>
      <c r="AL123" s="90" t="s">
        <v>1099</v>
      </c>
      <c r="AM123" s="90" t="str">
        <f t="shared" si="16"/>
        <v>Misc Revenue (360-10)</v>
      </c>
    </row>
    <row r="124" spans="1:39" ht="15.75" x14ac:dyDescent="0.2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5"/>
      <c r="S124" s="95"/>
      <c r="T124" s="95"/>
      <c r="U124" s="95"/>
      <c r="V124" s="95"/>
      <c r="W124" s="95"/>
      <c r="X124" s="95"/>
      <c r="Y124" s="90"/>
      <c r="Z124" s="90"/>
      <c r="AA124" s="90"/>
      <c r="AB124" s="90"/>
      <c r="AC124" s="90"/>
      <c r="AD124" s="90"/>
      <c r="AE124" s="90"/>
      <c r="AF124" s="90"/>
      <c r="AG124" s="90">
        <v>123</v>
      </c>
      <c r="AH124" s="90" t="s">
        <v>1097</v>
      </c>
      <c r="AI124" s="91">
        <f t="shared" si="14"/>
        <v>40969</v>
      </c>
      <c r="AJ124" s="90">
        <f t="shared" si="15"/>
        <v>0</v>
      </c>
      <c r="AK124" s="90">
        <f t="array" ref="AK124">INDEX($P$3:$P$24,MATCH(AM124&amp;YEAR(AI124),$A$3:$A$24&amp;YEAR($B$3:$B$24),0))</f>
        <v>0</v>
      </c>
      <c r="AL124" s="90" t="s">
        <v>1099</v>
      </c>
      <c r="AM124" s="90" t="str">
        <f t="shared" si="16"/>
        <v>Misc Revenue (360-10)</v>
      </c>
    </row>
    <row r="125" spans="1:39" ht="15.75" x14ac:dyDescent="0.2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5"/>
      <c r="S125" s="95"/>
      <c r="T125" s="95"/>
      <c r="U125" s="95"/>
      <c r="V125" s="95"/>
      <c r="W125" s="95"/>
      <c r="X125" s="95"/>
      <c r="Y125" s="90"/>
      <c r="Z125" s="90"/>
      <c r="AA125" s="90"/>
      <c r="AB125" s="90"/>
      <c r="AC125" s="90"/>
      <c r="AD125" s="90"/>
      <c r="AE125" s="90"/>
      <c r="AF125" s="90"/>
      <c r="AG125" s="90">
        <v>124</v>
      </c>
      <c r="AH125" s="90" t="s">
        <v>1097</v>
      </c>
      <c r="AI125" s="91">
        <f t="shared" si="14"/>
        <v>41000</v>
      </c>
      <c r="AJ125" s="90">
        <f t="shared" si="15"/>
        <v>0</v>
      </c>
      <c r="AK125" s="90">
        <f t="array" ref="AK125">INDEX($P$3:$P$24,MATCH(AM125&amp;YEAR(AI125),$A$3:$A$24&amp;YEAR($B$3:$B$24),0))</f>
        <v>0</v>
      </c>
      <c r="AL125" s="90" t="s">
        <v>1099</v>
      </c>
      <c r="AM125" s="90" t="str">
        <f t="shared" si="16"/>
        <v>Misc Revenue (360-10)</v>
      </c>
    </row>
    <row r="126" spans="1:39" ht="15.75" x14ac:dyDescent="0.2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5"/>
      <c r="S126" s="95"/>
      <c r="T126" s="95"/>
      <c r="U126" s="95"/>
      <c r="V126" s="95"/>
      <c r="W126" s="95"/>
      <c r="X126" s="95"/>
      <c r="Y126" s="90"/>
      <c r="Z126" s="90"/>
      <c r="AA126" s="90"/>
      <c r="AB126" s="90"/>
      <c r="AC126" s="90"/>
      <c r="AD126" s="90"/>
      <c r="AE126" s="90"/>
      <c r="AF126" s="90"/>
      <c r="AG126" s="90">
        <v>125</v>
      </c>
      <c r="AH126" s="90" t="s">
        <v>1097</v>
      </c>
      <c r="AI126" s="91">
        <f t="shared" si="14"/>
        <v>41030</v>
      </c>
      <c r="AJ126" s="90">
        <f t="shared" si="15"/>
        <v>0</v>
      </c>
      <c r="AK126" s="90">
        <f t="array" ref="AK126">INDEX($P$3:$P$24,MATCH(AM126&amp;YEAR(AI126),$A$3:$A$24&amp;YEAR($B$3:$B$24),0))</f>
        <v>0</v>
      </c>
      <c r="AL126" s="90" t="s">
        <v>1099</v>
      </c>
      <c r="AM126" s="90" t="str">
        <f t="shared" si="16"/>
        <v>Misc Revenue (360-10)</v>
      </c>
    </row>
    <row r="127" spans="1:39" ht="15.75" x14ac:dyDescent="0.2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5"/>
      <c r="S127" s="95"/>
      <c r="T127" s="95"/>
      <c r="U127" s="95"/>
      <c r="V127" s="95"/>
      <c r="W127" s="95"/>
      <c r="X127" s="95"/>
      <c r="Y127" s="90"/>
      <c r="Z127" s="90"/>
      <c r="AA127" s="90"/>
      <c r="AB127" s="90"/>
      <c r="AC127" s="90"/>
      <c r="AD127" s="90"/>
      <c r="AE127" s="90"/>
      <c r="AF127" s="90"/>
      <c r="AG127" s="90">
        <v>126</v>
      </c>
      <c r="AH127" s="90" t="s">
        <v>1097</v>
      </c>
      <c r="AI127" s="91">
        <f t="shared" si="14"/>
        <v>41061</v>
      </c>
      <c r="AJ127" s="90">
        <f t="shared" si="15"/>
        <v>0</v>
      </c>
      <c r="AK127" s="90">
        <f t="array" ref="AK127">INDEX($P$3:$P$24,MATCH(AM127&amp;YEAR(AI127),$A$3:$A$24&amp;YEAR($B$3:$B$24),0))</f>
        <v>0</v>
      </c>
      <c r="AL127" s="90" t="s">
        <v>1099</v>
      </c>
      <c r="AM127" s="90" t="str">
        <f t="shared" si="16"/>
        <v>Misc Revenue (360-10)</v>
      </c>
    </row>
    <row r="128" spans="1:39" ht="15.75" x14ac:dyDescent="0.2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5"/>
      <c r="S128" s="95"/>
      <c r="T128" s="95"/>
      <c r="U128" s="95"/>
      <c r="V128" s="95"/>
      <c r="W128" s="95"/>
      <c r="X128" s="95"/>
      <c r="Y128" s="90"/>
      <c r="Z128" s="90"/>
      <c r="AA128" s="90"/>
      <c r="AB128" s="90"/>
      <c r="AC128" s="90"/>
      <c r="AD128" s="90"/>
      <c r="AE128" s="90"/>
      <c r="AF128" s="90"/>
      <c r="AG128" s="90">
        <v>127</v>
      </c>
      <c r="AH128" s="90" t="s">
        <v>1097</v>
      </c>
      <c r="AI128" s="91">
        <f t="shared" si="14"/>
        <v>41091</v>
      </c>
      <c r="AJ128" s="90">
        <f t="shared" si="15"/>
        <v>0</v>
      </c>
      <c r="AK128" s="90">
        <f t="array" ref="AK128">INDEX($P$3:$P$24,MATCH(AM128&amp;YEAR(AI128),$A$3:$A$24&amp;YEAR($B$3:$B$24),0))</f>
        <v>0</v>
      </c>
      <c r="AL128" s="90" t="s">
        <v>1099</v>
      </c>
      <c r="AM128" s="90" t="str">
        <f t="shared" si="16"/>
        <v>Misc Revenue (360-10)</v>
      </c>
    </row>
    <row r="129" spans="1:39" ht="15.75" x14ac:dyDescent="0.2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5"/>
      <c r="S129" s="95"/>
      <c r="T129" s="95"/>
      <c r="U129" s="95"/>
      <c r="V129" s="95"/>
      <c r="W129" s="95"/>
      <c r="X129" s="95"/>
      <c r="Y129" s="90"/>
      <c r="Z129" s="90"/>
      <c r="AA129" s="90"/>
      <c r="AB129" s="90"/>
      <c r="AC129" s="90"/>
      <c r="AD129" s="90"/>
      <c r="AE129" s="90"/>
      <c r="AF129" s="90"/>
      <c r="AG129" s="90">
        <v>128</v>
      </c>
      <c r="AH129" s="90" t="s">
        <v>1097</v>
      </c>
      <c r="AI129" s="91">
        <f t="shared" si="14"/>
        <v>41122</v>
      </c>
      <c r="AJ129" s="90">
        <f t="shared" si="15"/>
        <v>0</v>
      </c>
      <c r="AK129" s="90">
        <f t="array" ref="AK129">INDEX($P$3:$P$24,MATCH(AM129&amp;YEAR(AI129),$A$3:$A$24&amp;YEAR($B$3:$B$24),0))</f>
        <v>0</v>
      </c>
      <c r="AL129" s="90" t="s">
        <v>1099</v>
      </c>
      <c r="AM129" s="90" t="str">
        <f t="shared" si="16"/>
        <v>Misc Revenue (360-10)</v>
      </c>
    </row>
    <row r="130" spans="1:39" ht="15.75" x14ac:dyDescent="0.2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5"/>
      <c r="S130" s="95"/>
      <c r="T130" s="95"/>
      <c r="U130" s="95"/>
      <c r="V130" s="95"/>
      <c r="W130" s="95"/>
      <c r="X130" s="95"/>
      <c r="Y130" s="90"/>
      <c r="Z130" s="90"/>
      <c r="AA130" s="90"/>
      <c r="AB130" s="90"/>
      <c r="AC130" s="90"/>
      <c r="AD130" s="90"/>
      <c r="AE130" s="90"/>
      <c r="AF130" s="90"/>
      <c r="AG130" s="90">
        <v>129</v>
      </c>
      <c r="AH130" s="90" t="s">
        <v>1097</v>
      </c>
      <c r="AI130" s="91">
        <f t="shared" ref="AI130:AI193" si="17">DATE(YEAR(INDEX($B$2:$N$24,INT((AG130+11)/12)+1,1)),IF(MOD(AG130,12)&lt;&gt;0,MOD(AG130,12),12),1)</f>
        <v>41153</v>
      </c>
      <c r="AJ130" s="90">
        <f t="shared" ref="AJ130:AJ193" si="18">INDEX($C$3:$N$24,INT((AG130+11)/12),AG130-(12*(INT((AG130+11)/12)-1)))</f>
        <v>0</v>
      </c>
      <c r="AK130" s="90">
        <f t="array" ref="AK130">INDEX($P$3:$P$24,MATCH(AM130&amp;YEAR(AI130),$A$3:$A$24&amp;YEAR($B$3:$B$24),0))</f>
        <v>0</v>
      </c>
      <c r="AL130" s="90" t="s">
        <v>1099</v>
      </c>
      <c r="AM130" s="90" t="str">
        <f t="shared" ref="AM130:AM193" si="19">INDEX($A$3:$A$24,INT((AG130+11)/12))</f>
        <v>Misc Revenue (360-10)</v>
      </c>
    </row>
    <row r="131" spans="1:39" ht="15.75" x14ac:dyDescent="0.2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5"/>
      <c r="S131" s="95"/>
      <c r="T131" s="95"/>
      <c r="U131" s="95"/>
      <c r="V131" s="95"/>
      <c r="W131" s="95"/>
      <c r="X131" s="95"/>
      <c r="Y131" s="90"/>
      <c r="Z131" s="90"/>
      <c r="AA131" s="90"/>
      <c r="AB131" s="90"/>
      <c r="AC131" s="90"/>
      <c r="AD131" s="90"/>
      <c r="AE131" s="90"/>
      <c r="AF131" s="90"/>
      <c r="AG131" s="90">
        <v>130</v>
      </c>
      <c r="AH131" s="90" t="s">
        <v>1097</v>
      </c>
      <c r="AI131" s="91">
        <f t="shared" si="17"/>
        <v>41183</v>
      </c>
      <c r="AJ131" s="90">
        <f t="shared" si="18"/>
        <v>100</v>
      </c>
      <c r="AK131" s="90">
        <f t="array" ref="AK131">INDEX($P$3:$P$24,MATCH(AM131&amp;YEAR(AI131),$A$3:$A$24&amp;YEAR($B$3:$B$24),0))</f>
        <v>0</v>
      </c>
      <c r="AL131" s="90" t="s">
        <v>1099</v>
      </c>
      <c r="AM131" s="90" t="str">
        <f t="shared" si="19"/>
        <v>Misc Revenue (360-10)</v>
      </c>
    </row>
    <row r="132" spans="1:39" ht="15.75" x14ac:dyDescent="0.2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5"/>
      <c r="S132" s="95"/>
      <c r="T132" s="95"/>
      <c r="U132" s="95"/>
      <c r="V132" s="95"/>
      <c r="W132" s="95"/>
      <c r="X132" s="95"/>
      <c r="Y132" s="90"/>
      <c r="Z132" s="90"/>
      <c r="AA132" s="90"/>
      <c r="AB132" s="90"/>
      <c r="AC132" s="90"/>
      <c r="AD132" s="90"/>
      <c r="AE132" s="90"/>
      <c r="AF132" s="90"/>
      <c r="AG132" s="90">
        <v>131</v>
      </c>
      <c r="AH132" s="90" t="s">
        <v>1097</v>
      </c>
      <c r="AI132" s="91">
        <f t="shared" si="17"/>
        <v>41214</v>
      </c>
      <c r="AJ132" s="90">
        <f t="shared" si="18"/>
        <v>0</v>
      </c>
      <c r="AK132" s="90">
        <f t="array" ref="AK132">INDEX($P$3:$P$24,MATCH(AM132&amp;YEAR(AI132),$A$3:$A$24&amp;YEAR($B$3:$B$24),0))</f>
        <v>0</v>
      </c>
      <c r="AL132" s="90" t="s">
        <v>1099</v>
      </c>
      <c r="AM132" s="90" t="str">
        <f t="shared" si="19"/>
        <v>Misc Revenue (360-10)</v>
      </c>
    </row>
    <row r="133" spans="1:39" ht="15.75" x14ac:dyDescent="0.2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5"/>
      <c r="S133" s="95"/>
      <c r="T133" s="95"/>
      <c r="U133" s="95"/>
      <c r="V133" s="95"/>
      <c r="W133" s="95"/>
      <c r="X133" s="95"/>
      <c r="Y133" s="90"/>
      <c r="Z133" s="90"/>
      <c r="AA133" s="90"/>
      <c r="AB133" s="90"/>
      <c r="AC133" s="90"/>
      <c r="AD133" s="90"/>
      <c r="AE133" s="90"/>
      <c r="AF133" s="90"/>
      <c r="AG133" s="90">
        <v>132</v>
      </c>
      <c r="AH133" s="90" t="s">
        <v>1097</v>
      </c>
      <c r="AI133" s="91">
        <f t="shared" si="17"/>
        <v>41244</v>
      </c>
      <c r="AJ133" s="90">
        <f t="shared" si="18"/>
        <v>100</v>
      </c>
      <c r="AK133" s="90">
        <f t="array" ref="AK133">INDEX($P$3:$P$24,MATCH(AM133&amp;YEAR(AI133),$A$3:$A$24&amp;YEAR($B$3:$B$24),0))</f>
        <v>0</v>
      </c>
      <c r="AL133" s="90" t="s">
        <v>1099</v>
      </c>
      <c r="AM133" s="90" t="str">
        <f t="shared" si="19"/>
        <v>Misc Revenue (360-10)</v>
      </c>
    </row>
    <row r="134" spans="1:39" ht="15.75" x14ac:dyDescent="0.2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5"/>
      <c r="S134" s="95"/>
      <c r="T134" s="95"/>
      <c r="U134" s="95"/>
      <c r="V134" s="95"/>
      <c r="W134" s="95"/>
      <c r="X134" s="95"/>
      <c r="Y134" s="90"/>
      <c r="Z134" s="90"/>
      <c r="AA134" s="90"/>
      <c r="AB134" s="90"/>
      <c r="AC134" s="90"/>
      <c r="AD134" s="90"/>
      <c r="AE134" s="90"/>
      <c r="AF134" s="90"/>
      <c r="AG134" s="90">
        <v>133</v>
      </c>
      <c r="AH134" s="90" t="s">
        <v>1097</v>
      </c>
      <c r="AI134" s="91">
        <f t="shared" si="17"/>
        <v>41275</v>
      </c>
      <c r="AJ134" s="90">
        <f t="shared" si="18"/>
        <v>0</v>
      </c>
      <c r="AK134" s="90">
        <f t="array" ref="AK134">INDEX($P$3:$P$24,MATCH(AM134&amp;YEAR(AI134),$A$3:$A$24&amp;YEAR($B$3:$B$24),0))</f>
        <v>2000</v>
      </c>
      <c r="AL134" s="90" t="s">
        <v>1099</v>
      </c>
      <c r="AM134" s="90" t="str">
        <f t="shared" si="19"/>
        <v>Misc Revenue (360-10)</v>
      </c>
    </row>
    <row r="135" spans="1:39" ht="15.75" x14ac:dyDescent="0.2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5"/>
      <c r="S135" s="95"/>
      <c r="T135" s="95"/>
      <c r="U135" s="95"/>
      <c r="V135" s="95"/>
      <c r="W135" s="95"/>
      <c r="X135" s="95"/>
      <c r="Y135" s="90"/>
      <c r="Z135" s="90"/>
      <c r="AA135" s="90"/>
      <c r="AB135" s="90"/>
      <c r="AC135" s="90"/>
      <c r="AD135" s="90"/>
      <c r="AE135" s="90"/>
      <c r="AF135" s="90"/>
      <c r="AG135" s="90">
        <v>134</v>
      </c>
      <c r="AH135" s="90" t="s">
        <v>1097</v>
      </c>
      <c r="AI135" s="91">
        <f t="shared" si="17"/>
        <v>41306</v>
      </c>
      <c r="AJ135" s="90">
        <f t="shared" si="18"/>
        <v>0</v>
      </c>
      <c r="AK135" s="90">
        <f t="array" ref="AK135">INDEX($P$3:$P$24,MATCH(AM135&amp;YEAR(AI135),$A$3:$A$24&amp;YEAR($B$3:$B$24),0))</f>
        <v>2000</v>
      </c>
      <c r="AL135" s="90" t="s">
        <v>1099</v>
      </c>
      <c r="AM135" s="90" t="str">
        <f t="shared" si="19"/>
        <v>Misc Revenue (360-10)</v>
      </c>
    </row>
    <row r="136" spans="1:39" ht="15.75" x14ac:dyDescent="0.2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5"/>
      <c r="S136" s="95"/>
      <c r="T136" s="95"/>
      <c r="U136" s="95"/>
      <c r="V136" s="95"/>
      <c r="W136" s="95"/>
      <c r="X136" s="95"/>
      <c r="Y136" s="90"/>
      <c r="Z136" s="90"/>
      <c r="AA136" s="90"/>
      <c r="AB136" s="90"/>
      <c r="AC136" s="90"/>
      <c r="AD136" s="90"/>
      <c r="AE136" s="90"/>
      <c r="AF136" s="90"/>
      <c r="AG136" s="90">
        <v>135</v>
      </c>
      <c r="AH136" s="90" t="s">
        <v>1097</v>
      </c>
      <c r="AI136" s="91">
        <f t="shared" si="17"/>
        <v>41334</v>
      </c>
      <c r="AJ136" s="90">
        <f t="shared" si="18"/>
        <v>0</v>
      </c>
      <c r="AK136" s="90">
        <f t="array" ref="AK136">INDEX($P$3:$P$24,MATCH(AM136&amp;YEAR(AI136),$A$3:$A$24&amp;YEAR($B$3:$B$24),0))</f>
        <v>2000</v>
      </c>
      <c r="AL136" s="90" t="s">
        <v>1099</v>
      </c>
      <c r="AM136" s="90" t="str">
        <f t="shared" si="19"/>
        <v>Misc Revenue (360-10)</v>
      </c>
    </row>
    <row r="137" spans="1:39" ht="15.75" x14ac:dyDescent="0.2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5"/>
      <c r="S137" s="95"/>
      <c r="T137" s="95"/>
      <c r="U137" s="95"/>
      <c r="V137" s="95"/>
      <c r="W137" s="95"/>
      <c r="X137" s="95"/>
      <c r="Y137" s="90"/>
      <c r="Z137" s="90"/>
      <c r="AA137" s="90"/>
      <c r="AB137" s="90"/>
      <c r="AC137" s="90"/>
      <c r="AD137" s="90"/>
      <c r="AE137" s="90"/>
      <c r="AF137" s="90"/>
      <c r="AG137" s="90">
        <v>136</v>
      </c>
      <c r="AH137" s="90" t="s">
        <v>1097</v>
      </c>
      <c r="AI137" s="91">
        <f t="shared" si="17"/>
        <v>41365</v>
      </c>
      <c r="AJ137" s="90">
        <f t="shared" si="18"/>
        <v>0</v>
      </c>
      <c r="AK137" s="90">
        <f t="array" ref="AK137">INDEX($P$3:$P$24,MATCH(AM137&amp;YEAR(AI137),$A$3:$A$24&amp;YEAR($B$3:$B$24),0))</f>
        <v>2000</v>
      </c>
      <c r="AL137" s="90" t="s">
        <v>1099</v>
      </c>
      <c r="AM137" s="90" t="str">
        <f t="shared" si="19"/>
        <v>Misc Revenue (360-10)</v>
      </c>
    </row>
    <row r="138" spans="1:39" ht="15.75" x14ac:dyDescent="0.2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5"/>
      <c r="S138" s="95"/>
      <c r="T138" s="95"/>
      <c r="U138" s="95"/>
      <c r="V138" s="95"/>
      <c r="W138" s="95"/>
      <c r="X138" s="95"/>
      <c r="Y138" s="90"/>
      <c r="Z138" s="90"/>
      <c r="AA138" s="90"/>
      <c r="AB138" s="90"/>
      <c r="AC138" s="90"/>
      <c r="AD138" s="90"/>
      <c r="AE138" s="90"/>
      <c r="AF138" s="90"/>
      <c r="AG138" s="90">
        <v>137</v>
      </c>
      <c r="AH138" s="90" t="s">
        <v>1097</v>
      </c>
      <c r="AI138" s="91">
        <f t="shared" si="17"/>
        <v>41395</v>
      </c>
      <c r="AJ138" s="90">
        <f t="shared" si="18"/>
        <v>0</v>
      </c>
      <c r="AK138" s="90">
        <f t="array" ref="AK138">INDEX($P$3:$P$24,MATCH(AM138&amp;YEAR(AI138),$A$3:$A$24&amp;YEAR($B$3:$B$24),0))</f>
        <v>2000</v>
      </c>
      <c r="AL138" s="90" t="s">
        <v>1099</v>
      </c>
      <c r="AM138" s="90" t="str">
        <f t="shared" si="19"/>
        <v>Misc Revenue (360-10)</v>
      </c>
    </row>
    <row r="139" spans="1:39" ht="15.75" x14ac:dyDescent="0.2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5"/>
      <c r="S139" s="95"/>
      <c r="T139" s="95"/>
      <c r="U139" s="95"/>
      <c r="V139" s="95"/>
      <c r="W139" s="95"/>
      <c r="X139" s="95"/>
      <c r="Y139" s="90"/>
      <c r="Z139" s="90"/>
      <c r="AA139" s="90"/>
      <c r="AB139" s="90"/>
      <c r="AC139" s="90"/>
      <c r="AD139" s="90"/>
      <c r="AE139" s="90"/>
      <c r="AF139" s="90"/>
      <c r="AG139" s="90">
        <v>138</v>
      </c>
      <c r="AH139" s="90" t="s">
        <v>1097</v>
      </c>
      <c r="AI139" s="91">
        <f t="shared" si="17"/>
        <v>41426</v>
      </c>
      <c r="AJ139" s="90">
        <f t="shared" si="18"/>
        <v>0</v>
      </c>
      <c r="AK139" s="90">
        <f t="array" ref="AK139">INDEX($P$3:$P$24,MATCH(AM139&amp;YEAR(AI139),$A$3:$A$24&amp;YEAR($B$3:$B$24),0))</f>
        <v>2000</v>
      </c>
      <c r="AL139" s="90" t="s">
        <v>1099</v>
      </c>
      <c r="AM139" s="90" t="str">
        <f t="shared" si="19"/>
        <v>Misc Revenue (360-10)</v>
      </c>
    </row>
    <row r="140" spans="1:39" ht="15.75" x14ac:dyDescent="0.2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5"/>
      <c r="S140" s="95"/>
      <c r="T140" s="95"/>
      <c r="U140" s="95"/>
      <c r="V140" s="95"/>
      <c r="W140" s="95"/>
      <c r="X140" s="95"/>
      <c r="Y140" s="90"/>
      <c r="Z140" s="90"/>
      <c r="AA140" s="90"/>
      <c r="AB140" s="90"/>
      <c r="AC140" s="90"/>
      <c r="AD140" s="90"/>
      <c r="AE140" s="90"/>
      <c r="AF140" s="90"/>
      <c r="AG140" s="90">
        <v>139</v>
      </c>
      <c r="AH140" s="90" t="s">
        <v>1097</v>
      </c>
      <c r="AI140" s="91">
        <f t="shared" si="17"/>
        <v>41456</v>
      </c>
      <c r="AJ140" s="90">
        <f t="shared" si="18"/>
        <v>0</v>
      </c>
      <c r="AK140" s="90">
        <f t="array" ref="AK140">INDEX($P$3:$P$24,MATCH(AM140&amp;YEAR(AI140),$A$3:$A$24&amp;YEAR($B$3:$B$24),0))</f>
        <v>2000</v>
      </c>
      <c r="AL140" s="90" t="s">
        <v>1099</v>
      </c>
      <c r="AM140" s="90" t="str">
        <f t="shared" si="19"/>
        <v>Misc Revenue (360-10)</v>
      </c>
    </row>
    <row r="141" spans="1:39" ht="15.75" x14ac:dyDescent="0.2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5"/>
      <c r="S141" s="95"/>
      <c r="T141" s="95"/>
      <c r="U141" s="95"/>
      <c r="V141" s="95"/>
      <c r="W141" s="95"/>
      <c r="X141" s="95"/>
      <c r="Y141" s="90"/>
      <c r="Z141" s="90"/>
      <c r="AA141" s="90"/>
      <c r="AB141" s="90"/>
      <c r="AC141" s="90"/>
      <c r="AD141" s="90"/>
      <c r="AE141" s="90"/>
      <c r="AF141" s="90"/>
      <c r="AG141" s="90">
        <v>140</v>
      </c>
      <c r="AH141" s="90" t="s">
        <v>1097</v>
      </c>
      <c r="AI141" s="91">
        <f t="shared" si="17"/>
        <v>41487</v>
      </c>
      <c r="AJ141" s="90">
        <f t="shared" si="18"/>
        <v>0</v>
      </c>
      <c r="AK141" s="90">
        <f t="array" ref="AK141">INDEX($P$3:$P$24,MATCH(AM141&amp;YEAR(AI141),$A$3:$A$24&amp;YEAR($B$3:$B$24),0))</f>
        <v>2000</v>
      </c>
      <c r="AL141" s="90" t="s">
        <v>1099</v>
      </c>
      <c r="AM141" s="90" t="str">
        <f t="shared" si="19"/>
        <v>Misc Revenue (360-10)</v>
      </c>
    </row>
    <row r="142" spans="1:39" ht="15.75" x14ac:dyDescent="0.2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5"/>
      <c r="S142" s="95"/>
      <c r="T142" s="95"/>
      <c r="U142" s="95"/>
      <c r="V142" s="95"/>
      <c r="W142" s="95"/>
      <c r="X142" s="95"/>
      <c r="Y142" s="90"/>
      <c r="Z142" s="90"/>
      <c r="AA142" s="90"/>
      <c r="AB142" s="90"/>
      <c r="AC142" s="90"/>
      <c r="AD142" s="90"/>
      <c r="AE142" s="90"/>
      <c r="AF142" s="90"/>
      <c r="AG142" s="90">
        <v>141</v>
      </c>
      <c r="AH142" s="90" t="s">
        <v>1097</v>
      </c>
      <c r="AI142" s="91">
        <f t="shared" si="17"/>
        <v>41518</v>
      </c>
      <c r="AJ142" s="90">
        <f t="shared" si="18"/>
        <v>0</v>
      </c>
      <c r="AK142" s="90">
        <f t="array" ref="AK142">INDEX($P$3:$P$24,MATCH(AM142&amp;YEAR(AI142),$A$3:$A$24&amp;YEAR($B$3:$B$24),0))</f>
        <v>2000</v>
      </c>
      <c r="AL142" s="90" t="s">
        <v>1099</v>
      </c>
      <c r="AM142" s="90" t="str">
        <f t="shared" si="19"/>
        <v>Misc Revenue (360-10)</v>
      </c>
    </row>
    <row r="143" spans="1:39" ht="15.75" x14ac:dyDescent="0.2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5"/>
      <c r="S143" s="95"/>
      <c r="T143" s="95"/>
      <c r="U143" s="95"/>
      <c r="V143" s="95"/>
      <c r="W143" s="95"/>
      <c r="X143" s="95"/>
      <c r="Y143" s="90"/>
      <c r="Z143" s="90"/>
      <c r="AA143" s="90"/>
      <c r="AB143" s="90"/>
      <c r="AC143" s="90"/>
      <c r="AD143" s="90"/>
      <c r="AE143" s="90"/>
      <c r="AF143" s="90"/>
      <c r="AG143" s="90">
        <v>142</v>
      </c>
      <c r="AH143" s="90" t="s">
        <v>1097</v>
      </c>
      <c r="AI143" s="91">
        <f t="shared" si="17"/>
        <v>41548</v>
      </c>
      <c r="AJ143" s="90">
        <f t="shared" si="18"/>
        <v>0</v>
      </c>
      <c r="AK143" s="90">
        <f t="array" ref="AK143">INDEX($P$3:$P$24,MATCH(AM143&amp;YEAR(AI143),$A$3:$A$24&amp;YEAR($B$3:$B$24),0))</f>
        <v>2000</v>
      </c>
      <c r="AL143" s="90" t="s">
        <v>1099</v>
      </c>
      <c r="AM143" s="90" t="str">
        <f t="shared" si="19"/>
        <v>Misc Revenue (360-10)</v>
      </c>
    </row>
    <row r="144" spans="1:39" ht="15.75" x14ac:dyDescent="0.2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5"/>
      <c r="S144" s="95"/>
      <c r="T144" s="95"/>
      <c r="U144" s="95"/>
      <c r="V144" s="95"/>
      <c r="W144" s="95"/>
      <c r="X144" s="95"/>
      <c r="Y144" s="90"/>
      <c r="Z144" s="90"/>
      <c r="AA144" s="90"/>
      <c r="AB144" s="90"/>
      <c r="AC144" s="90"/>
      <c r="AD144" s="90"/>
      <c r="AE144" s="90"/>
      <c r="AF144" s="90"/>
      <c r="AG144" s="90">
        <v>143</v>
      </c>
      <c r="AH144" s="90" t="s">
        <v>1097</v>
      </c>
      <c r="AI144" s="91">
        <f t="shared" si="17"/>
        <v>41579</v>
      </c>
      <c r="AJ144" s="90">
        <f t="shared" si="18"/>
        <v>0</v>
      </c>
      <c r="AK144" s="90">
        <f t="array" ref="AK144">INDEX($P$3:$P$24,MATCH(AM144&amp;YEAR(AI144),$A$3:$A$24&amp;YEAR($B$3:$B$24),0))</f>
        <v>2000</v>
      </c>
      <c r="AL144" s="90" t="s">
        <v>1099</v>
      </c>
      <c r="AM144" s="90" t="str">
        <f t="shared" si="19"/>
        <v>Misc Revenue (360-10)</v>
      </c>
    </row>
    <row r="145" spans="1:39" ht="15.75" x14ac:dyDescent="0.2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5"/>
      <c r="S145" s="95"/>
      <c r="T145" s="95"/>
      <c r="U145" s="95"/>
      <c r="V145" s="95"/>
      <c r="W145" s="95"/>
      <c r="X145" s="95"/>
      <c r="Y145" s="90"/>
      <c r="Z145" s="90"/>
      <c r="AA145" s="90"/>
      <c r="AB145" s="90"/>
      <c r="AC145" s="90"/>
      <c r="AD145" s="90"/>
      <c r="AE145" s="90"/>
      <c r="AF145" s="90"/>
      <c r="AG145" s="90">
        <v>144</v>
      </c>
      <c r="AH145" s="90" t="s">
        <v>1097</v>
      </c>
      <c r="AI145" s="91">
        <f t="shared" si="17"/>
        <v>41609</v>
      </c>
      <c r="AJ145" s="90">
        <f t="shared" si="18"/>
        <v>0</v>
      </c>
      <c r="AK145" s="90">
        <f t="array" ref="AK145">INDEX($P$3:$P$24,MATCH(AM145&amp;YEAR(AI145),$A$3:$A$24&amp;YEAR($B$3:$B$24),0))</f>
        <v>2000</v>
      </c>
      <c r="AL145" s="90" t="s">
        <v>1099</v>
      </c>
      <c r="AM145" s="90" t="str">
        <f t="shared" si="19"/>
        <v>Misc Revenue (360-10)</v>
      </c>
    </row>
    <row r="146" spans="1:39" ht="15.75" x14ac:dyDescent="0.2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5"/>
      <c r="S146" s="95"/>
      <c r="T146" s="95"/>
      <c r="U146" s="95"/>
      <c r="V146" s="95"/>
      <c r="W146" s="95"/>
      <c r="X146" s="95"/>
      <c r="Y146" s="90"/>
      <c r="Z146" s="90"/>
      <c r="AA146" s="90"/>
      <c r="AB146" s="90"/>
      <c r="AC146" s="90"/>
      <c r="AD146" s="90"/>
      <c r="AE146" s="90"/>
      <c r="AF146" s="90"/>
      <c r="AG146" s="90">
        <v>145</v>
      </c>
      <c r="AH146" s="90" t="s">
        <v>1097</v>
      </c>
      <c r="AI146" s="91">
        <f t="shared" si="17"/>
        <v>40909</v>
      </c>
      <c r="AJ146" s="90">
        <f t="shared" si="18"/>
        <v>0</v>
      </c>
      <c r="AK146" s="90">
        <f t="array" ref="AK146">INDEX($P$3:$P$24,MATCH(AM146&amp;YEAR(AI146),$A$3:$A$24&amp;YEAR($B$3:$B$24),0))</f>
        <v>112500</v>
      </c>
      <c r="AL146" s="90" t="s">
        <v>1099</v>
      </c>
      <c r="AM146" s="90" t="str">
        <f t="shared" si="19"/>
        <v>Interest Income -Operating (361-20)</v>
      </c>
    </row>
    <row r="147" spans="1:39" ht="15.75" x14ac:dyDescent="0.2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5"/>
      <c r="S147" s="95"/>
      <c r="T147" s="95"/>
      <c r="U147" s="95"/>
      <c r="V147" s="95"/>
      <c r="W147" s="95"/>
      <c r="X147" s="95"/>
      <c r="Y147" s="90"/>
      <c r="Z147" s="90"/>
      <c r="AA147" s="90"/>
      <c r="AB147" s="90"/>
      <c r="AC147" s="90"/>
      <c r="AD147" s="90"/>
      <c r="AE147" s="90"/>
      <c r="AF147" s="90"/>
      <c r="AG147" s="90">
        <v>146</v>
      </c>
      <c r="AH147" s="90" t="s">
        <v>1097</v>
      </c>
      <c r="AI147" s="91">
        <f t="shared" si="17"/>
        <v>40940</v>
      </c>
      <c r="AJ147" s="90">
        <f t="shared" si="18"/>
        <v>4901.91</v>
      </c>
      <c r="AK147" s="90">
        <f t="array" ref="AK147">INDEX($P$3:$P$24,MATCH(AM147&amp;YEAR(AI147),$A$3:$A$24&amp;YEAR($B$3:$B$24),0))</f>
        <v>112500</v>
      </c>
      <c r="AL147" s="90" t="s">
        <v>1099</v>
      </c>
      <c r="AM147" s="90" t="str">
        <f t="shared" si="19"/>
        <v>Interest Income -Operating (361-20)</v>
      </c>
    </row>
    <row r="148" spans="1:39" ht="15.75" x14ac:dyDescent="0.2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5"/>
      <c r="S148" s="95"/>
      <c r="T148" s="95"/>
      <c r="U148" s="95"/>
      <c r="V148" s="95"/>
      <c r="W148" s="95"/>
      <c r="X148" s="95"/>
      <c r="Y148" s="90"/>
      <c r="Z148" s="90"/>
      <c r="AA148" s="90"/>
      <c r="AB148" s="90"/>
      <c r="AC148" s="90"/>
      <c r="AD148" s="90"/>
      <c r="AE148" s="90"/>
      <c r="AF148" s="90"/>
      <c r="AG148" s="90">
        <v>147</v>
      </c>
      <c r="AH148" s="90" t="s">
        <v>1097</v>
      </c>
      <c r="AI148" s="91">
        <f t="shared" si="17"/>
        <v>40969</v>
      </c>
      <c r="AJ148" s="90">
        <f t="shared" si="18"/>
        <v>5002.08</v>
      </c>
      <c r="AK148" s="90">
        <f t="array" ref="AK148">INDEX($P$3:$P$24,MATCH(AM148&amp;YEAR(AI148),$A$3:$A$24&amp;YEAR($B$3:$B$24),0))</f>
        <v>112500</v>
      </c>
      <c r="AL148" s="90" t="s">
        <v>1099</v>
      </c>
      <c r="AM148" s="90" t="str">
        <f t="shared" si="19"/>
        <v>Interest Income -Operating (361-20)</v>
      </c>
    </row>
    <row r="149" spans="1:39" ht="15.75" x14ac:dyDescent="0.2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5"/>
      <c r="S149" s="95"/>
      <c r="T149" s="95"/>
      <c r="U149" s="95"/>
      <c r="V149" s="95"/>
      <c r="W149" s="95"/>
      <c r="X149" s="95"/>
      <c r="Y149" s="90"/>
      <c r="Z149" s="90"/>
      <c r="AA149" s="90"/>
      <c r="AB149" s="90"/>
      <c r="AC149" s="90"/>
      <c r="AD149" s="90"/>
      <c r="AE149" s="90"/>
      <c r="AF149" s="90"/>
      <c r="AG149" s="90">
        <v>148</v>
      </c>
      <c r="AH149" s="90" t="s">
        <v>1097</v>
      </c>
      <c r="AI149" s="91">
        <f t="shared" si="17"/>
        <v>41000</v>
      </c>
      <c r="AJ149" s="90">
        <f t="shared" si="18"/>
        <v>4657.3</v>
      </c>
      <c r="AK149" s="90">
        <f t="array" ref="AK149">INDEX($P$3:$P$24,MATCH(AM149&amp;YEAR(AI149),$A$3:$A$24&amp;YEAR($B$3:$B$24),0))</f>
        <v>112500</v>
      </c>
      <c r="AL149" s="90" t="s">
        <v>1099</v>
      </c>
      <c r="AM149" s="90" t="str">
        <f t="shared" si="19"/>
        <v>Interest Income -Operating (361-20)</v>
      </c>
    </row>
    <row r="150" spans="1:39" ht="15.75" x14ac:dyDescent="0.2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5"/>
      <c r="S150" s="95"/>
      <c r="T150" s="95"/>
      <c r="U150" s="95"/>
      <c r="V150" s="95"/>
      <c r="W150" s="95"/>
      <c r="X150" s="95"/>
      <c r="Y150" s="90"/>
      <c r="Z150" s="90"/>
      <c r="AA150" s="90"/>
      <c r="AB150" s="90"/>
      <c r="AC150" s="90"/>
      <c r="AD150" s="90"/>
      <c r="AE150" s="90"/>
      <c r="AF150" s="90"/>
      <c r="AG150" s="90">
        <v>149</v>
      </c>
      <c r="AH150" s="90" t="s">
        <v>1097</v>
      </c>
      <c r="AI150" s="91">
        <f t="shared" si="17"/>
        <v>41030</v>
      </c>
      <c r="AJ150" s="90">
        <f t="shared" si="18"/>
        <v>4370.76</v>
      </c>
      <c r="AK150" s="90">
        <f t="array" ref="AK150">INDEX($P$3:$P$24,MATCH(AM150&amp;YEAR(AI150),$A$3:$A$24&amp;YEAR($B$3:$B$24),0))</f>
        <v>112500</v>
      </c>
      <c r="AL150" s="90" t="s">
        <v>1099</v>
      </c>
      <c r="AM150" s="90" t="str">
        <f t="shared" si="19"/>
        <v>Interest Income -Operating (361-20)</v>
      </c>
    </row>
    <row r="151" spans="1:39" ht="15.75" x14ac:dyDescent="0.2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5"/>
      <c r="S151" s="95"/>
      <c r="T151" s="95"/>
      <c r="U151" s="95"/>
      <c r="V151" s="95"/>
      <c r="W151" s="95"/>
      <c r="X151" s="95"/>
      <c r="Y151" s="90"/>
      <c r="Z151" s="90"/>
      <c r="AA151" s="90"/>
      <c r="AB151" s="90"/>
      <c r="AC151" s="90"/>
      <c r="AD151" s="90"/>
      <c r="AE151" s="90"/>
      <c r="AF151" s="90"/>
      <c r="AG151" s="90">
        <v>150</v>
      </c>
      <c r="AH151" s="90" t="s">
        <v>1097</v>
      </c>
      <c r="AI151" s="91">
        <f t="shared" si="17"/>
        <v>41061</v>
      </c>
      <c r="AJ151" s="90">
        <f t="shared" si="18"/>
        <v>3646.47</v>
      </c>
      <c r="AK151" s="90">
        <f t="array" ref="AK151">INDEX($P$3:$P$24,MATCH(AM151&amp;YEAR(AI151),$A$3:$A$24&amp;YEAR($B$3:$B$24),0))</f>
        <v>112500</v>
      </c>
      <c r="AL151" s="90" t="s">
        <v>1099</v>
      </c>
      <c r="AM151" s="90" t="str">
        <f t="shared" si="19"/>
        <v>Interest Income -Operating (361-20)</v>
      </c>
    </row>
    <row r="152" spans="1:39" ht="15.75" x14ac:dyDescent="0.2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5"/>
      <c r="S152" s="95"/>
      <c r="T152" s="95"/>
      <c r="U152" s="95"/>
      <c r="V152" s="95"/>
      <c r="W152" s="95"/>
      <c r="X152" s="95"/>
      <c r="Y152" s="90"/>
      <c r="Z152" s="90"/>
      <c r="AA152" s="90"/>
      <c r="AB152" s="90"/>
      <c r="AC152" s="90"/>
      <c r="AD152" s="90"/>
      <c r="AE152" s="90"/>
      <c r="AF152" s="90"/>
      <c r="AG152" s="90">
        <v>151</v>
      </c>
      <c r="AH152" s="90" t="s">
        <v>1097</v>
      </c>
      <c r="AI152" s="91">
        <f t="shared" si="17"/>
        <v>41091</v>
      </c>
      <c r="AJ152" s="90">
        <f t="shared" si="18"/>
        <v>3734.41</v>
      </c>
      <c r="AK152" s="90">
        <f t="array" ref="AK152">INDEX($P$3:$P$24,MATCH(AM152&amp;YEAR(AI152),$A$3:$A$24&amp;YEAR($B$3:$B$24),0))</f>
        <v>112500</v>
      </c>
      <c r="AL152" s="90" t="s">
        <v>1099</v>
      </c>
      <c r="AM152" s="90" t="str">
        <f t="shared" si="19"/>
        <v>Interest Income -Operating (361-20)</v>
      </c>
    </row>
    <row r="153" spans="1:39" ht="15.75" x14ac:dyDescent="0.2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5"/>
      <c r="S153" s="95"/>
      <c r="T153" s="95"/>
      <c r="U153" s="95"/>
      <c r="V153" s="95"/>
      <c r="W153" s="95"/>
      <c r="X153" s="95"/>
      <c r="Y153" s="90"/>
      <c r="Z153" s="90"/>
      <c r="AA153" s="90"/>
      <c r="AB153" s="90"/>
      <c r="AC153" s="90"/>
      <c r="AD153" s="90"/>
      <c r="AE153" s="90"/>
      <c r="AF153" s="90"/>
      <c r="AG153" s="90">
        <v>152</v>
      </c>
      <c r="AH153" s="90" t="s">
        <v>1097</v>
      </c>
      <c r="AI153" s="91">
        <f t="shared" si="17"/>
        <v>41122</v>
      </c>
      <c r="AJ153" s="90">
        <f t="shared" si="18"/>
        <v>3645.49</v>
      </c>
      <c r="AK153" s="90">
        <f t="array" ref="AK153">INDEX($P$3:$P$24,MATCH(AM153&amp;YEAR(AI153),$A$3:$A$24&amp;YEAR($B$3:$B$24),0))</f>
        <v>112500</v>
      </c>
      <c r="AL153" s="90" t="s">
        <v>1099</v>
      </c>
      <c r="AM153" s="90" t="str">
        <f t="shared" si="19"/>
        <v>Interest Income -Operating (361-20)</v>
      </c>
    </row>
    <row r="154" spans="1:39" ht="15.75" x14ac:dyDescent="0.2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5"/>
      <c r="S154" s="95"/>
      <c r="T154" s="95"/>
      <c r="U154" s="95"/>
      <c r="V154" s="95"/>
      <c r="W154" s="95"/>
      <c r="X154" s="95"/>
      <c r="Y154" s="90"/>
      <c r="Z154" s="90"/>
      <c r="AA154" s="90"/>
      <c r="AB154" s="90"/>
      <c r="AC154" s="90"/>
      <c r="AD154" s="90"/>
      <c r="AE154" s="90"/>
      <c r="AF154" s="90"/>
      <c r="AG154" s="90">
        <v>153</v>
      </c>
      <c r="AH154" s="90" t="s">
        <v>1097</v>
      </c>
      <c r="AI154" s="91">
        <f t="shared" si="17"/>
        <v>41153</v>
      </c>
      <c r="AJ154" s="90">
        <f t="shared" si="18"/>
        <v>3347.7</v>
      </c>
      <c r="AK154" s="90">
        <f t="array" ref="AK154">INDEX($P$3:$P$24,MATCH(AM154&amp;YEAR(AI154),$A$3:$A$24&amp;YEAR($B$3:$B$24),0))</f>
        <v>112500</v>
      </c>
      <c r="AL154" s="90" t="s">
        <v>1099</v>
      </c>
      <c r="AM154" s="90" t="str">
        <f t="shared" si="19"/>
        <v>Interest Income -Operating (361-20)</v>
      </c>
    </row>
    <row r="155" spans="1:39" ht="15.75" x14ac:dyDescent="0.2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5"/>
      <c r="S155" s="95"/>
      <c r="T155" s="95"/>
      <c r="U155" s="95"/>
      <c r="V155" s="95"/>
      <c r="W155" s="95"/>
      <c r="X155" s="95"/>
      <c r="Y155" s="90"/>
      <c r="Z155" s="90"/>
      <c r="AA155" s="90"/>
      <c r="AB155" s="90"/>
      <c r="AC155" s="90"/>
      <c r="AD155" s="90"/>
      <c r="AE155" s="90"/>
      <c r="AF155" s="90"/>
      <c r="AG155" s="90">
        <v>154</v>
      </c>
      <c r="AH155" s="90" t="s">
        <v>1097</v>
      </c>
      <c r="AI155" s="91">
        <f t="shared" si="17"/>
        <v>41183</v>
      </c>
      <c r="AJ155" s="90">
        <f t="shared" si="18"/>
        <v>3148.14</v>
      </c>
      <c r="AK155" s="90">
        <f t="array" ref="AK155">INDEX($P$3:$P$24,MATCH(AM155&amp;YEAR(AI155),$A$3:$A$24&amp;YEAR($B$3:$B$24),0))</f>
        <v>112500</v>
      </c>
      <c r="AL155" s="90" t="s">
        <v>1099</v>
      </c>
      <c r="AM155" s="90" t="str">
        <f t="shared" si="19"/>
        <v>Interest Income -Operating (361-20)</v>
      </c>
    </row>
    <row r="156" spans="1:39" ht="15.75" x14ac:dyDescent="0.2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5"/>
      <c r="S156" s="95"/>
      <c r="T156" s="95"/>
      <c r="U156" s="95"/>
      <c r="V156" s="95"/>
      <c r="W156" s="95"/>
      <c r="X156" s="95"/>
      <c r="Y156" s="90"/>
      <c r="Z156" s="90"/>
      <c r="AA156" s="90"/>
      <c r="AB156" s="90"/>
      <c r="AC156" s="90"/>
      <c r="AD156" s="90"/>
      <c r="AE156" s="90"/>
      <c r="AF156" s="90"/>
      <c r="AG156" s="90">
        <v>155</v>
      </c>
      <c r="AH156" s="90" t="s">
        <v>1097</v>
      </c>
      <c r="AI156" s="91">
        <f t="shared" si="17"/>
        <v>41214</v>
      </c>
      <c r="AJ156" s="90">
        <f t="shared" si="18"/>
        <v>2886.8</v>
      </c>
      <c r="AK156" s="90">
        <f t="array" ref="AK156">INDEX($P$3:$P$24,MATCH(AM156&amp;YEAR(AI156),$A$3:$A$24&amp;YEAR($B$3:$B$24),0))</f>
        <v>112500</v>
      </c>
      <c r="AL156" s="90" t="s">
        <v>1099</v>
      </c>
      <c r="AM156" s="90" t="str">
        <f t="shared" si="19"/>
        <v>Interest Income -Operating (361-20)</v>
      </c>
    </row>
    <row r="157" spans="1:39" ht="15.75" x14ac:dyDescent="0.2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5"/>
      <c r="S157" s="95"/>
      <c r="T157" s="95"/>
      <c r="U157" s="95"/>
      <c r="V157" s="95"/>
      <c r="W157" s="95"/>
      <c r="X157" s="95"/>
      <c r="Y157" s="90"/>
      <c r="Z157" s="90"/>
      <c r="AA157" s="90"/>
      <c r="AB157" s="90"/>
      <c r="AC157" s="90"/>
      <c r="AD157" s="90"/>
      <c r="AE157" s="90"/>
      <c r="AF157" s="90"/>
      <c r="AG157" s="90">
        <v>156</v>
      </c>
      <c r="AH157" s="90" t="s">
        <v>1097</v>
      </c>
      <c r="AI157" s="91">
        <f t="shared" si="17"/>
        <v>41244</v>
      </c>
      <c r="AJ157" s="90">
        <f t="shared" si="18"/>
        <v>4183.1100000000006</v>
      </c>
      <c r="AK157" s="90">
        <f t="array" ref="AK157">INDEX($P$3:$P$24,MATCH(AM157&amp;YEAR(AI157),$A$3:$A$24&amp;YEAR($B$3:$B$24),0))</f>
        <v>112500</v>
      </c>
      <c r="AL157" s="90" t="s">
        <v>1099</v>
      </c>
      <c r="AM157" s="90" t="str">
        <f t="shared" si="19"/>
        <v>Interest Income -Operating (361-20)</v>
      </c>
    </row>
    <row r="158" spans="1:39" ht="15.75" x14ac:dyDescent="0.2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5"/>
      <c r="S158" s="95"/>
      <c r="T158" s="95"/>
      <c r="U158" s="95"/>
      <c r="V158" s="95"/>
      <c r="W158" s="95"/>
      <c r="X158" s="95"/>
      <c r="Y158" s="90"/>
      <c r="Z158" s="90"/>
      <c r="AA158" s="90"/>
      <c r="AB158" s="90"/>
      <c r="AC158" s="90"/>
      <c r="AD158" s="90"/>
      <c r="AE158" s="90"/>
      <c r="AF158" s="90"/>
      <c r="AG158" s="90">
        <v>157</v>
      </c>
      <c r="AH158" s="90" t="s">
        <v>1097</v>
      </c>
      <c r="AI158" s="91">
        <f t="shared" si="17"/>
        <v>41275</v>
      </c>
      <c r="AJ158" s="90">
        <f t="shared" si="18"/>
        <v>0</v>
      </c>
      <c r="AK158" s="90">
        <f t="array" ref="AK158">INDEX($P$3:$P$24,MATCH(AM158&amp;YEAR(AI158),$A$3:$A$24&amp;YEAR($B$3:$B$24),0))</f>
        <v>116800</v>
      </c>
      <c r="AL158" s="90" t="s">
        <v>1099</v>
      </c>
      <c r="AM158" s="90" t="str">
        <f t="shared" si="19"/>
        <v>Interest Income -Operating (361-20)</v>
      </c>
    </row>
    <row r="159" spans="1:39" ht="15.75" x14ac:dyDescent="0.2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5"/>
      <c r="S159" s="95"/>
      <c r="T159" s="95"/>
      <c r="U159" s="95"/>
      <c r="V159" s="95"/>
      <c r="W159" s="95"/>
      <c r="X159" s="95"/>
      <c r="Y159" s="90"/>
      <c r="Z159" s="90"/>
      <c r="AA159" s="90"/>
      <c r="AB159" s="90"/>
      <c r="AC159" s="90"/>
      <c r="AD159" s="90"/>
      <c r="AE159" s="90"/>
      <c r="AF159" s="90"/>
      <c r="AG159" s="90">
        <v>158</v>
      </c>
      <c r="AH159" s="90" t="s">
        <v>1097</v>
      </c>
      <c r="AI159" s="91">
        <f t="shared" si="17"/>
        <v>41306</v>
      </c>
      <c r="AJ159" s="90">
        <f t="shared" si="18"/>
        <v>1446.79</v>
      </c>
      <c r="AK159" s="90">
        <f t="array" ref="AK159">INDEX($P$3:$P$24,MATCH(AM159&amp;YEAR(AI159),$A$3:$A$24&amp;YEAR($B$3:$B$24),0))</f>
        <v>116800</v>
      </c>
      <c r="AL159" s="90" t="s">
        <v>1099</v>
      </c>
      <c r="AM159" s="90" t="str">
        <f t="shared" si="19"/>
        <v>Interest Income -Operating (361-20)</v>
      </c>
    </row>
    <row r="160" spans="1:39" ht="15.75" x14ac:dyDescent="0.2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5"/>
      <c r="S160" s="95"/>
      <c r="T160" s="95"/>
      <c r="U160" s="95"/>
      <c r="V160" s="95"/>
      <c r="W160" s="95"/>
      <c r="X160" s="95"/>
      <c r="Y160" s="90"/>
      <c r="Z160" s="90"/>
      <c r="AA160" s="90"/>
      <c r="AB160" s="90"/>
      <c r="AC160" s="90"/>
      <c r="AD160" s="90"/>
      <c r="AE160" s="90"/>
      <c r="AF160" s="90"/>
      <c r="AG160" s="90">
        <v>159</v>
      </c>
      <c r="AH160" s="90" t="s">
        <v>1097</v>
      </c>
      <c r="AI160" s="91">
        <f t="shared" si="17"/>
        <v>41334</v>
      </c>
      <c r="AJ160" s="90">
        <f t="shared" si="18"/>
        <v>1079.8400000000001</v>
      </c>
      <c r="AK160" s="90">
        <f t="array" ref="AK160">INDEX($P$3:$P$24,MATCH(AM160&amp;YEAR(AI160),$A$3:$A$24&amp;YEAR($B$3:$B$24),0))</f>
        <v>116800</v>
      </c>
      <c r="AL160" s="90" t="s">
        <v>1099</v>
      </c>
      <c r="AM160" s="90" t="str">
        <f t="shared" si="19"/>
        <v>Interest Income -Operating (361-20)</v>
      </c>
    </row>
    <row r="161" spans="1:39" ht="15.75" x14ac:dyDescent="0.2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5"/>
      <c r="S161" s="95"/>
      <c r="T161" s="95"/>
      <c r="U161" s="95"/>
      <c r="V161" s="95"/>
      <c r="W161" s="95"/>
      <c r="X161" s="95"/>
      <c r="Y161" s="90"/>
      <c r="Z161" s="90"/>
      <c r="AA161" s="90"/>
      <c r="AB161" s="90"/>
      <c r="AC161" s="90"/>
      <c r="AD161" s="90"/>
      <c r="AE161" s="90"/>
      <c r="AF161" s="90"/>
      <c r="AG161" s="90">
        <v>160</v>
      </c>
      <c r="AH161" s="90" t="s">
        <v>1097</v>
      </c>
      <c r="AI161" s="91">
        <f t="shared" si="17"/>
        <v>41365</v>
      </c>
      <c r="AJ161" s="90">
        <f t="shared" si="18"/>
        <v>1082.5700000000002</v>
      </c>
      <c r="AK161" s="90">
        <f t="array" ref="AK161">INDEX($P$3:$P$24,MATCH(AM161&amp;YEAR(AI161),$A$3:$A$24&amp;YEAR($B$3:$B$24),0))</f>
        <v>116800</v>
      </c>
      <c r="AL161" s="90" t="s">
        <v>1099</v>
      </c>
      <c r="AM161" s="90" t="str">
        <f t="shared" si="19"/>
        <v>Interest Income -Operating (361-20)</v>
      </c>
    </row>
    <row r="162" spans="1:39" ht="15.75" x14ac:dyDescent="0.2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5"/>
      <c r="S162" s="95"/>
      <c r="T162" s="95"/>
      <c r="U162" s="95"/>
      <c r="V162" s="95"/>
      <c r="W162" s="95"/>
      <c r="X162" s="95"/>
      <c r="Y162" s="90"/>
      <c r="Z162" s="90"/>
      <c r="AA162" s="90"/>
      <c r="AB162" s="90"/>
      <c r="AC162" s="90"/>
      <c r="AD162" s="90"/>
      <c r="AE162" s="90"/>
      <c r="AF162" s="90"/>
      <c r="AG162" s="90">
        <v>161</v>
      </c>
      <c r="AH162" s="90" t="s">
        <v>1097</v>
      </c>
      <c r="AI162" s="91">
        <f t="shared" si="17"/>
        <v>41395</v>
      </c>
      <c r="AJ162" s="90">
        <f t="shared" si="18"/>
        <v>1062.55</v>
      </c>
      <c r="AK162" s="90">
        <f t="array" ref="AK162">INDEX($P$3:$P$24,MATCH(AM162&amp;YEAR(AI162),$A$3:$A$24&amp;YEAR($B$3:$B$24),0))</f>
        <v>116800</v>
      </c>
      <c r="AL162" s="90" t="s">
        <v>1099</v>
      </c>
      <c r="AM162" s="90" t="str">
        <f t="shared" si="19"/>
        <v>Interest Income -Operating (361-20)</v>
      </c>
    </row>
    <row r="163" spans="1:39" ht="15.75" x14ac:dyDescent="0.2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5"/>
      <c r="S163" s="95"/>
      <c r="T163" s="95"/>
      <c r="U163" s="95"/>
      <c r="V163" s="95"/>
      <c r="W163" s="95"/>
      <c r="X163" s="95"/>
      <c r="Y163" s="90"/>
      <c r="Z163" s="90"/>
      <c r="AA163" s="90"/>
      <c r="AB163" s="90"/>
      <c r="AC163" s="90"/>
      <c r="AD163" s="90"/>
      <c r="AE163" s="90"/>
      <c r="AF163" s="90"/>
      <c r="AG163" s="90">
        <v>162</v>
      </c>
      <c r="AH163" s="90" t="s">
        <v>1097</v>
      </c>
      <c r="AI163" s="91">
        <f t="shared" si="17"/>
        <v>41426</v>
      </c>
      <c r="AJ163" s="90">
        <f t="shared" si="18"/>
        <v>0</v>
      </c>
      <c r="AK163" s="90">
        <f t="array" ref="AK163">INDEX($P$3:$P$24,MATCH(AM163&amp;YEAR(AI163),$A$3:$A$24&amp;YEAR($B$3:$B$24),0))</f>
        <v>116800</v>
      </c>
      <c r="AL163" s="90" t="s">
        <v>1099</v>
      </c>
      <c r="AM163" s="90" t="str">
        <f t="shared" si="19"/>
        <v>Interest Income -Operating (361-20)</v>
      </c>
    </row>
    <row r="164" spans="1:39" ht="15.75" x14ac:dyDescent="0.2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5"/>
      <c r="S164" s="95"/>
      <c r="T164" s="95"/>
      <c r="U164" s="95"/>
      <c r="V164" s="95"/>
      <c r="W164" s="95"/>
      <c r="X164" s="95"/>
      <c r="Y164" s="90"/>
      <c r="Z164" s="90"/>
      <c r="AA164" s="90"/>
      <c r="AB164" s="90"/>
      <c r="AC164" s="90"/>
      <c r="AD164" s="90"/>
      <c r="AE164" s="90"/>
      <c r="AF164" s="90"/>
      <c r="AG164" s="90">
        <v>163</v>
      </c>
      <c r="AH164" s="90" t="s">
        <v>1097</v>
      </c>
      <c r="AI164" s="91">
        <f t="shared" si="17"/>
        <v>41456</v>
      </c>
      <c r="AJ164" s="90">
        <f t="shared" si="18"/>
        <v>0</v>
      </c>
      <c r="AK164" s="90">
        <f t="array" ref="AK164">INDEX($P$3:$P$24,MATCH(AM164&amp;YEAR(AI164),$A$3:$A$24&amp;YEAR($B$3:$B$24),0))</f>
        <v>116800</v>
      </c>
      <c r="AL164" s="90" t="s">
        <v>1099</v>
      </c>
      <c r="AM164" s="90" t="str">
        <f t="shared" si="19"/>
        <v>Interest Income -Operating (361-20)</v>
      </c>
    </row>
    <row r="165" spans="1:39" ht="15.75" x14ac:dyDescent="0.2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5"/>
      <c r="S165" s="95"/>
      <c r="T165" s="95"/>
      <c r="U165" s="95"/>
      <c r="V165" s="95"/>
      <c r="W165" s="95"/>
      <c r="X165" s="95"/>
      <c r="Y165" s="90"/>
      <c r="Z165" s="90"/>
      <c r="AA165" s="90"/>
      <c r="AB165" s="90"/>
      <c r="AC165" s="90"/>
      <c r="AD165" s="90"/>
      <c r="AE165" s="90"/>
      <c r="AF165" s="90"/>
      <c r="AG165" s="90">
        <v>164</v>
      </c>
      <c r="AH165" s="90" t="s">
        <v>1097</v>
      </c>
      <c r="AI165" s="91">
        <f t="shared" si="17"/>
        <v>41487</v>
      </c>
      <c r="AJ165" s="90">
        <f t="shared" si="18"/>
        <v>0</v>
      </c>
      <c r="AK165" s="90">
        <f t="array" ref="AK165">INDEX($P$3:$P$24,MATCH(AM165&amp;YEAR(AI165),$A$3:$A$24&amp;YEAR($B$3:$B$24),0))</f>
        <v>116800</v>
      </c>
      <c r="AL165" s="90" t="s">
        <v>1099</v>
      </c>
      <c r="AM165" s="90" t="str">
        <f t="shared" si="19"/>
        <v>Interest Income -Operating (361-20)</v>
      </c>
    </row>
    <row r="166" spans="1:39" ht="15.75" x14ac:dyDescent="0.2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5"/>
      <c r="S166" s="95"/>
      <c r="T166" s="95"/>
      <c r="U166" s="95"/>
      <c r="V166" s="95"/>
      <c r="W166" s="95"/>
      <c r="X166" s="95"/>
      <c r="Y166" s="90"/>
      <c r="Z166" s="90"/>
      <c r="AA166" s="90"/>
      <c r="AB166" s="90"/>
      <c r="AC166" s="90"/>
      <c r="AD166" s="90"/>
      <c r="AE166" s="90"/>
      <c r="AF166" s="90"/>
      <c r="AG166" s="90">
        <v>165</v>
      </c>
      <c r="AH166" s="90" t="s">
        <v>1097</v>
      </c>
      <c r="AI166" s="91">
        <f t="shared" si="17"/>
        <v>41518</v>
      </c>
      <c r="AJ166" s="90">
        <f t="shared" si="18"/>
        <v>0</v>
      </c>
      <c r="AK166" s="90">
        <f t="array" ref="AK166">INDEX($P$3:$P$24,MATCH(AM166&amp;YEAR(AI166),$A$3:$A$24&amp;YEAR($B$3:$B$24),0))</f>
        <v>116800</v>
      </c>
      <c r="AL166" s="90" t="s">
        <v>1099</v>
      </c>
      <c r="AM166" s="90" t="str">
        <f t="shared" si="19"/>
        <v>Interest Income -Operating (361-20)</v>
      </c>
    </row>
    <row r="167" spans="1:39" ht="15.75" x14ac:dyDescent="0.2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5"/>
      <c r="S167" s="95"/>
      <c r="T167" s="95"/>
      <c r="U167" s="95"/>
      <c r="V167" s="95"/>
      <c r="W167" s="95"/>
      <c r="X167" s="95"/>
      <c r="Y167" s="90"/>
      <c r="Z167" s="90"/>
      <c r="AA167" s="90"/>
      <c r="AB167" s="90"/>
      <c r="AC167" s="90"/>
      <c r="AD167" s="90"/>
      <c r="AE167" s="90"/>
      <c r="AF167" s="90"/>
      <c r="AG167" s="90">
        <v>166</v>
      </c>
      <c r="AH167" s="90" t="s">
        <v>1097</v>
      </c>
      <c r="AI167" s="91">
        <f t="shared" si="17"/>
        <v>41548</v>
      </c>
      <c r="AJ167" s="90">
        <f t="shared" si="18"/>
        <v>0</v>
      </c>
      <c r="AK167" s="90">
        <f t="array" ref="AK167">INDEX($P$3:$P$24,MATCH(AM167&amp;YEAR(AI167),$A$3:$A$24&amp;YEAR($B$3:$B$24),0))</f>
        <v>116800</v>
      </c>
      <c r="AL167" s="90" t="s">
        <v>1099</v>
      </c>
      <c r="AM167" s="90" t="str">
        <f t="shared" si="19"/>
        <v>Interest Income -Operating (361-20)</v>
      </c>
    </row>
    <row r="168" spans="1:39" ht="15.75" x14ac:dyDescent="0.2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5"/>
      <c r="S168" s="95"/>
      <c r="T168" s="95"/>
      <c r="U168" s="95"/>
      <c r="V168" s="95"/>
      <c r="W168" s="95"/>
      <c r="X168" s="95"/>
      <c r="Y168" s="90"/>
      <c r="Z168" s="90"/>
      <c r="AA168" s="90"/>
      <c r="AB168" s="90"/>
      <c r="AC168" s="90"/>
      <c r="AD168" s="90"/>
      <c r="AE168" s="90"/>
      <c r="AF168" s="90"/>
      <c r="AG168" s="90">
        <v>167</v>
      </c>
      <c r="AH168" s="90" t="s">
        <v>1097</v>
      </c>
      <c r="AI168" s="91">
        <f t="shared" si="17"/>
        <v>41579</v>
      </c>
      <c r="AJ168" s="90">
        <f t="shared" si="18"/>
        <v>0</v>
      </c>
      <c r="AK168" s="90">
        <f t="array" ref="AK168">INDEX($P$3:$P$24,MATCH(AM168&amp;YEAR(AI168),$A$3:$A$24&amp;YEAR($B$3:$B$24),0))</f>
        <v>116800</v>
      </c>
      <c r="AL168" s="90" t="s">
        <v>1099</v>
      </c>
      <c r="AM168" s="90" t="str">
        <f t="shared" si="19"/>
        <v>Interest Income -Operating (361-20)</v>
      </c>
    </row>
    <row r="169" spans="1:39" ht="15.75" x14ac:dyDescent="0.2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5"/>
      <c r="S169" s="95"/>
      <c r="T169" s="95"/>
      <c r="U169" s="95"/>
      <c r="V169" s="95"/>
      <c r="W169" s="95"/>
      <c r="X169" s="95"/>
      <c r="Y169" s="90"/>
      <c r="Z169" s="90"/>
      <c r="AA169" s="90"/>
      <c r="AB169" s="90"/>
      <c r="AC169" s="90"/>
      <c r="AD169" s="90"/>
      <c r="AE169" s="90"/>
      <c r="AF169" s="90"/>
      <c r="AG169" s="90">
        <v>168</v>
      </c>
      <c r="AH169" s="90" t="s">
        <v>1097</v>
      </c>
      <c r="AI169" s="91">
        <f t="shared" si="17"/>
        <v>41609</v>
      </c>
      <c r="AJ169" s="90">
        <f t="shared" si="18"/>
        <v>0</v>
      </c>
      <c r="AK169" s="90">
        <f t="array" ref="AK169">INDEX($P$3:$P$24,MATCH(AM169&amp;YEAR(AI169),$A$3:$A$24&amp;YEAR($B$3:$B$24),0))</f>
        <v>116800</v>
      </c>
      <c r="AL169" s="90" t="s">
        <v>1099</v>
      </c>
      <c r="AM169" s="90" t="str">
        <f t="shared" si="19"/>
        <v>Interest Income -Operating (361-20)</v>
      </c>
    </row>
    <row r="170" spans="1:39" ht="15.75" x14ac:dyDescent="0.2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5"/>
      <c r="S170" s="95"/>
      <c r="T170" s="95"/>
      <c r="U170" s="95"/>
      <c r="V170" s="95"/>
      <c r="W170" s="95"/>
      <c r="X170" s="95"/>
      <c r="Y170" s="90"/>
      <c r="Z170" s="90"/>
      <c r="AA170" s="90"/>
      <c r="AB170" s="90"/>
      <c r="AC170" s="90"/>
      <c r="AD170" s="90"/>
      <c r="AE170" s="90"/>
      <c r="AF170" s="90"/>
      <c r="AG170" s="90">
        <v>169</v>
      </c>
      <c r="AH170" s="90" t="s">
        <v>1097</v>
      </c>
      <c r="AI170" s="91">
        <f t="shared" si="17"/>
        <v>40909</v>
      </c>
      <c r="AJ170" s="90">
        <f t="shared" si="18"/>
        <v>0</v>
      </c>
      <c r="AK170" s="90">
        <f t="array" ref="AK170">INDEX($P$3:$P$24,MATCH(AM170&amp;YEAR(AI170),$A$3:$A$24&amp;YEAR($B$3:$B$24),0))</f>
        <v>0</v>
      </c>
      <c r="AL170" s="90" t="s">
        <v>1099</v>
      </c>
      <c r="AM170" s="90" t="str">
        <f t="shared" si="19"/>
        <v>Interest Income - 2010A Bonds (361-31)</v>
      </c>
    </row>
    <row r="171" spans="1:39" ht="15.75" x14ac:dyDescent="0.2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5"/>
      <c r="S171" s="95"/>
      <c r="T171" s="95"/>
      <c r="U171" s="95"/>
      <c r="V171" s="95"/>
      <c r="W171" s="95"/>
      <c r="X171" s="95"/>
      <c r="Y171" s="90"/>
      <c r="Z171" s="90"/>
      <c r="AA171" s="90"/>
      <c r="AB171" s="90"/>
      <c r="AC171" s="90"/>
      <c r="AD171" s="90"/>
      <c r="AE171" s="90"/>
      <c r="AF171" s="90"/>
      <c r="AG171" s="90">
        <v>170</v>
      </c>
      <c r="AH171" s="90" t="s">
        <v>1097</v>
      </c>
      <c r="AI171" s="91">
        <f t="shared" si="17"/>
        <v>40940</v>
      </c>
      <c r="AJ171" s="90">
        <f t="shared" si="18"/>
        <v>0</v>
      </c>
      <c r="AK171" s="90">
        <f t="array" ref="AK171">INDEX($P$3:$P$24,MATCH(AM171&amp;YEAR(AI171),$A$3:$A$24&amp;YEAR($B$3:$B$24),0))</f>
        <v>0</v>
      </c>
      <c r="AL171" s="90" t="s">
        <v>1099</v>
      </c>
      <c r="AM171" s="90" t="str">
        <f t="shared" si="19"/>
        <v>Interest Income - 2010A Bonds (361-31)</v>
      </c>
    </row>
    <row r="172" spans="1:39" ht="15.75" x14ac:dyDescent="0.2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5"/>
      <c r="S172" s="95"/>
      <c r="T172" s="95"/>
      <c r="U172" s="95"/>
      <c r="V172" s="95"/>
      <c r="W172" s="95"/>
      <c r="X172" s="95"/>
      <c r="Y172" s="90"/>
      <c r="Z172" s="90"/>
      <c r="AA172" s="90"/>
      <c r="AB172" s="90"/>
      <c r="AC172" s="90"/>
      <c r="AD172" s="90"/>
      <c r="AE172" s="90"/>
      <c r="AF172" s="90"/>
      <c r="AG172" s="90">
        <v>171</v>
      </c>
      <c r="AH172" s="90" t="s">
        <v>1097</v>
      </c>
      <c r="AI172" s="91">
        <f t="shared" si="17"/>
        <v>40969</v>
      </c>
      <c r="AJ172" s="90">
        <f t="shared" si="18"/>
        <v>0</v>
      </c>
      <c r="AK172" s="90">
        <f t="array" ref="AK172">INDEX($P$3:$P$24,MATCH(AM172&amp;YEAR(AI172),$A$3:$A$24&amp;YEAR($B$3:$B$24),0))</f>
        <v>0</v>
      </c>
      <c r="AL172" s="90" t="s">
        <v>1099</v>
      </c>
      <c r="AM172" s="90" t="str">
        <f t="shared" si="19"/>
        <v>Interest Income - 2010A Bonds (361-31)</v>
      </c>
    </row>
    <row r="173" spans="1:39" ht="15.75" x14ac:dyDescent="0.2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5"/>
      <c r="S173" s="95"/>
      <c r="T173" s="95"/>
      <c r="U173" s="95"/>
      <c r="V173" s="95"/>
      <c r="W173" s="95"/>
      <c r="X173" s="95"/>
      <c r="Y173" s="90"/>
      <c r="Z173" s="90"/>
      <c r="AA173" s="90"/>
      <c r="AB173" s="90"/>
      <c r="AC173" s="90"/>
      <c r="AD173" s="90"/>
      <c r="AE173" s="90"/>
      <c r="AF173" s="90"/>
      <c r="AG173" s="90">
        <v>172</v>
      </c>
      <c r="AH173" s="90" t="s">
        <v>1097</v>
      </c>
      <c r="AI173" s="91">
        <f t="shared" si="17"/>
        <v>41000</v>
      </c>
      <c r="AJ173" s="90">
        <f t="shared" si="18"/>
        <v>0</v>
      </c>
      <c r="AK173" s="90">
        <f t="array" ref="AK173">INDEX($P$3:$P$24,MATCH(AM173&amp;YEAR(AI173),$A$3:$A$24&amp;YEAR($B$3:$B$24),0))</f>
        <v>0</v>
      </c>
      <c r="AL173" s="90" t="s">
        <v>1099</v>
      </c>
      <c r="AM173" s="90" t="str">
        <f t="shared" si="19"/>
        <v>Interest Income - 2010A Bonds (361-31)</v>
      </c>
    </row>
    <row r="174" spans="1:39" ht="15.75" x14ac:dyDescent="0.2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5"/>
      <c r="S174" s="95"/>
      <c r="T174" s="95"/>
      <c r="U174" s="95"/>
      <c r="V174" s="95"/>
      <c r="W174" s="95"/>
      <c r="X174" s="95"/>
      <c r="Y174" s="90"/>
      <c r="Z174" s="90"/>
      <c r="AA174" s="90"/>
      <c r="AB174" s="90"/>
      <c r="AC174" s="90"/>
      <c r="AD174" s="90"/>
      <c r="AE174" s="90"/>
      <c r="AF174" s="90"/>
      <c r="AG174" s="90">
        <v>173</v>
      </c>
      <c r="AH174" s="90" t="s">
        <v>1097</v>
      </c>
      <c r="AI174" s="91">
        <f t="shared" si="17"/>
        <v>41030</v>
      </c>
      <c r="AJ174" s="90">
        <f t="shared" si="18"/>
        <v>0</v>
      </c>
      <c r="AK174" s="90">
        <f t="array" ref="AK174">INDEX($P$3:$P$24,MATCH(AM174&amp;YEAR(AI174),$A$3:$A$24&amp;YEAR($B$3:$B$24),0))</f>
        <v>0</v>
      </c>
      <c r="AL174" s="90" t="s">
        <v>1099</v>
      </c>
      <c r="AM174" s="90" t="str">
        <f t="shared" si="19"/>
        <v>Interest Income - 2010A Bonds (361-31)</v>
      </c>
    </row>
    <row r="175" spans="1:39" ht="15.75" x14ac:dyDescent="0.2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5"/>
      <c r="S175" s="95"/>
      <c r="T175" s="95"/>
      <c r="U175" s="95"/>
      <c r="V175" s="95"/>
      <c r="W175" s="95"/>
      <c r="X175" s="95"/>
      <c r="Y175" s="90"/>
      <c r="Z175" s="90"/>
      <c r="AA175" s="90"/>
      <c r="AB175" s="90"/>
      <c r="AC175" s="90"/>
      <c r="AD175" s="90"/>
      <c r="AE175" s="90"/>
      <c r="AF175" s="90"/>
      <c r="AG175" s="90">
        <v>174</v>
      </c>
      <c r="AH175" s="90" t="s">
        <v>1097</v>
      </c>
      <c r="AI175" s="91">
        <f t="shared" si="17"/>
        <v>41061</v>
      </c>
      <c r="AJ175" s="90">
        <f t="shared" si="18"/>
        <v>0</v>
      </c>
      <c r="AK175" s="90">
        <f t="array" ref="AK175">INDEX($P$3:$P$24,MATCH(AM175&amp;YEAR(AI175),$A$3:$A$24&amp;YEAR($B$3:$B$24),0))</f>
        <v>0</v>
      </c>
      <c r="AL175" s="90" t="s">
        <v>1099</v>
      </c>
      <c r="AM175" s="90" t="str">
        <f t="shared" si="19"/>
        <v>Interest Income - 2010A Bonds (361-31)</v>
      </c>
    </row>
    <row r="176" spans="1:39" ht="15.75" x14ac:dyDescent="0.2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5"/>
      <c r="S176" s="95"/>
      <c r="T176" s="95"/>
      <c r="U176" s="95"/>
      <c r="V176" s="95"/>
      <c r="W176" s="95"/>
      <c r="X176" s="95"/>
      <c r="Y176" s="90"/>
      <c r="Z176" s="90"/>
      <c r="AA176" s="90"/>
      <c r="AB176" s="90"/>
      <c r="AC176" s="90"/>
      <c r="AD176" s="90"/>
      <c r="AE176" s="90"/>
      <c r="AF176" s="90"/>
      <c r="AG176" s="90">
        <v>175</v>
      </c>
      <c r="AH176" s="90" t="s">
        <v>1097</v>
      </c>
      <c r="AI176" s="91">
        <f t="shared" si="17"/>
        <v>41091</v>
      </c>
      <c r="AJ176" s="90">
        <f t="shared" si="18"/>
        <v>0</v>
      </c>
      <c r="AK176" s="90">
        <f t="array" ref="AK176">INDEX($P$3:$P$24,MATCH(AM176&amp;YEAR(AI176),$A$3:$A$24&amp;YEAR($B$3:$B$24),0))</f>
        <v>0</v>
      </c>
      <c r="AL176" s="90" t="s">
        <v>1099</v>
      </c>
      <c r="AM176" s="90" t="str">
        <f t="shared" si="19"/>
        <v>Interest Income - 2010A Bonds (361-31)</v>
      </c>
    </row>
    <row r="177" spans="1:39" ht="15.75" x14ac:dyDescent="0.2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5"/>
      <c r="S177" s="95"/>
      <c r="T177" s="95"/>
      <c r="U177" s="95"/>
      <c r="V177" s="95"/>
      <c r="W177" s="95"/>
      <c r="X177" s="95"/>
      <c r="Y177" s="90"/>
      <c r="Z177" s="90"/>
      <c r="AA177" s="90"/>
      <c r="AB177" s="90"/>
      <c r="AC177" s="90"/>
      <c r="AD177" s="90"/>
      <c r="AE177" s="90"/>
      <c r="AF177" s="90"/>
      <c r="AG177" s="90">
        <v>176</v>
      </c>
      <c r="AH177" s="90" t="s">
        <v>1097</v>
      </c>
      <c r="AI177" s="91">
        <f t="shared" si="17"/>
        <v>41122</v>
      </c>
      <c r="AJ177" s="90">
        <f t="shared" si="18"/>
        <v>0</v>
      </c>
      <c r="AK177" s="90">
        <f t="array" ref="AK177">INDEX($P$3:$P$24,MATCH(AM177&amp;YEAR(AI177),$A$3:$A$24&amp;YEAR($B$3:$B$24),0))</f>
        <v>0</v>
      </c>
      <c r="AL177" s="90" t="s">
        <v>1099</v>
      </c>
      <c r="AM177" s="90" t="str">
        <f t="shared" si="19"/>
        <v>Interest Income - 2010A Bonds (361-31)</v>
      </c>
    </row>
    <row r="178" spans="1:39" ht="15.75" x14ac:dyDescent="0.2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5"/>
      <c r="S178" s="95"/>
      <c r="T178" s="95"/>
      <c r="U178" s="95"/>
      <c r="V178" s="95"/>
      <c r="W178" s="95"/>
      <c r="X178" s="95"/>
      <c r="Y178" s="90"/>
      <c r="Z178" s="90"/>
      <c r="AA178" s="90"/>
      <c r="AB178" s="90"/>
      <c r="AC178" s="90"/>
      <c r="AD178" s="90"/>
      <c r="AE178" s="90"/>
      <c r="AF178" s="90"/>
      <c r="AG178" s="90">
        <v>177</v>
      </c>
      <c r="AH178" s="90" t="s">
        <v>1097</v>
      </c>
      <c r="AI178" s="91">
        <f t="shared" si="17"/>
        <v>41153</v>
      </c>
      <c r="AJ178" s="90">
        <f t="shared" si="18"/>
        <v>0</v>
      </c>
      <c r="AK178" s="90">
        <f t="array" ref="AK178">INDEX($P$3:$P$24,MATCH(AM178&amp;YEAR(AI178),$A$3:$A$24&amp;YEAR($B$3:$B$24),0))</f>
        <v>0</v>
      </c>
      <c r="AL178" s="90" t="s">
        <v>1099</v>
      </c>
      <c r="AM178" s="90" t="str">
        <f t="shared" si="19"/>
        <v>Interest Income - 2010A Bonds (361-31)</v>
      </c>
    </row>
    <row r="179" spans="1:39" ht="15.75" x14ac:dyDescent="0.2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5"/>
      <c r="S179" s="95"/>
      <c r="T179" s="95"/>
      <c r="U179" s="95"/>
      <c r="V179" s="95"/>
      <c r="W179" s="95"/>
      <c r="X179" s="95"/>
      <c r="Y179" s="90"/>
      <c r="Z179" s="90"/>
      <c r="AA179" s="90"/>
      <c r="AB179" s="90"/>
      <c r="AC179" s="90"/>
      <c r="AD179" s="90"/>
      <c r="AE179" s="90"/>
      <c r="AF179" s="90"/>
      <c r="AG179" s="90">
        <v>178</v>
      </c>
      <c r="AH179" s="90" t="s">
        <v>1097</v>
      </c>
      <c r="AI179" s="91">
        <f t="shared" si="17"/>
        <v>41183</v>
      </c>
      <c r="AJ179" s="90">
        <f t="shared" si="18"/>
        <v>0</v>
      </c>
      <c r="AK179" s="90">
        <f t="array" ref="AK179">INDEX($P$3:$P$24,MATCH(AM179&amp;YEAR(AI179),$A$3:$A$24&amp;YEAR($B$3:$B$24),0))</f>
        <v>0</v>
      </c>
      <c r="AL179" s="90" t="s">
        <v>1099</v>
      </c>
      <c r="AM179" s="90" t="str">
        <f t="shared" si="19"/>
        <v>Interest Income - 2010A Bonds (361-31)</v>
      </c>
    </row>
    <row r="180" spans="1:39" ht="15.75" x14ac:dyDescent="0.2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5"/>
      <c r="S180" s="95"/>
      <c r="T180" s="95"/>
      <c r="U180" s="95"/>
      <c r="V180" s="95"/>
      <c r="W180" s="95"/>
      <c r="X180" s="95"/>
      <c r="Y180" s="90"/>
      <c r="Z180" s="90"/>
      <c r="AA180" s="90"/>
      <c r="AB180" s="90"/>
      <c r="AC180" s="90"/>
      <c r="AD180" s="90"/>
      <c r="AE180" s="90"/>
      <c r="AF180" s="90"/>
      <c r="AG180" s="90">
        <v>179</v>
      </c>
      <c r="AH180" s="90" t="s">
        <v>1097</v>
      </c>
      <c r="AI180" s="91">
        <f t="shared" si="17"/>
        <v>41214</v>
      </c>
      <c r="AJ180" s="90">
        <f t="shared" si="18"/>
        <v>3756.4</v>
      </c>
      <c r="AK180" s="90">
        <f t="array" ref="AK180">INDEX($P$3:$P$24,MATCH(AM180&amp;YEAR(AI180),$A$3:$A$24&amp;YEAR($B$3:$B$24),0))</f>
        <v>0</v>
      </c>
      <c r="AL180" s="90" t="s">
        <v>1099</v>
      </c>
      <c r="AM180" s="90" t="str">
        <f t="shared" si="19"/>
        <v>Interest Income - 2010A Bonds (361-31)</v>
      </c>
    </row>
    <row r="181" spans="1:39" ht="15.75" x14ac:dyDescent="0.2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5"/>
      <c r="S181" s="95"/>
      <c r="T181" s="95"/>
      <c r="U181" s="95"/>
      <c r="V181" s="95"/>
      <c r="W181" s="95"/>
      <c r="X181" s="95"/>
      <c r="Y181" s="90"/>
      <c r="Z181" s="90"/>
      <c r="AA181" s="90"/>
      <c r="AB181" s="90"/>
      <c r="AC181" s="90"/>
      <c r="AD181" s="90"/>
      <c r="AE181" s="90"/>
      <c r="AF181" s="90"/>
      <c r="AG181" s="90">
        <v>180</v>
      </c>
      <c r="AH181" s="90" t="s">
        <v>1097</v>
      </c>
      <c r="AI181" s="91">
        <f t="shared" si="17"/>
        <v>41244</v>
      </c>
      <c r="AJ181" s="90">
        <f t="shared" si="18"/>
        <v>6274.4</v>
      </c>
      <c r="AK181" s="90">
        <f t="array" ref="AK181">INDEX($P$3:$P$24,MATCH(AM181&amp;YEAR(AI181),$A$3:$A$24&amp;YEAR($B$3:$B$24),0))</f>
        <v>0</v>
      </c>
      <c r="AL181" s="90" t="s">
        <v>1099</v>
      </c>
      <c r="AM181" s="90" t="str">
        <f t="shared" si="19"/>
        <v>Interest Income - 2010A Bonds (361-31)</v>
      </c>
    </row>
    <row r="182" spans="1:39" ht="15.75" x14ac:dyDescent="0.2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5"/>
      <c r="S182" s="95"/>
      <c r="T182" s="95"/>
      <c r="U182" s="95"/>
      <c r="V182" s="95"/>
      <c r="W182" s="95"/>
      <c r="X182" s="95"/>
      <c r="Y182" s="90"/>
      <c r="Z182" s="90"/>
      <c r="AA182" s="90"/>
      <c r="AB182" s="90"/>
      <c r="AC182" s="90"/>
      <c r="AD182" s="90"/>
      <c r="AE182" s="90"/>
      <c r="AF182" s="90"/>
      <c r="AG182" s="90">
        <v>181</v>
      </c>
      <c r="AH182" s="90" t="s">
        <v>1097</v>
      </c>
      <c r="AI182" s="91">
        <f t="shared" si="17"/>
        <v>41275</v>
      </c>
      <c r="AJ182" s="90">
        <f t="shared" si="18"/>
        <v>0</v>
      </c>
      <c r="AK182" s="90">
        <f t="array" ref="AK182">INDEX($P$3:$P$24,MATCH(AM182&amp;YEAR(AI182),$A$3:$A$24&amp;YEAR($B$3:$B$24),0))</f>
        <v>0</v>
      </c>
      <c r="AL182" s="90" t="s">
        <v>1099</v>
      </c>
      <c r="AM182" s="90" t="str">
        <f t="shared" si="19"/>
        <v>Interest Income - 2010A Bonds (361-31)</v>
      </c>
    </row>
    <row r="183" spans="1:39" ht="15.75" x14ac:dyDescent="0.2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5"/>
      <c r="S183" s="95"/>
      <c r="T183" s="95"/>
      <c r="U183" s="95"/>
      <c r="V183" s="95"/>
      <c r="W183" s="95"/>
      <c r="X183" s="95"/>
      <c r="Y183" s="90"/>
      <c r="Z183" s="90"/>
      <c r="AA183" s="90"/>
      <c r="AB183" s="90"/>
      <c r="AC183" s="90"/>
      <c r="AD183" s="90"/>
      <c r="AE183" s="90"/>
      <c r="AF183" s="90"/>
      <c r="AG183" s="90">
        <v>182</v>
      </c>
      <c r="AH183" s="90" t="s">
        <v>1097</v>
      </c>
      <c r="AI183" s="91">
        <f t="shared" si="17"/>
        <v>41306</v>
      </c>
      <c r="AJ183" s="90">
        <f t="shared" si="18"/>
        <v>0</v>
      </c>
      <c r="AK183" s="90">
        <f t="array" ref="AK183">INDEX($P$3:$P$24,MATCH(AM183&amp;YEAR(AI183),$A$3:$A$24&amp;YEAR($B$3:$B$24),0))</f>
        <v>0</v>
      </c>
      <c r="AL183" s="90" t="s">
        <v>1099</v>
      </c>
      <c r="AM183" s="90" t="str">
        <f t="shared" si="19"/>
        <v>Interest Income - 2010A Bonds (361-31)</v>
      </c>
    </row>
    <row r="184" spans="1:39" ht="15.75" x14ac:dyDescent="0.2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5"/>
      <c r="S184" s="95"/>
      <c r="T184" s="95"/>
      <c r="U184" s="95"/>
      <c r="V184" s="95"/>
      <c r="W184" s="95"/>
      <c r="X184" s="95"/>
      <c r="Y184" s="90"/>
      <c r="Z184" s="90"/>
      <c r="AA184" s="90"/>
      <c r="AB184" s="90"/>
      <c r="AC184" s="90"/>
      <c r="AD184" s="90"/>
      <c r="AE184" s="90"/>
      <c r="AF184" s="90"/>
      <c r="AG184" s="90">
        <v>183</v>
      </c>
      <c r="AH184" s="90" t="s">
        <v>1097</v>
      </c>
      <c r="AI184" s="91">
        <f t="shared" si="17"/>
        <v>41334</v>
      </c>
      <c r="AJ184" s="90">
        <f t="shared" si="18"/>
        <v>165.78</v>
      </c>
      <c r="AK184" s="90">
        <f t="array" ref="AK184">INDEX($P$3:$P$24,MATCH(AM184&amp;YEAR(AI184),$A$3:$A$24&amp;YEAR($B$3:$B$24),0))</f>
        <v>0</v>
      </c>
      <c r="AL184" s="90" t="s">
        <v>1099</v>
      </c>
      <c r="AM184" s="90" t="str">
        <f t="shared" si="19"/>
        <v>Interest Income - 2010A Bonds (361-31)</v>
      </c>
    </row>
    <row r="185" spans="1:39" ht="15.75" x14ac:dyDescent="0.2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5"/>
      <c r="S185" s="95"/>
      <c r="T185" s="95"/>
      <c r="U185" s="95"/>
      <c r="V185" s="95"/>
      <c r="W185" s="95"/>
      <c r="X185" s="95"/>
      <c r="Y185" s="90"/>
      <c r="Z185" s="90"/>
      <c r="AA185" s="90"/>
      <c r="AB185" s="90"/>
      <c r="AC185" s="90"/>
      <c r="AD185" s="90"/>
      <c r="AE185" s="90"/>
      <c r="AF185" s="90"/>
      <c r="AG185" s="90">
        <v>184</v>
      </c>
      <c r="AH185" s="90" t="s">
        <v>1097</v>
      </c>
      <c r="AI185" s="91">
        <f t="shared" si="17"/>
        <v>41365</v>
      </c>
      <c r="AJ185" s="90">
        <f t="shared" si="18"/>
        <v>174.95</v>
      </c>
      <c r="AK185" s="90">
        <f t="array" ref="AK185">INDEX($P$3:$P$24,MATCH(AM185&amp;YEAR(AI185),$A$3:$A$24&amp;YEAR($B$3:$B$24),0))</f>
        <v>0</v>
      </c>
      <c r="AL185" s="90" t="s">
        <v>1099</v>
      </c>
      <c r="AM185" s="90" t="str">
        <f t="shared" si="19"/>
        <v>Interest Income - 2010A Bonds (361-31)</v>
      </c>
    </row>
    <row r="186" spans="1:39" ht="15.75" x14ac:dyDescent="0.2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5"/>
      <c r="S186" s="95"/>
      <c r="T186" s="95"/>
      <c r="U186" s="95"/>
      <c r="V186" s="95"/>
      <c r="W186" s="95"/>
      <c r="X186" s="95"/>
      <c r="Y186" s="90"/>
      <c r="Z186" s="90"/>
      <c r="AA186" s="90"/>
      <c r="AB186" s="90"/>
      <c r="AC186" s="90"/>
      <c r="AD186" s="90"/>
      <c r="AE186" s="90"/>
      <c r="AF186" s="90"/>
      <c r="AG186" s="90">
        <v>185</v>
      </c>
      <c r="AH186" s="90" t="s">
        <v>1097</v>
      </c>
      <c r="AI186" s="91">
        <f t="shared" si="17"/>
        <v>41395</v>
      </c>
      <c r="AJ186" s="90">
        <f t="shared" si="18"/>
        <v>161.86000000000001</v>
      </c>
      <c r="AK186" s="90">
        <f t="array" ref="AK186">INDEX($P$3:$P$24,MATCH(AM186&amp;YEAR(AI186),$A$3:$A$24&amp;YEAR($B$3:$B$24),0))</f>
        <v>0</v>
      </c>
      <c r="AL186" s="90" t="s">
        <v>1099</v>
      </c>
      <c r="AM186" s="90" t="str">
        <f t="shared" si="19"/>
        <v>Interest Income - 2010A Bonds (361-31)</v>
      </c>
    </row>
    <row r="187" spans="1:39" ht="15.75" x14ac:dyDescent="0.2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5"/>
      <c r="S187" s="95"/>
      <c r="T187" s="95"/>
      <c r="U187" s="95"/>
      <c r="V187" s="95"/>
      <c r="W187" s="95"/>
      <c r="X187" s="95"/>
      <c r="Y187" s="90"/>
      <c r="Z187" s="90"/>
      <c r="AA187" s="90"/>
      <c r="AB187" s="90"/>
      <c r="AC187" s="90"/>
      <c r="AD187" s="90"/>
      <c r="AE187" s="90"/>
      <c r="AF187" s="90"/>
      <c r="AG187" s="90">
        <v>186</v>
      </c>
      <c r="AH187" s="90" t="s">
        <v>1097</v>
      </c>
      <c r="AI187" s="91">
        <f t="shared" si="17"/>
        <v>41426</v>
      </c>
      <c r="AJ187" s="90">
        <f t="shared" si="18"/>
        <v>0</v>
      </c>
      <c r="AK187" s="90">
        <f t="array" ref="AK187">INDEX($P$3:$P$24,MATCH(AM187&amp;YEAR(AI187),$A$3:$A$24&amp;YEAR($B$3:$B$24),0))</f>
        <v>0</v>
      </c>
      <c r="AL187" s="90" t="s">
        <v>1099</v>
      </c>
      <c r="AM187" s="90" t="str">
        <f t="shared" si="19"/>
        <v>Interest Income - 2010A Bonds (361-31)</v>
      </c>
    </row>
    <row r="188" spans="1:39" ht="15.75" x14ac:dyDescent="0.2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5"/>
      <c r="S188" s="95"/>
      <c r="T188" s="95"/>
      <c r="U188" s="95"/>
      <c r="V188" s="95"/>
      <c r="W188" s="95"/>
      <c r="X188" s="95"/>
      <c r="Y188" s="90"/>
      <c r="Z188" s="90"/>
      <c r="AA188" s="90"/>
      <c r="AB188" s="90"/>
      <c r="AC188" s="90"/>
      <c r="AD188" s="90"/>
      <c r="AE188" s="90"/>
      <c r="AF188" s="90"/>
      <c r="AG188" s="90">
        <v>187</v>
      </c>
      <c r="AH188" s="90" t="s">
        <v>1097</v>
      </c>
      <c r="AI188" s="91">
        <f t="shared" si="17"/>
        <v>41456</v>
      </c>
      <c r="AJ188" s="90">
        <f t="shared" si="18"/>
        <v>0</v>
      </c>
      <c r="AK188" s="90">
        <f t="array" ref="AK188">INDEX($P$3:$P$24,MATCH(AM188&amp;YEAR(AI188),$A$3:$A$24&amp;YEAR($B$3:$B$24),0))</f>
        <v>0</v>
      </c>
      <c r="AL188" s="90" t="s">
        <v>1099</v>
      </c>
      <c r="AM188" s="90" t="str">
        <f t="shared" si="19"/>
        <v>Interest Income - 2010A Bonds (361-31)</v>
      </c>
    </row>
    <row r="189" spans="1:39" ht="15.75" x14ac:dyDescent="0.2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5"/>
      <c r="S189" s="95"/>
      <c r="T189" s="95"/>
      <c r="U189" s="95"/>
      <c r="V189" s="95"/>
      <c r="W189" s="95"/>
      <c r="X189" s="95"/>
      <c r="Y189" s="90"/>
      <c r="Z189" s="90"/>
      <c r="AA189" s="90"/>
      <c r="AB189" s="90"/>
      <c r="AC189" s="90"/>
      <c r="AD189" s="90"/>
      <c r="AE189" s="90"/>
      <c r="AF189" s="90"/>
      <c r="AG189" s="90">
        <v>188</v>
      </c>
      <c r="AH189" s="90" t="s">
        <v>1097</v>
      </c>
      <c r="AI189" s="91">
        <f t="shared" si="17"/>
        <v>41487</v>
      </c>
      <c r="AJ189" s="90">
        <f t="shared" si="18"/>
        <v>0</v>
      </c>
      <c r="AK189" s="90">
        <f t="array" ref="AK189">INDEX($P$3:$P$24,MATCH(AM189&amp;YEAR(AI189),$A$3:$A$24&amp;YEAR($B$3:$B$24),0))</f>
        <v>0</v>
      </c>
      <c r="AL189" s="90" t="s">
        <v>1099</v>
      </c>
      <c r="AM189" s="90" t="str">
        <f t="shared" si="19"/>
        <v>Interest Income - 2010A Bonds (361-31)</v>
      </c>
    </row>
    <row r="190" spans="1:39" ht="15.75" x14ac:dyDescent="0.2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5"/>
      <c r="S190" s="95"/>
      <c r="T190" s="95"/>
      <c r="U190" s="95"/>
      <c r="V190" s="95"/>
      <c r="W190" s="95"/>
      <c r="X190" s="95"/>
      <c r="Y190" s="90"/>
      <c r="Z190" s="90"/>
      <c r="AA190" s="90"/>
      <c r="AB190" s="90"/>
      <c r="AC190" s="90"/>
      <c r="AD190" s="90"/>
      <c r="AE190" s="90"/>
      <c r="AF190" s="90"/>
      <c r="AG190" s="90">
        <v>189</v>
      </c>
      <c r="AH190" s="90" t="s">
        <v>1097</v>
      </c>
      <c r="AI190" s="91">
        <f t="shared" si="17"/>
        <v>41518</v>
      </c>
      <c r="AJ190" s="90">
        <f t="shared" si="18"/>
        <v>0</v>
      </c>
      <c r="AK190" s="90">
        <f t="array" ref="AK190">INDEX($P$3:$P$24,MATCH(AM190&amp;YEAR(AI190),$A$3:$A$24&amp;YEAR($B$3:$B$24),0))</f>
        <v>0</v>
      </c>
      <c r="AL190" s="90" t="s">
        <v>1099</v>
      </c>
      <c r="AM190" s="90" t="str">
        <f t="shared" si="19"/>
        <v>Interest Income - 2010A Bonds (361-31)</v>
      </c>
    </row>
    <row r="191" spans="1:39" ht="15.75" x14ac:dyDescent="0.2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5"/>
      <c r="S191" s="95"/>
      <c r="T191" s="95"/>
      <c r="U191" s="95"/>
      <c r="V191" s="95"/>
      <c r="W191" s="95"/>
      <c r="X191" s="95"/>
      <c r="Y191" s="90"/>
      <c r="Z191" s="90"/>
      <c r="AA191" s="90"/>
      <c r="AB191" s="90"/>
      <c r="AC191" s="90"/>
      <c r="AD191" s="90"/>
      <c r="AE191" s="90"/>
      <c r="AF191" s="90"/>
      <c r="AG191" s="90">
        <v>190</v>
      </c>
      <c r="AH191" s="90" t="s">
        <v>1097</v>
      </c>
      <c r="AI191" s="91">
        <f t="shared" si="17"/>
        <v>41548</v>
      </c>
      <c r="AJ191" s="90">
        <f t="shared" si="18"/>
        <v>0</v>
      </c>
      <c r="AK191" s="90">
        <f t="array" ref="AK191">INDEX($P$3:$P$24,MATCH(AM191&amp;YEAR(AI191),$A$3:$A$24&amp;YEAR($B$3:$B$24),0))</f>
        <v>0</v>
      </c>
      <c r="AL191" s="90" t="s">
        <v>1099</v>
      </c>
      <c r="AM191" s="90" t="str">
        <f t="shared" si="19"/>
        <v>Interest Income - 2010A Bonds (361-31)</v>
      </c>
    </row>
    <row r="192" spans="1:39" ht="15.75" x14ac:dyDescent="0.2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5"/>
      <c r="S192" s="95"/>
      <c r="T192" s="95"/>
      <c r="U192" s="95"/>
      <c r="V192" s="95"/>
      <c r="W192" s="95"/>
      <c r="X192" s="95"/>
      <c r="Y192" s="90"/>
      <c r="Z192" s="90"/>
      <c r="AA192" s="90"/>
      <c r="AB192" s="90"/>
      <c r="AC192" s="90"/>
      <c r="AD192" s="90"/>
      <c r="AE192" s="90"/>
      <c r="AF192" s="90"/>
      <c r="AG192" s="90">
        <v>191</v>
      </c>
      <c r="AH192" s="90" t="s">
        <v>1097</v>
      </c>
      <c r="AI192" s="91">
        <f t="shared" si="17"/>
        <v>41579</v>
      </c>
      <c r="AJ192" s="90">
        <f t="shared" si="18"/>
        <v>0</v>
      </c>
      <c r="AK192" s="90">
        <f t="array" ref="AK192">INDEX($P$3:$P$24,MATCH(AM192&amp;YEAR(AI192),$A$3:$A$24&amp;YEAR($B$3:$B$24),0))</f>
        <v>0</v>
      </c>
      <c r="AL192" s="90" t="s">
        <v>1099</v>
      </c>
      <c r="AM192" s="90" t="str">
        <f t="shared" si="19"/>
        <v>Interest Income - 2010A Bonds (361-31)</v>
      </c>
    </row>
    <row r="193" spans="1:39" ht="15.75" x14ac:dyDescent="0.2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5"/>
      <c r="S193" s="95"/>
      <c r="T193" s="95"/>
      <c r="U193" s="95"/>
      <c r="V193" s="95"/>
      <c r="W193" s="95"/>
      <c r="X193" s="95"/>
      <c r="Y193" s="90"/>
      <c r="Z193" s="90"/>
      <c r="AA193" s="90"/>
      <c r="AB193" s="90"/>
      <c r="AC193" s="90"/>
      <c r="AD193" s="90"/>
      <c r="AE193" s="90"/>
      <c r="AF193" s="90"/>
      <c r="AG193" s="90">
        <v>192</v>
      </c>
      <c r="AH193" s="90" t="s">
        <v>1097</v>
      </c>
      <c r="AI193" s="91">
        <f t="shared" si="17"/>
        <v>41609</v>
      </c>
      <c r="AJ193" s="90">
        <f t="shared" si="18"/>
        <v>0</v>
      </c>
      <c r="AK193" s="90">
        <f t="array" ref="AK193">INDEX($P$3:$P$24,MATCH(AM193&amp;YEAR(AI193),$A$3:$A$24&amp;YEAR($B$3:$B$24),0))</f>
        <v>0</v>
      </c>
      <c r="AL193" s="90" t="s">
        <v>1099</v>
      </c>
      <c r="AM193" s="90" t="str">
        <f t="shared" si="19"/>
        <v>Interest Income - 2010A Bonds (361-31)</v>
      </c>
    </row>
    <row r="194" spans="1:39" ht="15.75" x14ac:dyDescent="0.2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5"/>
      <c r="S194" s="95"/>
      <c r="T194" s="95"/>
      <c r="U194" s="95"/>
      <c r="V194" s="95"/>
      <c r="W194" s="95"/>
      <c r="X194" s="95"/>
      <c r="Y194" s="90"/>
      <c r="Z194" s="90"/>
      <c r="AA194" s="90"/>
      <c r="AB194" s="90"/>
      <c r="AC194" s="90"/>
      <c r="AD194" s="90"/>
      <c r="AE194" s="90"/>
      <c r="AF194" s="90"/>
      <c r="AG194" s="90">
        <v>193</v>
      </c>
      <c r="AH194" s="90" t="s">
        <v>1097</v>
      </c>
      <c r="AI194" s="91">
        <f t="shared" ref="AI194:AI257" si="20">DATE(YEAR(INDEX($B$2:$N$24,INT((AG194+11)/12)+1,1)),IF(MOD(AG194,12)&lt;&gt;0,MOD(AG194,12),12),1)</f>
        <v>40909</v>
      </c>
      <c r="AJ194" s="90">
        <f t="shared" ref="AJ194:AJ257" si="21">INDEX($C$3:$N$24,INT((AG194+11)/12),AG194-(12*(INT((AG194+11)/12)-1)))</f>
        <v>0</v>
      </c>
      <c r="AK194" s="90">
        <f t="array" ref="AK194">INDEX($P$3:$P$24,MATCH(AM194&amp;YEAR(AI194),$A$3:$A$24&amp;YEAR($B$3:$B$24),0))</f>
        <v>0</v>
      </c>
      <c r="AL194" s="90" t="s">
        <v>1099</v>
      </c>
      <c r="AM194" s="90" t="str">
        <f t="shared" ref="AM194:AM257" si="22">INDEX($A$3:$A$24,INT((AG194+11)/12))</f>
        <v>Unrealized Gain/Loss (361-70)</v>
      </c>
    </row>
    <row r="195" spans="1:39" ht="15.75" x14ac:dyDescent="0.2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5"/>
      <c r="S195" s="95"/>
      <c r="T195" s="95"/>
      <c r="U195" s="95"/>
      <c r="V195" s="95"/>
      <c r="W195" s="95"/>
      <c r="X195" s="95"/>
      <c r="Y195" s="90"/>
      <c r="Z195" s="90"/>
      <c r="AA195" s="90"/>
      <c r="AB195" s="90"/>
      <c r="AC195" s="90"/>
      <c r="AD195" s="90"/>
      <c r="AE195" s="90"/>
      <c r="AF195" s="90"/>
      <c r="AG195" s="90">
        <v>194</v>
      </c>
      <c r="AH195" s="90" t="s">
        <v>1097</v>
      </c>
      <c r="AI195" s="91">
        <f t="shared" si="20"/>
        <v>40940</v>
      </c>
      <c r="AJ195" s="90">
        <f t="shared" si="21"/>
        <v>0</v>
      </c>
      <c r="AK195" s="90">
        <f t="array" ref="AK195">INDEX($P$3:$P$24,MATCH(AM195&amp;YEAR(AI195),$A$3:$A$24&amp;YEAR($B$3:$B$24),0))</f>
        <v>0</v>
      </c>
      <c r="AL195" s="90" t="s">
        <v>1099</v>
      </c>
      <c r="AM195" s="90" t="str">
        <f t="shared" si="22"/>
        <v>Unrealized Gain/Loss (361-70)</v>
      </c>
    </row>
    <row r="196" spans="1:39" ht="15.75" x14ac:dyDescent="0.2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5"/>
      <c r="S196" s="95"/>
      <c r="T196" s="95"/>
      <c r="U196" s="95"/>
      <c r="V196" s="95"/>
      <c r="W196" s="95"/>
      <c r="X196" s="95"/>
      <c r="Y196" s="90"/>
      <c r="Z196" s="90"/>
      <c r="AA196" s="90"/>
      <c r="AB196" s="90"/>
      <c r="AC196" s="90"/>
      <c r="AD196" s="90"/>
      <c r="AE196" s="90"/>
      <c r="AF196" s="90"/>
      <c r="AG196" s="90">
        <v>195</v>
      </c>
      <c r="AH196" s="90" t="s">
        <v>1097</v>
      </c>
      <c r="AI196" s="91">
        <f t="shared" si="20"/>
        <v>40969</v>
      </c>
      <c r="AJ196" s="90">
        <f t="shared" si="21"/>
        <v>0</v>
      </c>
      <c r="AK196" s="90">
        <f t="array" ref="AK196">INDEX($P$3:$P$24,MATCH(AM196&amp;YEAR(AI196),$A$3:$A$24&amp;YEAR($B$3:$B$24),0))</f>
        <v>0</v>
      </c>
      <c r="AL196" s="90" t="s">
        <v>1099</v>
      </c>
      <c r="AM196" s="90" t="str">
        <f t="shared" si="22"/>
        <v>Unrealized Gain/Loss (361-70)</v>
      </c>
    </row>
    <row r="197" spans="1:39" ht="15.75" x14ac:dyDescent="0.2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5"/>
      <c r="S197" s="95"/>
      <c r="T197" s="95"/>
      <c r="U197" s="95"/>
      <c r="V197" s="95"/>
      <c r="W197" s="95"/>
      <c r="X197" s="95"/>
      <c r="Y197" s="90"/>
      <c r="Z197" s="90"/>
      <c r="AA197" s="90"/>
      <c r="AB197" s="90"/>
      <c r="AC197" s="90"/>
      <c r="AD197" s="90"/>
      <c r="AE197" s="90"/>
      <c r="AF197" s="90"/>
      <c r="AG197" s="90">
        <v>196</v>
      </c>
      <c r="AH197" s="90" t="s">
        <v>1097</v>
      </c>
      <c r="AI197" s="91">
        <f t="shared" si="20"/>
        <v>41000</v>
      </c>
      <c r="AJ197" s="90">
        <f t="shared" si="21"/>
        <v>0</v>
      </c>
      <c r="AK197" s="90">
        <f t="array" ref="AK197">INDEX($P$3:$P$24,MATCH(AM197&amp;YEAR(AI197),$A$3:$A$24&amp;YEAR($B$3:$B$24),0))</f>
        <v>0</v>
      </c>
      <c r="AL197" s="90" t="s">
        <v>1099</v>
      </c>
      <c r="AM197" s="90" t="str">
        <f t="shared" si="22"/>
        <v>Unrealized Gain/Loss (361-70)</v>
      </c>
    </row>
    <row r="198" spans="1:39" ht="15.75" x14ac:dyDescent="0.2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5"/>
      <c r="S198" s="95"/>
      <c r="T198" s="95"/>
      <c r="U198" s="95"/>
      <c r="V198" s="95"/>
      <c r="W198" s="95"/>
      <c r="X198" s="95"/>
      <c r="Y198" s="90"/>
      <c r="Z198" s="90"/>
      <c r="AA198" s="90"/>
      <c r="AB198" s="90"/>
      <c r="AC198" s="90"/>
      <c r="AD198" s="90"/>
      <c r="AE198" s="90"/>
      <c r="AF198" s="90"/>
      <c r="AG198" s="90">
        <v>197</v>
      </c>
      <c r="AH198" s="90" t="s">
        <v>1097</v>
      </c>
      <c r="AI198" s="91">
        <f t="shared" si="20"/>
        <v>41030</v>
      </c>
      <c r="AJ198" s="90">
        <f t="shared" si="21"/>
        <v>0</v>
      </c>
      <c r="AK198" s="90">
        <f t="array" ref="AK198">INDEX($P$3:$P$24,MATCH(AM198&amp;YEAR(AI198),$A$3:$A$24&amp;YEAR($B$3:$B$24),0))</f>
        <v>0</v>
      </c>
      <c r="AL198" s="90" t="s">
        <v>1099</v>
      </c>
      <c r="AM198" s="90" t="str">
        <f t="shared" si="22"/>
        <v>Unrealized Gain/Loss (361-70)</v>
      </c>
    </row>
    <row r="199" spans="1:39" ht="15.75" x14ac:dyDescent="0.2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5"/>
      <c r="S199" s="95"/>
      <c r="T199" s="95"/>
      <c r="U199" s="95"/>
      <c r="V199" s="95"/>
      <c r="W199" s="95"/>
      <c r="X199" s="95"/>
      <c r="Y199" s="90"/>
      <c r="Z199" s="90"/>
      <c r="AA199" s="90"/>
      <c r="AB199" s="90"/>
      <c r="AC199" s="90"/>
      <c r="AD199" s="90"/>
      <c r="AE199" s="90"/>
      <c r="AF199" s="90"/>
      <c r="AG199" s="90">
        <v>198</v>
      </c>
      <c r="AH199" s="90" t="s">
        <v>1097</v>
      </c>
      <c r="AI199" s="91">
        <f t="shared" si="20"/>
        <v>41061</v>
      </c>
      <c r="AJ199" s="90">
        <f t="shared" si="21"/>
        <v>0</v>
      </c>
      <c r="AK199" s="90">
        <f t="array" ref="AK199">INDEX($P$3:$P$24,MATCH(AM199&amp;YEAR(AI199),$A$3:$A$24&amp;YEAR($B$3:$B$24),0))</f>
        <v>0</v>
      </c>
      <c r="AL199" s="90" t="s">
        <v>1099</v>
      </c>
      <c r="AM199" s="90" t="str">
        <f t="shared" si="22"/>
        <v>Unrealized Gain/Loss (361-70)</v>
      </c>
    </row>
    <row r="200" spans="1:39" ht="15.75" x14ac:dyDescent="0.2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5"/>
      <c r="S200" s="95"/>
      <c r="T200" s="95"/>
      <c r="U200" s="95"/>
      <c r="V200" s="95"/>
      <c r="W200" s="95"/>
      <c r="X200" s="95"/>
      <c r="Y200" s="90"/>
      <c r="Z200" s="90"/>
      <c r="AA200" s="90"/>
      <c r="AB200" s="90"/>
      <c r="AC200" s="90"/>
      <c r="AD200" s="90"/>
      <c r="AE200" s="90"/>
      <c r="AF200" s="90"/>
      <c r="AG200" s="90">
        <v>199</v>
      </c>
      <c r="AH200" s="90" t="s">
        <v>1097</v>
      </c>
      <c r="AI200" s="91">
        <f t="shared" si="20"/>
        <v>41091</v>
      </c>
      <c r="AJ200" s="90">
        <f t="shared" si="21"/>
        <v>0</v>
      </c>
      <c r="AK200" s="90">
        <f t="array" ref="AK200">INDEX($P$3:$P$24,MATCH(AM200&amp;YEAR(AI200),$A$3:$A$24&amp;YEAR($B$3:$B$24),0))</f>
        <v>0</v>
      </c>
      <c r="AL200" s="90" t="s">
        <v>1099</v>
      </c>
      <c r="AM200" s="90" t="str">
        <f t="shared" si="22"/>
        <v>Unrealized Gain/Loss (361-70)</v>
      </c>
    </row>
    <row r="201" spans="1:39" ht="15.75" x14ac:dyDescent="0.2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5"/>
      <c r="S201" s="95"/>
      <c r="T201" s="95"/>
      <c r="U201" s="95"/>
      <c r="V201" s="95"/>
      <c r="W201" s="95"/>
      <c r="X201" s="95"/>
      <c r="Y201" s="90"/>
      <c r="Z201" s="90"/>
      <c r="AA201" s="90"/>
      <c r="AB201" s="90"/>
      <c r="AC201" s="90"/>
      <c r="AD201" s="90"/>
      <c r="AE201" s="90"/>
      <c r="AF201" s="90"/>
      <c r="AG201" s="90">
        <v>200</v>
      </c>
      <c r="AH201" s="90" t="s">
        <v>1097</v>
      </c>
      <c r="AI201" s="91">
        <f t="shared" si="20"/>
        <v>41122</v>
      </c>
      <c r="AJ201" s="90">
        <f t="shared" si="21"/>
        <v>0</v>
      </c>
      <c r="AK201" s="90">
        <f t="array" ref="AK201">INDEX($P$3:$P$24,MATCH(AM201&amp;YEAR(AI201),$A$3:$A$24&amp;YEAR($B$3:$B$24),0))</f>
        <v>0</v>
      </c>
      <c r="AL201" s="90" t="s">
        <v>1099</v>
      </c>
      <c r="AM201" s="90" t="str">
        <f t="shared" si="22"/>
        <v>Unrealized Gain/Loss (361-70)</v>
      </c>
    </row>
    <row r="202" spans="1:39" ht="15.75" x14ac:dyDescent="0.2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5"/>
      <c r="S202" s="95"/>
      <c r="T202" s="95"/>
      <c r="U202" s="95"/>
      <c r="V202" s="95"/>
      <c r="W202" s="95"/>
      <c r="X202" s="95"/>
      <c r="Y202" s="90"/>
      <c r="Z202" s="90"/>
      <c r="AA202" s="90"/>
      <c r="AB202" s="90"/>
      <c r="AC202" s="90"/>
      <c r="AD202" s="90"/>
      <c r="AE202" s="90"/>
      <c r="AF202" s="90"/>
      <c r="AG202" s="90">
        <v>201</v>
      </c>
      <c r="AH202" s="90" t="s">
        <v>1097</v>
      </c>
      <c r="AI202" s="91">
        <f t="shared" si="20"/>
        <v>41153</v>
      </c>
      <c r="AJ202" s="90">
        <f t="shared" si="21"/>
        <v>0</v>
      </c>
      <c r="AK202" s="90">
        <f t="array" ref="AK202">INDEX($P$3:$P$24,MATCH(AM202&amp;YEAR(AI202),$A$3:$A$24&amp;YEAR($B$3:$B$24),0))</f>
        <v>0</v>
      </c>
      <c r="AL202" s="90" t="s">
        <v>1099</v>
      </c>
      <c r="AM202" s="90" t="str">
        <f t="shared" si="22"/>
        <v>Unrealized Gain/Loss (361-70)</v>
      </c>
    </row>
    <row r="203" spans="1:39" ht="15.75" x14ac:dyDescent="0.2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5"/>
      <c r="S203" s="95"/>
      <c r="T203" s="95"/>
      <c r="U203" s="95"/>
      <c r="V203" s="95"/>
      <c r="W203" s="95"/>
      <c r="X203" s="95"/>
      <c r="Y203" s="90"/>
      <c r="Z203" s="90"/>
      <c r="AA203" s="90"/>
      <c r="AB203" s="90"/>
      <c r="AC203" s="90"/>
      <c r="AD203" s="90"/>
      <c r="AE203" s="90"/>
      <c r="AF203" s="90"/>
      <c r="AG203" s="90">
        <v>202</v>
      </c>
      <c r="AH203" s="90" t="s">
        <v>1097</v>
      </c>
      <c r="AI203" s="91">
        <f t="shared" si="20"/>
        <v>41183</v>
      </c>
      <c r="AJ203" s="90">
        <f t="shared" si="21"/>
        <v>0</v>
      </c>
      <c r="AK203" s="90">
        <f t="array" ref="AK203">INDEX($P$3:$P$24,MATCH(AM203&amp;YEAR(AI203),$A$3:$A$24&amp;YEAR($B$3:$B$24),0))</f>
        <v>0</v>
      </c>
      <c r="AL203" s="90" t="s">
        <v>1099</v>
      </c>
      <c r="AM203" s="90" t="str">
        <f t="shared" si="22"/>
        <v>Unrealized Gain/Loss (361-70)</v>
      </c>
    </row>
    <row r="204" spans="1:39" ht="15.75" x14ac:dyDescent="0.2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5"/>
      <c r="S204" s="95"/>
      <c r="T204" s="95"/>
      <c r="U204" s="95"/>
      <c r="V204" s="95"/>
      <c r="W204" s="95"/>
      <c r="X204" s="95"/>
      <c r="Y204" s="90"/>
      <c r="Z204" s="90"/>
      <c r="AA204" s="90"/>
      <c r="AB204" s="90"/>
      <c r="AC204" s="90"/>
      <c r="AD204" s="90"/>
      <c r="AE204" s="90"/>
      <c r="AF204" s="90"/>
      <c r="AG204" s="90">
        <v>203</v>
      </c>
      <c r="AH204" s="90" t="s">
        <v>1097</v>
      </c>
      <c r="AI204" s="91">
        <f t="shared" si="20"/>
        <v>41214</v>
      </c>
      <c r="AJ204" s="90">
        <f t="shared" si="21"/>
        <v>0</v>
      </c>
      <c r="AK204" s="90">
        <f t="array" ref="AK204">INDEX($P$3:$P$24,MATCH(AM204&amp;YEAR(AI204),$A$3:$A$24&amp;YEAR($B$3:$B$24),0))</f>
        <v>0</v>
      </c>
      <c r="AL204" s="90" t="s">
        <v>1099</v>
      </c>
      <c r="AM204" s="90" t="str">
        <f t="shared" si="22"/>
        <v>Unrealized Gain/Loss (361-70)</v>
      </c>
    </row>
    <row r="205" spans="1:39" ht="15.75" x14ac:dyDescent="0.2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5"/>
      <c r="S205" s="95"/>
      <c r="T205" s="95"/>
      <c r="U205" s="95"/>
      <c r="V205" s="95"/>
      <c r="W205" s="95"/>
      <c r="X205" s="95"/>
      <c r="Y205" s="90"/>
      <c r="Z205" s="90"/>
      <c r="AA205" s="90"/>
      <c r="AB205" s="90"/>
      <c r="AC205" s="90"/>
      <c r="AD205" s="90"/>
      <c r="AE205" s="90"/>
      <c r="AF205" s="90"/>
      <c r="AG205" s="90">
        <v>204</v>
      </c>
      <c r="AH205" s="90" t="s">
        <v>1097</v>
      </c>
      <c r="AI205" s="91">
        <f t="shared" si="20"/>
        <v>41244</v>
      </c>
      <c r="AJ205" s="90">
        <f t="shared" si="21"/>
        <v>-23690.68</v>
      </c>
      <c r="AK205" s="90">
        <f t="array" ref="AK205">INDEX($P$3:$P$24,MATCH(AM205&amp;YEAR(AI205),$A$3:$A$24&amp;YEAR($B$3:$B$24),0))</f>
        <v>0</v>
      </c>
      <c r="AL205" s="90" t="s">
        <v>1099</v>
      </c>
      <c r="AM205" s="90" t="str">
        <f t="shared" si="22"/>
        <v>Unrealized Gain/Loss (361-70)</v>
      </c>
    </row>
    <row r="206" spans="1:39" ht="15.75" x14ac:dyDescent="0.2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5"/>
      <c r="S206" s="95"/>
      <c r="T206" s="95"/>
      <c r="U206" s="95"/>
      <c r="V206" s="95"/>
      <c r="W206" s="95"/>
      <c r="X206" s="95"/>
      <c r="Y206" s="90"/>
      <c r="Z206" s="90"/>
      <c r="AA206" s="90"/>
      <c r="AB206" s="90"/>
      <c r="AC206" s="90"/>
      <c r="AD206" s="90"/>
      <c r="AE206" s="90"/>
      <c r="AF206" s="90"/>
      <c r="AG206" s="90">
        <v>205</v>
      </c>
      <c r="AH206" s="90" t="s">
        <v>1097</v>
      </c>
      <c r="AI206" s="91">
        <f t="shared" si="20"/>
        <v>41275</v>
      </c>
      <c r="AJ206" s="90">
        <f t="shared" si="21"/>
        <v>0</v>
      </c>
      <c r="AK206" s="90">
        <f t="array" ref="AK206">INDEX($P$3:$P$24,MATCH(AM206&amp;YEAR(AI206),$A$3:$A$24&amp;YEAR($B$3:$B$24),0))</f>
        <v>0</v>
      </c>
      <c r="AL206" s="90" t="s">
        <v>1099</v>
      </c>
      <c r="AM206" s="90" t="str">
        <f t="shared" si="22"/>
        <v>Unrealized Gain/Loss (361-70)</v>
      </c>
    </row>
    <row r="207" spans="1:39" ht="15.75" x14ac:dyDescent="0.2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5"/>
      <c r="S207" s="95"/>
      <c r="T207" s="95"/>
      <c r="U207" s="95"/>
      <c r="V207" s="95"/>
      <c r="W207" s="95"/>
      <c r="X207" s="95"/>
      <c r="Y207" s="90"/>
      <c r="Z207" s="90"/>
      <c r="AA207" s="90"/>
      <c r="AB207" s="90"/>
      <c r="AC207" s="90"/>
      <c r="AD207" s="90"/>
      <c r="AE207" s="90"/>
      <c r="AF207" s="90"/>
      <c r="AG207" s="90">
        <v>206</v>
      </c>
      <c r="AH207" s="90" t="s">
        <v>1097</v>
      </c>
      <c r="AI207" s="91">
        <f t="shared" si="20"/>
        <v>41306</v>
      </c>
      <c r="AJ207" s="90">
        <f t="shared" si="21"/>
        <v>0</v>
      </c>
      <c r="AK207" s="90">
        <f t="array" ref="AK207">INDEX($P$3:$P$24,MATCH(AM207&amp;YEAR(AI207),$A$3:$A$24&amp;YEAR($B$3:$B$24),0))</f>
        <v>0</v>
      </c>
      <c r="AL207" s="90" t="s">
        <v>1099</v>
      </c>
      <c r="AM207" s="90" t="str">
        <f t="shared" si="22"/>
        <v>Unrealized Gain/Loss (361-70)</v>
      </c>
    </row>
    <row r="208" spans="1:39" ht="15.75" x14ac:dyDescent="0.2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5"/>
      <c r="S208" s="95"/>
      <c r="T208" s="95"/>
      <c r="U208" s="95"/>
      <c r="V208" s="95"/>
      <c r="W208" s="95"/>
      <c r="X208" s="95"/>
      <c r="Y208" s="90"/>
      <c r="Z208" s="90"/>
      <c r="AA208" s="90"/>
      <c r="AB208" s="90"/>
      <c r="AC208" s="90"/>
      <c r="AD208" s="90"/>
      <c r="AE208" s="90"/>
      <c r="AF208" s="90"/>
      <c r="AG208" s="90">
        <v>207</v>
      </c>
      <c r="AH208" s="90" t="s">
        <v>1097</v>
      </c>
      <c r="AI208" s="91">
        <f t="shared" si="20"/>
        <v>41334</v>
      </c>
      <c r="AJ208" s="90">
        <f t="shared" si="21"/>
        <v>0</v>
      </c>
      <c r="AK208" s="90">
        <f t="array" ref="AK208">INDEX($P$3:$P$24,MATCH(AM208&amp;YEAR(AI208),$A$3:$A$24&amp;YEAR($B$3:$B$24),0))</f>
        <v>0</v>
      </c>
      <c r="AL208" s="90" t="s">
        <v>1099</v>
      </c>
      <c r="AM208" s="90" t="str">
        <f t="shared" si="22"/>
        <v>Unrealized Gain/Loss (361-70)</v>
      </c>
    </row>
    <row r="209" spans="1:39" ht="15.75" x14ac:dyDescent="0.2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5"/>
      <c r="S209" s="95"/>
      <c r="T209" s="95"/>
      <c r="U209" s="95"/>
      <c r="V209" s="95"/>
      <c r="W209" s="95"/>
      <c r="X209" s="95"/>
      <c r="Y209" s="90"/>
      <c r="Z209" s="90"/>
      <c r="AA209" s="90"/>
      <c r="AB209" s="90"/>
      <c r="AC209" s="90"/>
      <c r="AD209" s="90"/>
      <c r="AE209" s="90"/>
      <c r="AF209" s="90"/>
      <c r="AG209" s="90">
        <v>208</v>
      </c>
      <c r="AH209" s="90" t="s">
        <v>1097</v>
      </c>
      <c r="AI209" s="91">
        <f t="shared" si="20"/>
        <v>41365</v>
      </c>
      <c r="AJ209" s="90">
        <f t="shared" si="21"/>
        <v>0</v>
      </c>
      <c r="AK209" s="90">
        <f t="array" ref="AK209">INDEX($P$3:$P$24,MATCH(AM209&amp;YEAR(AI209),$A$3:$A$24&amp;YEAR($B$3:$B$24),0))</f>
        <v>0</v>
      </c>
      <c r="AL209" s="90" t="s">
        <v>1099</v>
      </c>
      <c r="AM209" s="90" t="str">
        <f t="shared" si="22"/>
        <v>Unrealized Gain/Loss (361-70)</v>
      </c>
    </row>
    <row r="210" spans="1:39" ht="15.75" x14ac:dyDescent="0.2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5"/>
      <c r="S210" s="95"/>
      <c r="T210" s="95"/>
      <c r="U210" s="95"/>
      <c r="V210" s="95"/>
      <c r="W210" s="95"/>
      <c r="X210" s="95"/>
      <c r="Y210" s="90"/>
      <c r="Z210" s="90"/>
      <c r="AA210" s="90"/>
      <c r="AB210" s="90"/>
      <c r="AC210" s="90"/>
      <c r="AD210" s="90"/>
      <c r="AE210" s="90"/>
      <c r="AF210" s="90"/>
      <c r="AG210" s="90">
        <v>209</v>
      </c>
      <c r="AH210" s="90" t="s">
        <v>1097</v>
      </c>
      <c r="AI210" s="91">
        <f t="shared" si="20"/>
        <v>41395</v>
      </c>
      <c r="AJ210" s="90">
        <f t="shared" si="21"/>
        <v>0</v>
      </c>
      <c r="AK210" s="90">
        <f t="array" ref="AK210">INDEX($P$3:$P$24,MATCH(AM210&amp;YEAR(AI210),$A$3:$A$24&amp;YEAR($B$3:$B$24),0))</f>
        <v>0</v>
      </c>
      <c r="AL210" s="90" t="s">
        <v>1099</v>
      </c>
      <c r="AM210" s="90" t="str">
        <f t="shared" si="22"/>
        <v>Unrealized Gain/Loss (361-70)</v>
      </c>
    </row>
    <row r="211" spans="1:39" ht="15.75" x14ac:dyDescent="0.2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5"/>
      <c r="S211" s="95"/>
      <c r="T211" s="95"/>
      <c r="U211" s="95"/>
      <c r="V211" s="95"/>
      <c r="W211" s="95"/>
      <c r="X211" s="95"/>
      <c r="Y211" s="90"/>
      <c r="Z211" s="90"/>
      <c r="AA211" s="90"/>
      <c r="AB211" s="90"/>
      <c r="AC211" s="90"/>
      <c r="AD211" s="90"/>
      <c r="AE211" s="90"/>
      <c r="AF211" s="90"/>
      <c r="AG211" s="90">
        <v>210</v>
      </c>
      <c r="AH211" s="90" t="s">
        <v>1097</v>
      </c>
      <c r="AI211" s="91">
        <f t="shared" si="20"/>
        <v>41426</v>
      </c>
      <c r="AJ211" s="90">
        <f t="shared" si="21"/>
        <v>0</v>
      </c>
      <c r="AK211" s="90">
        <f t="array" ref="AK211">INDEX($P$3:$P$24,MATCH(AM211&amp;YEAR(AI211),$A$3:$A$24&amp;YEAR($B$3:$B$24),0))</f>
        <v>0</v>
      </c>
      <c r="AL211" s="90" t="s">
        <v>1099</v>
      </c>
      <c r="AM211" s="90" t="str">
        <f t="shared" si="22"/>
        <v>Unrealized Gain/Loss (361-70)</v>
      </c>
    </row>
    <row r="212" spans="1:39" ht="15.75" x14ac:dyDescent="0.2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5"/>
      <c r="S212" s="95"/>
      <c r="T212" s="95"/>
      <c r="U212" s="95"/>
      <c r="V212" s="95"/>
      <c r="W212" s="95"/>
      <c r="X212" s="95"/>
      <c r="Y212" s="90"/>
      <c r="Z212" s="90"/>
      <c r="AA212" s="90"/>
      <c r="AB212" s="90"/>
      <c r="AC212" s="90"/>
      <c r="AD212" s="90"/>
      <c r="AE212" s="90"/>
      <c r="AF212" s="90"/>
      <c r="AG212" s="90">
        <v>211</v>
      </c>
      <c r="AH212" s="90" t="s">
        <v>1097</v>
      </c>
      <c r="AI212" s="91">
        <f t="shared" si="20"/>
        <v>41456</v>
      </c>
      <c r="AJ212" s="90">
        <f t="shared" si="21"/>
        <v>0</v>
      </c>
      <c r="AK212" s="90">
        <f t="array" ref="AK212">INDEX($P$3:$P$24,MATCH(AM212&amp;YEAR(AI212),$A$3:$A$24&amp;YEAR($B$3:$B$24),0))</f>
        <v>0</v>
      </c>
      <c r="AL212" s="90" t="s">
        <v>1099</v>
      </c>
      <c r="AM212" s="90" t="str">
        <f t="shared" si="22"/>
        <v>Unrealized Gain/Loss (361-70)</v>
      </c>
    </row>
    <row r="213" spans="1:39" ht="15.75" x14ac:dyDescent="0.2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5"/>
      <c r="S213" s="95"/>
      <c r="T213" s="95"/>
      <c r="U213" s="95"/>
      <c r="V213" s="95"/>
      <c r="W213" s="95"/>
      <c r="X213" s="95"/>
      <c r="Y213" s="90"/>
      <c r="Z213" s="90"/>
      <c r="AA213" s="90"/>
      <c r="AB213" s="90"/>
      <c r="AC213" s="90"/>
      <c r="AD213" s="90"/>
      <c r="AE213" s="90"/>
      <c r="AF213" s="90"/>
      <c r="AG213" s="90">
        <v>212</v>
      </c>
      <c r="AH213" s="90" t="s">
        <v>1097</v>
      </c>
      <c r="AI213" s="91">
        <f t="shared" si="20"/>
        <v>41487</v>
      </c>
      <c r="AJ213" s="90">
        <f t="shared" si="21"/>
        <v>0</v>
      </c>
      <c r="AK213" s="90">
        <f t="array" ref="AK213">INDEX($P$3:$P$24,MATCH(AM213&amp;YEAR(AI213),$A$3:$A$24&amp;YEAR($B$3:$B$24),0))</f>
        <v>0</v>
      </c>
      <c r="AL213" s="90" t="s">
        <v>1099</v>
      </c>
      <c r="AM213" s="90" t="str">
        <f t="shared" si="22"/>
        <v>Unrealized Gain/Loss (361-70)</v>
      </c>
    </row>
    <row r="214" spans="1:39" ht="15.75" x14ac:dyDescent="0.2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5"/>
      <c r="S214" s="95"/>
      <c r="T214" s="95"/>
      <c r="U214" s="95"/>
      <c r="V214" s="95"/>
      <c r="W214" s="95"/>
      <c r="X214" s="95"/>
      <c r="Y214" s="90"/>
      <c r="Z214" s="90"/>
      <c r="AA214" s="90"/>
      <c r="AB214" s="90"/>
      <c r="AC214" s="90"/>
      <c r="AD214" s="90"/>
      <c r="AE214" s="90"/>
      <c r="AF214" s="90"/>
      <c r="AG214" s="90">
        <v>213</v>
      </c>
      <c r="AH214" s="90" t="s">
        <v>1097</v>
      </c>
      <c r="AI214" s="91">
        <f t="shared" si="20"/>
        <v>41518</v>
      </c>
      <c r="AJ214" s="90">
        <f t="shared" si="21"/>
        <v>0</v>
      </c>
      <c r="AK214" s="90">
        <f t="array" ref="AK214">INDEX($P$3:$P$24,MATCH(AM214&amp;YEAR(AI214),$A$3:$A$24&amp;YEAR($B$3:$B$24),0))</f>
        <v>0</v>
      </c>
      <c r="AL214" s="90" t="s">
        <v>1099</v>
      </c>
      <c r="AM214" s="90" t="str">
        <f t="shared" si="22"/>
        <v>Unrealized Gain/Loss (361-70)</v>
      </c>
    </row>
    <row r="215" spans="1:39" ht="15.75" x14ac:dyDescent="0.2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5"/>
      <c r="S215" s="95"/>
      <c r="T215" s="95"/>
      <c r="U215" s="95"/>
      <c r="V215" s="95"/>
      <c r="W215" s="95"/>
      <c r="X215" s="95"/>
      <c r="Y215" s="90"/>
      <c r="Z215" s="90"/>
      <c r="AA215" s="90"/>
      <c r="AB215" s="90"/>
      <c r="AC215" s="90"/>
      <c r="AD215" s="90"/>
      <c r="AE215" s="90"/>
      <c r="AF215" s="90"/>
      <c r="AG215" s="90">
        <v>214</v>
      </c>
      <c r="AH215" s="90" t="s">
        <v>1097</v>
      </c>
      <c r="AI215" s="91">
        <f t="shared" si="20"/>
        <v>41548</v>
      </c>
      <c r="AJ215" s="90">
        <f t="shared" si="21"/>
        <v>0</v>
      </c>
      <c r="AK215" s="90">
        <f t="array" ref="AK215">INDEX($P$3:$P$24,MATCH(AM215&amp;YEAR(AI215),$A$3:$A$24&amp;YEAR($B$3:$B$24),0))</f>
        <v>0</v>
      </c>
      <c r="AL215" s="90" t="s">
        <v>1099</v>
      </c>
      <c r="AM215" s="90" t="str">
        <f t="shared" si="22"/>
        <v>Unrealized Gain/Loss (361-70)</v>
      </c>
    </row>
    <row r="216" spans="1:39" ht="15.75" x14ac:dyDescent="0.2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5"/>
      <c r="S216" s="95"/>
      <c r="T216" s="95"/>
      <c r="U216" s="95"/>
      <c r="V216" s="95"/>
      <c r="W216" s="95"/>
      <c r="X216" s="95"/>
      <c r="Y216" s="90"/>
      <c r="Z216" s="90"/>
      <c r="AA216" s="90"/>
      <c r="AB216" s="90"/>
      <c r="AC216" s="90"/>
      <c r="AD216" s="90"/>
      <c r="AE216" s="90"/>
      <c r="AF216" s="90"/>
      <c r="AG216" s="90">
        <v>215</v>
      </c>
      <c r="AH216" s="90" t="s">
        <v>1097</v>
      </c>
      <c r="AI216" s="91">
        <f t="shared" si="20"/>
        <v>41579</v>
      </c>
      <c r="AJ216" s="90">
        <f t="shared" si="21"/>
        <v>0</v>
      </c>
      <c r="AK216" s="90">
        <f t="array" ref="AK216">INDEX($P$3:$P$24,MATCH(AM216&amp;YEAR(AI216),$A$3:$A$24&amp;YEAR($B$3:$B$24),0))</f>
        <v>0</v>
      </c>
      <c r="AL216" s="90" t="s">
        <v>1099</v>
      </c>
      <c r="AM216" s="90" t="str">
        <f t="shared" si="22"/>
        <v>Unrealized Gain/Loss (361-70)</v>
      </c>
    </row>
    <row r="217" spans="1:39" ht="15.75" x14ac:dyDescent="0.2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5"/>
      <c r="S217" s="95"/>
      <c r="T217" s="95"/>
      <c r="U217" s="95"/>
      <c r="V217" s="95"/>
      <c r="W217" s="95"/>
      <c r="X217" s="95"/>
      <c r="Y217" s="90"/>
      <c r="Z217" s="90"/>
      <c r="AA217" s="90"/>
      <c r="AB217" s="90"/>
      <c r="AC217" s="90"/>
      <c r="AD217" s="90"/>
      <c r="AE217" s="90"/>
      <c r="AF217" s="90"/>
      <c r="AG217" s="90">
        <v>216</v>
      </c>
      <c r="AH217" s="90" t="s">
        <v>1097</v>
      </c>
      <c r="AI217" s="91">
        <f t="shared" si="20"/>
        <v>41609</v>
      </c>
      <c r="AJ217" s="90">
        <f t="shared" si="21"/>
        <v>0</v>
      </c>
      <c r="AK217" s="90">
        <f t="array" ref="AK217">INDEX($P$3:$P$24,MATCH(AM217&amp;YEAR(AI217),$A$3:$A$24&amp;YEAR($B$3:$B$24),0))</f>
        <v>0</v>
      </c>
      <c r="AL217" s="90" t="s">
        <v>1099</v>
      </c>
      <c r="AM217" s="90" t="str">
        <f t="shared" si="22"/>
        <v>Unrealized Gain/Loss (361-70)</v>
      </c>
    </row>
    <row r="218" spans="1:39" ht="15.75" x14ac:dyDescent="0.2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5"/>
      <c r="S218" s="95"/>
      <c r="T218" s="95"/>
      <c r="U218" s="95"/>
      <c r="V218" s="95"/>
      <c r="W218" s="95"/>
      <c r="X218" s="95"/>
      <c r="Y218" s="90"/>
      <c r="Z218" s="90"/>
      <c r="AA218" s="90"/>
      <c r="AB218" s="90"/>
      <c r="AC218" s="90"/>
      <c r="AD218" s="90"/>
      <c r="AE218" s="90"/>
      <c r="AF218" s="90"/>
      <c r="AG218" s="90">
        <v>217</v>
      </c>
      <c r="AH218" s="90" t="s">
        <v>1097</v>
      </c>
      <c r="AI218" s="91">
        <f t="shared" si="20"/>
        <v>40909</v>
      </c>
      <c r="AJ218" s="90">
        <f t="shared" si="21"/>
        <v>0</v>
      </c>
      <c r="AK218" s="90">
        <f t="array" ref="AK218">INDEX($P$3:$P$24,MATCH(AM218&amp;YEAR(AI218),$A$3:$A$24&amp;YEAR($B$3:$B$24),0))</f>
        <v>30000</v>
      </c>
      <c r="AL218" s="90" t="s">
        <v>1099</v>
      </c>
      <c r="AM218" s="90" t="str">
        <f t="shared" si="22"/>
        <v>Rents/Royalties (362*)</v>
      </c>
    </row>
    <row r="219" spans="1:39" ht="15.75" x14ac:dyDescent="0.2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5"/>
      <c r="S219" s="95"/>
      <c r="T219" s="95"/>
      <c r="U219" s="95"/>
      <c r="V219" s="95"/>
      <c r="W219" s="95"/>
      <c r="X219" s="95"/>
      <c r="Y219" s="90"/>
      <c r="Z219" s="90"/>
      <c r="AA219" s="90"/>
      <c r="AB219" s="90"/>
      <c r="AC219" s="90"/>
      <c r="AD219" s="90"/>
      <c r="AE219" s="90"/>
      <c r="AF219" s="90"/>
      <c r="AG219" s="90">
        <v>218</v>
      </c>
      <c r="AH219" s="90" t="s">
        <v>1097</v>
      </c>
      <c r="AI219" s="91">
        <f t="shared" si="20"/>
        <v>40940</v>
      </c>
      <c r="AJ219" s="90">
        <f t="shared" si="21"/>
        <v>0</v>
      </c>
      <c r="AK219" s="90">
        <f t="array" ref="AK219">INDEX($P$3:$P$24,MATCH(AM219&amp;YEAR(AI219),$A$3:$A$24&amp;YEAR($B$3:$B$24),0))</f>
        <v>30000</v>
      </c>
      <c r="AL219" s="90" t="s">
        <v>1099</v>
      </c>
      <c r="AM219" s="90" t="str">
        <f t="shared" si="22"/>
        <v>Rents/Royalties (362*)</v>
      </c>
    </row>
    <row r="220" spans="1:39" ht="15.75" x14ac:dyDescent="0.2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5"/>
      <c r="S220" s="95"/>
      <c r="T220" s="95"/>
      <c r="U220" s="95"/>
      <c r="V220" s="95"/>
      <c r="W220" s="95"/>
      <c r="X220" s="95"/>
      <c r="Y220" s="90"/>
      <c r="Z220" s="90"/>
      <c r="AA220" s="90"/>
      <c r="AB220" s="90"/>
      <c r="AC220" s="90"/>
      <c r="AD220" s="90"/>
      <c r="AE220" s="90"/>
      <c r="AF220" s="90"/>
      <c r="AG220" s="90">
        <v>219</v>
      </c>
      <c r="AH220" s="90" t="s">
        <v>1097</v>
      </c>
      <c r="AI220" s="91">
        <f t="shared" si="20"/>
        <v>40969</v>
      </c>
      <c r="AJ220" s="90">
        <f t="shared" si="21"/>
        <v>12500</v>
      </c>
      <c r="AK220" s="90">
        <f t="array" ref="AK220">INDEX($P$3:$P$24,MATCH(AM220&amp;YEAR(AI220),$A$3:$A$24&amp;YEAR($B$3:$B$24),0))</f>
        <v>30000</v>
      </c>
      <c r="AL220" s="90" t="s">
        <v>1099</v>
      </c>
      <c r="AM220" s="90" t="str">
        <f t="shared" si="22"/>
        <v>Rents/Royalties (362*)</v>
      </c>
    </row>
    <row r="221" spans="1:39" ht="15.75" x14ac:dyDescent="0.2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5"/>
      <c r="S221" s="95"/>
      <c r="T221" s="95"/>
      <c r="U221" s="95"/>
      <c r="V221" s="95"/>
      <c r="W221" s="95"/>
      <c r="X221" s="95"/>
      <c r="Y221" s="90"/>
      <c r="Z221" s="90"/>
      <c r="AA221" s="90"/>
      <c r="AB221" s="90"/>
      <c r="AC221" s="90"/>
      <c r="AD221" s="90"/>
      <c r="AE221" s="90"/>
      <c r="AF221" s="90"/>
      <c r="AG221" s="90">
        <v>220</v>
      </c>
      <c r="AH221" s="90" t="s">
        <v>1097</v>
      </c>
      <c r="AI221" s="91">
        <f t="shared" si="20"/>
        <v>41000</v>
      </c>
      <c r="AJ221" s="90">
        <f t="shared" si="21"/>
        <v>0</v>
      </c>
      <c r="AK221" s="90">
        <f t="array" ref="AK221">INDEX($P$3:$P$24,MATCH(AM221&amp;YEAR(AI221),$A$3:$A$24&amp;YEAR($B$3:$B$24),0))</f>
        <v>30000</v>
      </c>
      <c r="AL221" s="90" t="s">
        <v>1099</v>
      </c>
      <c r="AM221" s="90" t="str">
        <f t="shared" si="22"/>
        <v>Rents/Royalties (362*)</v>
      </c>
    </row>
    <row r="222" spans="1:39" ht="15.75" x14ac:dyDescent="0.2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5"/>
      <c r="S222" s="95"/>
      <c r="T222" s="95"/>
      <c r="U222" s="95"/>
      <c r="V222" s="95"/>
      <c r="W222" s="95"/>
      <c r="X222" s="95"/>
      <c r="Y222" s="90"/>
      <c r="Z222" s="90"/>
      <c r="AA222" s="90"/>
      <c r="AB222" s="90"/>
      <c r="AC222" s="90"/>
      <c r="AD222" s="90"/>
      <c r="AE222" s="90"/>
      <c r="AF222" s="90"/>
      <c r="AG222" s="90">
        <v>221</v>
      </c>
      <c r="AH222" s="90" t="s">
        <v>1097</v>
      </c>
      <c r="AI222" s="91">
        <f t="shared" si="20"/>
        <v>41030</v>
      </c>
      <c r="AJ222" s="90">
        <f t="shared" si="21"/>
        <v>865.11</v>
      </c>
      <c r="AK222" s="90">
        <f t="array" ref="AK222">INDEX($P$3:$P$24,MATCH(AM222&amp;YEAR(AI222),$A$3:$A$24&amp;YEAR($B$3:$B$24),0))</f>
        <v>30000</v>
      </c>
      <c r="AL222" s="90" t="s">
        <v>1099</v>
      </c>
      <c r="AM222" s="90" t="str">
        <f t="shared" si="22"/>
        <v>Rents/Royalties (362*)</v>
      </c>
    </row>
    <row r="223" spans="1:39" ht="15.75" x14ac:dyDescent="0.2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5"/>
      <c r="S223" s="95"/>
      <c r="T223" s="95"/>
      <c r="U223" s="95"/>
      <c r="V223" s="95"/>
      <c r="W223" s="95"/>
      <c r="X223" s="95"/>
      <c r="Y223" s="90"/>
      <c r="Z223" s="90"/>
      <c r="AA223" s="90"/>
      <c r="AB223" s="90"/>
      <c r="AC223" s="90"/>
      <c r="AD223" s="90"/>
      <c r="AE223" s="90"/>
      <c r="AF223" s="90"/>
      <c r="AG223" s="90">
        <v>222</v>
      </c>
      <c r="AH223" s="90" t="s">
        <v>1097</v>
      </c>
      <c r="AI223" s="91">
        <f t="shared" si="20"/>
        <v>41061</v>
      </c>
      <c r="AJ223" s="90">
        <f t="shared" si="21"/>
        <v>338</v>
      </c>
      <c r="AK223" s="90">
        <f t="array" ref="AK223">INDEX($P$3:$P$24,MATCH(AM223&amp;YEAR(AI223),$A$3:$A$24&amp;YEAR($B$3:$B$24),0))</f>
        <v>30000</v>
      </c>
      <c r="AL223" s="90" t="s">
        <v>1099</v>
      </c>
      <c r="AM223" s="90" t="str">
        <f t="shared" si="22"/>
        <v>Rents/Royalties (362*)</v>
      </c>
    </row>
    <row r="224" spans="1:39" ht="15.75" x14ac:dyDescent="0.2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5"/>
      <c r="S224" s="95"/>
      <c r="T224" s="95"/>
      <c r="U224" s="95"/>
      <c r="V224" s="95"/>
      <c r="W224" s="95"/>
      <c r="X224" s="95"/>
      <c r="Y224" s="90"/>
      <c r="Z224" s="90"/>
      <c r="AA224" s="90"/>
      <c r="AB224" s="90"/>
      <c r="AC224" s="90"/>
      <c r="AD224" s="90"/>
      <c r="AE224" s="90"/>
      <c r="AF224" s="90"/>
      <c r="AG224" s="90">
        <v>223</v>
      </c>
      <c r="AH224" s="90" t="s">
        <v>1097</v>
      </c>
      <c r="AI224" s="91">
        <f t="shared" si="20"/>
        <v>41091</v>
      </c>
      <c r="AJ224" s="90">
        <f t="shared" si="21"/>
        <v>114</v>
      </c>
      <c r="AK224" s="90">
        <f t="array" ref="AK224">INDEX($P$3:$P$24,MATCH(AM224&amp;YEAR(AI224),$A$3:$A$24&amp;YEAR($B$3:$B$24),0))</f>
        <v>30000</v>
      </c>
      <c r="AL224" s="90" t="s">
        <v>1099</v>
      </c>
      <c r="AM224" s="90" t="str">
        <f t="shared" si="22"/>
        <v>Rents/Royalties (362*)</v>
      </c>
    </row>
    <row r="225" spans="1:39" ht="15.75" x14ac:dyDescent="0.2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5"/>
      <c r="S225" s="95"/>
      <c r="T225" s="95"/>
      <c r="U225" s="95"/>
      <c r="V225" s="95"/>
      <c r="W225" s="95"/>
      <c r="X225" s="95"/>
      <c r="Y225" s="90"/>
      <c r="Z225" s="90"/>
      <c r="AA225" s="90"/>
      <c r="AB225" s="90"/>
      <c r="AC225" s="90"/>
      <c r="AD225" s="90"/>
      <c r="AE225" s="90"/>
      <c r="AF225" s="90"/>
      <c r="AG225" s="90">
        <v>224</v>
      </c>
      <c r="AH225" s="90" t="s">
        <v>1097</v>
      </c>
      <c r="AI225" s="91">
        <f t="shared" si="20"/>
        <v>41122</v>
      </c>
      <c r="AJ225" s="90">
        <f t="shared" si="21"/>
        <v>6413.5</v>
      </c>
      <c r="AK225" s="90">
        <f t="array" ref="AK225">INDEX($P$3:$P$24,MATCH(AM225&amp;YEAR(AI225),$A$3:$A$24&amp;YEAR($B$3:$B$24),0))</f>
        <v>30000</v>
      </c>
      <c r="AL225" s="90" t="s">
        <v>1099</v>
      </c>
      <c r="AM225" s="90" t="str">
        <f t="shared" si="22"/>
        <v>Rents/Royalties (362*)</v>
      </c>
    </row>
    <row r="226" spans="1:39" ht="15.75" x14ac:dyDescent="0.2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5"/>
      <c r="S226" s="95"/>
      <c r="T226" s="95"/>
      <c r="U226" s="95"/>
      <c r="V226" s="95"/>
      <c r="W226" s="95"/>
      <c r="X226" s="95"/>
      <c r="Y226" s="90"/>
      <c r="Z226" s="90"/>
      <c r="AA226" s="90"/>
      <c r="AB226" s="90"/>
      <c r="AC226" s="90"/>
      <c r="AD226" s="90"/>
      <c r="AE226" s="90"/>
      <c r="AF226" s="90"/>
      <c r="AG226" s="90">
        <v>225</v>
      </c>
      <c r="AH226" s="90" t="s">
        <v>1097</v>
      </c>
      <c r="AI226" s="91">
        <f t="shared" si="20"/>
        <v>41153</v>
      </c>
      <c r="AJ226" s="90">
        <f t="shared" si="21"/>
        <v>-347.93</v>
      </c>
      <c r="AK226" s="90">
        <f t="array" ref="AK226">INDEX($P$3:$P$24,MATCH(AM226&amp;YEAR(AI226),$A$3:$A$24&amp;YEAR($B$3:$B$24),0))</f>
        <v>30000</v>
      </c>
      <c r="AL226" s="90" t="s">
        <v>1099</v>
      </c>
      <c r="AM226" s="90" t="str">
        <f t="shared" si="22"/>
        <v>Rents/Royalties (362*)</v>
      </c>
    </row>
    <row r="227" spans="1:39" ht="15.75" x14ac:dyDescent="0.2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5"/>
      <c r="S227" s="95"/>
      <c r="T227" s="95"/>
      <c r="U227" s="95"/>
      <c r="V227" s="95"/>
      <c r="W227" s="95"/>
      <c r="X227" s="95"/>
      <c r="Y227" s="90"/>
      <c r="Z227" s="90"/>
      <c r="AA227" s="90"/>
      <c r="AB227" s="90"/>
      <c r="AC227" s="90"/>
      <c r="AD227" s="90"/>
      <c r="AE227" s="90"/>
      <c r="AF227" s="90"/>
      <c r="AG227" s="90">
        <v>226</v>
      </c>
      <c r="AH227" s="90" t="s">
        <v>1097</v>
      </c>
      <c r="AI227" s="91">
        <f t="shared" si="20"/>
        <v>41183</v>
      </c>
      <c r="AJ227" s="90">
        <f t="shared" si="21"/>
        <v>16188.72</v>
      </c>
      <c r="AK227" s="90">
        <f t="array" ref="AK227">INDEX($P$3:$P$24,MATCH(AM227&amp;YEAR(AI227),$A$3:$A$24&amp;YEAR($B$3:$B$24),0))</f>
        <v>30000</v>
      </c>
      <c r="AL227" s="90" t="s">
        <v>1099</v>
      </c>
      <c r="AM227" s="90" t="str">
        <f t="shared" si="22"/>
        <v>Rents/Royalties (362*)</v>
      </c>
    </row>
    <row r="228" spans="1:39" ht="15.75" x14ac:dyDescent="0.2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5"/>
      <c r="S228" s="95"/>
      <c r="T228" s="95"/>
      <c r="U228" s="95"/>
      <c r="V228" s="95"/>
      <c r="W228" s="95"/>
      <c r="X228" s="95"/>
      <c r="Y228" s="90"/>
      <c r="Z228" s="90"/>
      <c r="AA228" s="90"/>
      <c r="AB228" s="90"/>
      <c r="AC228" s="90"/>
      <c r="AD228" s="90"/>
      <c r="AE228" s="90"/>
      <c r="AF228" s="90"/>
      <c r="AG228" s="90">
        <v>227</v>
      </c>
      <c r="AH228" s="90" t="s">
        <v>1097</v>
      </c>
      <c r="AI228" s="91">
        <f t="shared" si="20"/>
        <v>41214</v>
      </c>
      <c r="AJ228" s="90">
        <f t="shared" si="21"/>
        <v>23816.28</v>
      </c>
      <c r="AK228" s="90">
        <f t="array" ref="AK228">INDEX($P$3:$P$24,MATCH(AM228&amp;YEAR(AI228),$A$3:$A$24&amp;YEAR($B$3:$B$24),0))</f>
        <v>30000</v>
      </c>
      <c r="AL228" s="90" t="s">
        <v>1099</v>
      </c>
      <c r="AM228" s="90" t="str">
        <f t="shared" si="22"/>
        <v>Rents/Royalties (362*)</v>
      </c>
    </row>
    <row r="229" spans="1:39" ht="15.75" x14ac:dyDescent="0.2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5"/>
      <c r="S229" s="95"/>
      <c r="T229" s="95"/>
      <c r="U229" s="95"/>
      <c r="V229" s="95"/>
      <c r="W229" s="95"/>
      <c r="X229" s="95"/>
      <c r="Y229" s="90"/>
      <c r="Z229" s="90"/>
      <c r="AA229" s="90"/>
      <c r="AB229" s="90"/>
      <c r="AC229" s="90"/>
      <c r="AD229" s="90"/>
      <c r="AE229" s="90"/>
      <c r="AF229" s="90"/>
      <c r="AG229" s="90">
        <v>228</v>
      </c>
      <c r="AH229" s="90" t="s">
        <v>1097</v>
      </c>
      <c r="AI229" s="91">
        <f t="shared" si="20"/>
        <v>41244</v>
      </c>
      <c r="AJ229" s="90">
        <f t="shared" si="21"/>
        <v>14494.4</v>
      </c>
      <c r="AK229" s="90">
        <f t="array" ref="AK229">INDEX($P$3:$P$24,MATCH(AM229&amp;YEAR(AI229),$A$3:$A$24&amp;YEAR($B$3:$B$24),0))</f>
        <v>30000</v>
      </c>
      <c r="AL229" s="90" t="s">
        <v>1099</v>
      </c>
      <c r="AM229" s="90" t="str">
        <f t="shared" si="22"/>
        <v>Rents/Royalties (362*)</v>
      </c>
    </row>
    <row r="230" spans="1:39" ht="15.75" x14ac:dyDescent="0.2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5"/>
      <c r="S230" s="95"/>
      <c r="T230" s="95"/>
      <c r="U230" s="95"/>
      <c r="V230" s="95"/>
      <c r="W230" s="95"/>
      <c r="X230" s="95"/>
      <c r="Y230" s="90"/>
      <c r="Z230" s="90"/>
      <c r="AA230" s="90"/>
      <c r="AB230" s="90"/>
      <c r="AC230" s="90"/>
      <c r="AD230" s="90"/>
      <c r="AE230" s="90"/>
      <c r="AF230" s="90"/>
      <c r="AG230" s="90">
        <v>229</v>
      </c>
      <c r="AH230" s="90" t="s">
        <v>1097</v>
      </c>
      <c r="AI230" s="91">
        <f t="shared" si="20"/>
        <v>41275</v>
      </c>
      <c r="AJ230" s="90">
        <f t="shared" si="21"/>
        <v>-137.19999999999999</v>
      </c>
      <c r="AK230" s="90">
        <f t="array" ref="AK230">INDEX($P$3:$P$24,MATCH(AM230&amp;YEAR(AI230),$A$3:$A$24&amp;YEAR($B$3:$B$24),0))</f>
        <v>35000</v>
      </c>
      <c r="AL230" s="90" t="s">
        <v>1099</v>
      </c>
      <c r="AM230" s="90" t="str">
        <f t="shared" si="22"/>
        <v>Rents/Royalties (362*)</v>
      </c>
    </row>
    <row r="231" spans="1:39" ht="15.75" x14ac:dyDescent="0.2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5"/>
      <c r="S231" s="95"/>
      <c r="T231" s="95"/>
      <c r="U231" s="95"/>
      <c r="V231" s="95"/>
      <c r="W231" s="95"/>
      <c r="X231" s="95"/>
      <c r="Y231" s="90"/>
      <c r="Z231" s="90"/>
      <c r="AA231" s="90"/>
      <c r="AB231" s="90"/>
      <c r="AC231" s="90"/>
      <c r="AD231" s="90"/>
      <c r="AE231" s="90"/>
      <c r="AF231" s="90"/>
      <c r="AG231" s="90">
        <v>230</v>
      </c>
      <c r="AH231" s="90" t="s">
        <v>1097</v>
      </c>
      <c r="AI231" s="91">
        <f t="shared" si="20"/>
        <v>41306</v>
      </c>
      <c r="AJ231" s="90">
        <f t="shared" si="21"/>
        <v>-132.79</v>
      </c>
      <c r="AK231" s="90">
        <f t="array" ref="AK231">INDEX($P$3:$P$24,MATCH(AM231&amp;YEAR(AI231),$A$3:$A$24&amp;YEAR($B$3:$B$24),0))</f>
        <v>35000</v>
      </c>
      <c r="AL231" s="90" t="s">
        <v>1099</v>
      </c>
      <c r="AM231" s="90" t="str">
        <f t="shared" si="22"/>
        <v>Rents/Royalties (362*)</v>
      </c>
    </row>
    <row r="232" spans="1:39" ht="15.75" x14ac:dyDescent="0.2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5"/>
      <c r="S232" s="95"/>
      <c r="T232" s="95"/>
      <c r="U232" s="95"/>
      <c r="V232" s="95"/>
      <c r="W232" s="95"/>
      <c r="X232" s="95"/>
      <c r="Y232" s="90"/>
      <c r="Z232" s="90"/>
      <c r="AA232" s="90"/>
      <c r="AB232" s="90"/>
      <c r="AC232" s="90"/>
      <c r="AD232" s="90"/>
      <c r="AE232" s="90"/>
      <c r="AF232" s="90"/>
      <c r="AG232" s="90">
        <v>231</v>
      </c>
      <c r="AH232" s="90" t="s">
        <v>1097</v>
      </c>
      <c r="AI232" s="91">
        <f t="shared" si="20"/>
        <v>41334</v>
      </c>
      <c r="AJ232" s="90">
        <f t="shared" si="21"/>
        <v>-130.33000000000001</v>
      </c>
      <c r="AK232" s="90">
        <f t="array" ref="AK232">INDEX($P$3:$P$24,MATCH(AM232&amp;YEAR(AI232),$A$3:$A$24&amp;YEAR($B$3:$B$24),0))</f>
        <v>35000</v>
      </c>
      <c r="AL232" s="90" t="s">
        <v>1099</v>
      </c>
      <c r="AM232" s="90" t="str">
        <f t="shared" si="22"/>
        <v>Rents/Royalties (362*)</v>
      </c>
    </row>
    <row r="233" spans="1:39" ht="15.75" x14ac:dyDescent="0.2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5"/>
      <c r="S233" s="95"/>
      <c r="T233" s="95"/>
      <c r="U233" s="95"/>
      <c r="V233" s="95"/>
      <c r="W233" s="95"/>
      <c r="X233" s="95"/>
      <c r="Y233" s="90"/>
      <c r="Z233" s="90"/>
      <c r="AA233" s="90"/>
      <c r="AB233" s="90"/>
      <c r="AC233" s="90"/>
      <c r="AD233" s="90"/>
      <c r="AE233" s="90"/>
      <c r="AF233" s="90"/>
      <c r="AG233" s="90">
        <v>232</v>
      </c>
      <c r="AH233" s="90" t="s">
        <v>1097</v>
      </c>
      <c r="AI233" s="91">
        <f t="shared" si="20"/>
        <v>41365</v>
      </c>
      <c r="AJ233" s="90">
        <f t="shared" si="21"/>
        <v>55896.18</v>
      </c>
      <c r="AK233" s="90">
        <f t="array" ref="AK233">INDEX($P$3:$P$24,MATCH(AM233&amp;YEAR(AI233),$A$3:$A$24&amp;YEAR($B$3:$B$24),0))</f>
        <v>35000</v>
      </c>
      <c r="AL233" s="90" t="s">
        <v>1099</v>
      </c>
      <c r="AM233" s="90" t="str">
        <f t="shared" si="22"/>
        <v>Rents/Royalties (362*)</v>
      </c>
    </row>
    <row r="234" spans="1:39" ht="15.75" x14ac:dyDescent="0.2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5"/>
      <c r="S234" s="95"/>
      <c r="T234" s="95"/>
      <c r="U234" s="95"/>
      <c r="V234" s="95"/>
      <c r="W234" s="95"/>
      <c r="X234" s="95"/>
      <c r="Y234" s="90"/>
      <c r="Z234" s="90"/>
      <c r="AA234" s="90"/>
      <c r="AB234" s="90"/>
      <c r="AC234" s="90"/>
      <c r="AD234" s="90"/>
      <c r="AE234" s="90"/>
      <c r="AF234" s="90"/>
      <c r="AG234" s="90">
        <v>233</v>
      </c>
      <c r="AH234" s="90" t="s">
        <v>1097</v>
      </c>
      <c r="AI234" s="91">
        <f t="shared" si="20"/>
        <v>41395</v>
      </c>
      <c r="AJ234" s="90">
        <f t="shared" si="21"/>
        <v>0</v>
      </c>
      <c r="AK234" s="90">
        <f t="array" ref="AK234">INDEX($P$3:$P$24,MATCH(AM234&amp;YEAR(AI234),$A$3:$A$24&amp;YEAR($B$3:$B$24),0))</f>
        <v>35000</v>
      </c>
      <c r="AL234" s="90" t="s">
        <v>1099</v>
      </c>
      <c r="AM234" s="90" t="str">
        <f t="shared" si="22"/>
        <v>Rents/Royalties (362*)</v>
      </c>
    </row>
    <row r="235" spans="1:39" ht="15.75" x14ac:dyDescent="0.2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5"/>
      <c r="S235" s="95"/>
      <c r="T235" s="95"/>
      <c r="U235" s="95"/>
      <c r="V235" s="95"/>
      <c r="W235" s="95"/>
      <c r="X235" s="95"/>
      <c r="Y235" s="90"/>
      <c r="Z235" s="90"/>
      <c r="AA235" s="90"/>
      <c r="AB235" s="90"/>
      <c r="AC235" s="90"/>
      <c r="AD235" s="90"/>
      <c r="AE235" s="90"/>
      <c r="AF235" s="90"/>
      <c r="AG235" s="90">
        <v>234</v>
      </c>
      <c r="AH235" s="90" t="s">
        <v>1097</v>
      </c>
      <c r="AI235" s="91">
        <f t="shared" si="20"/>
        <v>41426</v>
      </c>
      <c r="AJ235" s="90">
        <f t="shared" si="21"/>
        <v>0</v>
      </c>
      <c r="AK235" s="90">
        <f t="array" ref="AK235">INDEX($P$3:$P$24,MATCH(AM235&amp;YEAR(AI235),$A$3:$A$24&amp;YEAR($B$3:$B$24),0))</f>
        <v>35000</v>
      </c>
      <c r="AL235" s="90" t="s">
        <v>1099</v>
      </c>
      <c r="AM235" s="90" t="str">
        <f t="shared" si="22"/>
        <v>Rents/Royalties (362*)</v>
      </c>
    </row>
    <row r="236" spans="1:39" ht="15.75" x14ac:dyDescent="0.2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5"/>
      <c r="S236" s="95"/>
      <c r="T236" s="95"/>
      <c r="U236" s="95"/>
      <c r="V236" s="95"/>
      <c r="W236" s="95"/>
      <c r="X236" s="95"/>
      <c r="Y236" s="90"/>
      <c r="Z236" s="90"/>
      <c r="AA236" s="90"/>
      <c r="AB236" s="90"/>
      <c r="AC236" s="90"/>
      <c r="AD236" s="90"/>
      <c r="AE236" s="90"/>
      <c r="AF236" s="90"/>
      <c r="AG236" s="90">
        <v>235</v>
      </c>
      <c r="AH236" s="90" t="s">
        <v>1097</v>
      </c>
      <c r="AI236" s="91">
        <f t="shared" si="20"/>
        <v>41456</v>
      </c>
      <c r="AJ236" s="90">
        <f t="shared" si="21"/>
        <v>0</v>
      </c>
      <c r="AK236" s="90">
        <f t="array" ref="AK236">INDEX($P$3:$P$24,MATCH(AM236&amp;YEAR(AI236),$A$3:$A$24&amp;YEAR($B$3:$B$24),0))</f>
        <v>35000</v>
      </c>
      <c r="AL236" s="90" t="s">
        <v>1099</v>
      </c>
      <c r="AM236" s="90" t="str">
        <f t="shared" si="22"/>
        <v>Rents/Royalties (362*)</v>
      </c>
    </row>
    <row r="237" spans="1:39" ht="15.75" x14ac:dyDescent="0.2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5"/>
      <c r="S237" s="95"/>
      <c r="T237" s="95"/>
      <c r="U237" s="95"/>
      <c r="V237" s="95"/>
      <c r="W237" s="95"/>
      <c r="X237" s="95"/>
      <c r="Y237" s="90"/>
      <c r="Z237" s="90"/>
      <c r="AA237" s="90"/>
      <c r="AB237" s="90"/>
      <c r="AC237" s="90"/>
      <c r="AD237" s="90"/>
      <c r="AE237" s="90"/>
      <c r="AF237" s="90"/>
      <c r="AG237" s="90">
        <v>236</v>
      </c>
      <c r="AH237" s="90" t="s">
        <v>1097</v>
      </c>
      <c r="AI237" s="91">
        <f t="shared" si="20"/>
        <v>41487</v>
      </c>
      <c r="AJ237" s="90">
        <f t="shared" si="21"/>
        <v>0</v>
      </c>
      <c r="AK237" s="90">
        <f t="array" ref="AK237">INDEX($P$3:$P$24,MATCH(AM237&amp;YEAR(AI237),$A$3:$A$24&amp;YEAR($B$3:$B$24),0))</f>
        <v>35000</v>
      </c>
      <c r="AL237" s="90" t="s">
        <v>1099</v>
      </c>
      <c r="AM237" s="90" t="str">
        <f t="shared" si="22"/>
        <v>Rents/Royalties (362*)</v>
      </c>
    </row>
    <row r="238" spans="1:39" ht="15.75" x14ac:dyDescent="0.2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5"/>
      <c r="S238" s="95"/>
      <c r="T238" s="95"/>
      <c r="U238" s="95"/>
      <c r="V238" s="95"/>
      <c r="W238" s="95"/>
      <c r="X238" s="95"/>
      <c r="Y238" s="90"/>
      <c r="Z238" s="90"/>
      <c r="AA238" s="90"/>
      <c r="AB238" s="90"/>
      <c r="AC238" s="90"/>
      <c r="AD238" s="90"/>
      <c r="AE238" s="90"/>
      <c r="AF238" s="90"/>
      <c r="AG238" s="90">
        <v>237</v>
      </c>
      <c r="AH238" s="90" t="s">
        <v>1097</v>
      </c>
      <c r="AI238" s="91">
        <f t="shared" si="20"/>
        <v>41518</v>
      </c>
      <c r="AJ238" s="90">
        <f t="shared" si="21"/>
        <v>0</v>
      </c>
      <c r="AK238" s="90">
        <f t="array" ref="AK238">INDEX($P$3:$P$24,MATCH(AM238&amp;YEAR(AI238),$A$3:$A$24&amp;YEAR($B$3:$B$24),0))</f>
        <v>35000</v>
      </c>
      <c r="AL238" s="90" t="s">
        <v>1099</v>
      </c>
      <c r="AM238" s="90" t="str">
        <f t="shared" si="22"/>
        <v>Rents/Royalties (362*)</v>
      </c>
    </row>
    <row r="239" spans="1:39" ht="15.75" x14ac:dyDescent="0.2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5"/>
      <c r="S239" s="95"/>
      <c r="T239" s="95"/>
      <c r="U239" s="95"/>
      <c r="V239" s="95"/>
      <c r="W239" s="95"/>
      <c r="X239" s="95"/>
      <c r="Y239" s="90"/>
      <c r="Z239" s="90"/>
      <c r="AA239" s="90"/>
      <c r="AB239" s="90"/>
      <c r="AC239" s="90"/>
      <c r="AD239" s="90"/>
      <c r="AE239" s="90"/>
      <c r="AF239" s="90"/>
      <c r="AG239" s="90">
        <v>238</v>
      </c>
      <c r="AH239" s="90" t="s">
        <v>1097</v>
      </c>
      <c r="AI239" s="91">
        <f t="shared" si="20"/>
        <v>41548</v>
      </c>
      <c r="AJ239" s="90">
        <f t="shared" si="21"/>
        <v>0</v>
      </c>
      <c r="AK239" s="90">
        <f t="array" ref="AK239">INDEX($P$3:$P$24,MATCH(AM239&amp;YEAR(AI239),$A$3:$A$24&amp;YEAR($B$3:$B$24),0))</f>
        <v>35000</v>
      </c>
      <c r="AL239" s="90" t="s">
        <v>1099</v>
      </c>
      <c r="AM239" s="90" t="str">
        <f t="shared" si="22"/>
        <v>Rents/Royalties (362*)</v>
      </c>
    </row>
    <row r="240" spans="1:39" ht="15.75" x14ac:dyDescent="0.2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5"/>
      <c r="S240" s="95"/>
      <c r="T240" s="95"/>
      <c r="U240" s="95"/>
      <c r="V240" s="95"/>
      <c r="W240" s="95"/>
      <c r="X240" s="95"/>
      <c r="Y240" s="90"/>
      <c r="Z240" s="90"/>
      <c r="AA240" s="90"/>
      <c r="AB240" s="90"/>
      <c r="AC240" s="90"/>
      <c r="AD240" s="90"/>
      <c r="AE240" s="90"/>
      <c r="AF240" s="90"/>
      <c r="AG240" s="90">
        <v>239</v>
      </c>
      <c r="AH240" s="90" t="s">
        <v>1097</v>
      </c>
      <c r="AI240" s="91">
        <f t="shared" si="20"/>
        <v>41579</v>
      </c>
      <c r="AJ240" s="90">
        <f t="shared" si="21"/>
        <v>0</v>
      </c>
      <c r="AK240" s="90">
        <f t="array" ref="AK240">INDEX($P$3:$P$24,MATCH(AM240&amp;YEAR(AI240),$A$3:$A$24&amp;YEAR($B$3:$B$24),0))</f>
        <v>35000</v>
      </c>
      <c r="AL240" s="90" t="s">
        <v>1099</v>
      </c>
      <c r="AM240" s="90" t="str">
        <f t="shared" si="22"/>
        <v>Rents/Royalties (362*)</v>
      </c>
    </row>
    <row r="241" spans="1:39" ht="15.75" x14ac:dyDescent="0.2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5"/>
      <c r="S241" s="95"/>
      <c r="T241" s="95"/>
      <c r="U241" s="95"/>
      <c r="V241" s="95"/>
      <c r="W241" s="95"/>
      <c r="X241" s="95"/>
      <c r="Y241" s="90"/>
      <c r="Z241" s="90"/>
      <c r="AA241" s="90"/>
      <c r="AB241" s="90"/>
      <c r="AC241" s="90"/>
      <c r="AD241" s="90"/>
      <c r="AE241" s="90"/>
      <c r="AF241" s="90"/>
      <c r="AG241" s="90">
        <v>240</v>
      </c>
      <c r="AH241" s="90" t="s">
        <v>1097</v>
      </c>
      <c r="AI241" s="91">
        <f t="shared" si="20"/>
        <v>41609</v>
      </c>
      <c r="AJ241" s="90">
        <f t="shared" si="21"/>
        <v>0</v>
      </c>
      <c r="AK241" s="90">
        <f t="array" ref="AK241">INDEX($P$3:$P$24,MATCH(AM241&amp;YEAR(AI241),$A$3:$A$24&amp;YEAR($B$3:$B$24),0))</f>
        <v>35000</v>
      </c>
      <c r="AL241" s="90" t="s">
        <v>1099</v>
      </c>
      <c r="AM241" s="90" t="str">
        <f t="shared" si="22"/>
        <v>Rents/Royalties (362*)</v>
      </c>
    </row>
    <row r="242" spans="1:39" ht="15.75" x14ac:dyDescent="0.2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5"/>
      <c r="S242" s="95"/>
      <c r="T242" s="95"/>
      <c r="U242" s="95"/>
      <c r="V242" s="95"/>
      <c r="W242" s="95"/>
      <c r="X242" s="95"/>
      <c r="Y242" s="90"/>
      <c r="Z242" s="90"/>
      <c r="AA242" s="90"/>
      <c r="AB242" s="90"/>
      <c r="AC242" s="90"/>
      <c r="AD242" s="90"/>
      <c r="AE242" s="90"/>
      <c r="AF242" s="90"/>
      <c r="AG242" s="90">
        <v>241</v>
      </c>
      <c r="AH242" s="90" t="s">
        <v>1097</v>
      </c>
      <c r="AI242" s="91">
        <f t="shared" si="20"/>
        <v>40909</v>
      </c>
      <c r="AJ242" s="90">
        <f t="shared" si="21"/>
        <v>0</v>
      </c>
      <c r="AK242" s="90">
        <f t="array" ref="AK242">INDEX($P$3:$P$24,MATCH(AM242&amp;YEAR(AI242),$A$3:$A$24&amp;YEAR($B$3:$B$24),0))</f>
        <v>21934381</v>
      </c>
      <c r="AL242" s="90" t="s">
        <v>1099</v>
      </c>
      <c r="AM242" s="90" t="str">
        <f t="shared" si="22"/>
        <v>Sale of Land (390-**)</v>
      </c>
    </row>
    <row r="243" spans="1:39" ht="15.75" x14ac:dyDescent="0.2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5"/>
      <c r="S243" s="95"/>
      <c r="T243" s="95"/>
      <c r="U243" s="95"/>
      <c r="V243" s="95"/>
      <c r="W243" s="95"/>
      <c r="X243" s="95"/>
      <c r="Y243" s="90"/>
      <c r="Z243" s="90"/>
      <c r="AA243" s="90"/>
      <c r="AB243" s="90"/>
      <c r="AC243" s="90"/>
      <c r="AD243" s="90"/>
      <c r="AE243" s="90"/>
      <c r="AF243" s="90"/>
      <c r="AG243" s="90">
        <v>242</v>
      </c>
      <c r="AH243" s="90" t="s">
        <v>1097</v>
      </c>
      <c r="AI243" s="91">
        <f t="shared" si="20"/>
        <v>40940</v>
      </c>
      <c r="AJ243" s="90">
        <f t="shared" si="21"/>
        <v>0</v>
      </c>
      <c r="AK243" s="90">
        <f t="array" ref="AK243">INDEX($P$3:$P$24,MATCH(AM243&amp;YEAR(AI243),$A$3:$A$24&amp;YEAR($B$3:$B$24),0))</f>
        <v>21934381</v>
      </c>
      <c r="AL243" s="90" t="s">
        <v>1099</v>
      </c>
      <c r="AM243" s="90" t="str">
        <f t="shared" si="22"/>
        <v>Sale of Land (390-**)</v>
      </c>
    </row>
    <row r="244" spans="1:39" ht="15.75" x14ac:dyDescent="0.2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5"/>
      <c r="S244" s="95"/>
      <c r="T244" s="95"/>
      <c r="U244" s="95"/>
      <c r="V244" s="95"/>
      <c r="W244" s="95"/>
      <c r="X244" s="95"/>
      <c r="Y244" s="90"/>
      <c r="Z244" s="90"/>
      <c r="AA244" s="90"/>
      <c r="AB244" s="90"/>
      <c r="AC244" s="90"/>
      <c r="AD244" s="90"/>
      <c r="AE244" s="90"/>
      <c r="AF244" s="90"/>
      <c r="AG244" s="90">
        <v>243</v>
      </c>
      <c r="AH244" s="90" t="s">
        <v>1097</v>
      </c>
      <c r="AI244" s="91">
        <f t="shared" si="20"/>
        <v>40969</v>
      </c>
      <c r="AJ244" s="90">
        <f t="shared" si="21"/>
        <v>0</v>
      </c>
      <c r="AK244" s="90">
        <f t="array" ref="AK244">INDEX($P$3:$P$24,MATCH(AM244&amp;YEAR(AI244),$A$3:$A$24&amp;YEAR($B$3:$B$24),0))</f>
        <v>21934381</v>
      </c>
      <c r="AL244" s="90" t="s">
        <v>1099</v>
      </c>
      <c r="AM244" s="90" t="str">
        <f t="shared" si="22"/>
        <v>Sale of Land (390-**)</v>
      </c>
    </row>
    <row r="245" spans="1:39" ht="15.75" x14ac:dyDescent="0.2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5"/>
      <c r="S245" s="95"/>
      <c r="T245" s="95"/>
      <c r="U245" s="95"/>
      <c r="V245" s="95"/>
      <c r="W245" s="95"/>
      <c r="X245" s="95"/>
      <c r="Y245" s="90"/>
      <c r="Z245" s="90"/>
      <c r="AA245" s="90"/>
      <c r="AB245" s="90"/>
      <c r="AC245" s="90"/>
      <c r="AD245" s="90"/>
      <c r="AE245" s="90"/>
      <c r="AF245" s="90"/>
      <c r="AG245" s="90">
        <v>244</v>
      </c>
      <c r="AH245" s="90" t="s">
        <v>1097</v>
      </c>
      <c r="AI245" s="91">
        <f t="shared" si="20"/>
        <v>41000</v>
      </c>
      <c r="AJ245" s="90">
        <f t="shared" si="21"/>
        <v>0</v>
      </c>
      <c r="AK245" s="90">
        <f t="array" ref="AK245">INDEX($P$3:$P$24,MATCH(AM245&amp;YEAR(AI245),$A$3:$A$24&amp;YEAR($B$3:$B$24),0))</f>
        <v>21934381</v>
      </c>
      <c r="AL245" s="90" t="s">
        <v>1099</v>
      </c>
      <c r="AM245" s="90" t="str">
        <f t="shared" si="22"/>
        <v>Sale of Land (390-**)</v>
      </c>
    </row>
    <row r="246" spans="1:39" ht="15.75" x14ac:dyDescent="0.2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5"/>
      <c r="S246" s="95"/>
      <c r="T246" s="95"/>
      <c r="U246" s="95"/>
      <c r="V246" s="95"/>
      <c r="W246" s="95"/>
      <c r="X246" s="95"/>
      <c r="Y246" s="90"/>
      <c r="Z246" s="90"/>
      <c r="AA246" s="90"/>
      <c r="AB246" s="90"/>
      <c r="AC246" s="90"/>
      <c r="AD246" s="90"/>
      <c r="AE246" s="90"/>
      <c r="AF246" s="90"/>
      <c r="AG246" s="90">
        <v>245</v>
      </c>
      <c r="AH246" s="90" t="s">
        <v>1097</v>
      </c>
      <c r="AI246" s="91">
        <f t="shared" si="20"/>
        <v>41030</v>
      </c>
      <c r="AJ246" s="90">
        <f t="shared" si="21"/>
        <v>0</v>
      </c>
      <c r="AK246" s="90">
        <f t="array" ref="AK246">INDEX($P$3:$P$24,MATCH(AM246&amp;YEAR(AI246),$A$3:$A$24&amp;YEAR($B$3:$B$24),0))</f>
        <v>21934381</v>
      </c>
      <c r="AL246" s="90" t="s">
        <v>1099</v>
      </c>
      <c r="AM246" s="90" t="str">
        <f t="shared" si="22"/>
        <v>Sale of Land (390-**)</v>
      </c>
    </row>
    <row r="247" spans="1:39" ht="15.75" x14ac:dyDescent="0.2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5"/>
      <c r="S247" s="95"/>
      <c r="T247" s="95"/>
      <c r="U247" s="95"/>
      <c r="V247" s="95"/>
      <c r="W247" s="95"/>
      <c r="X247" s="95"/>
      <c r="Y247" s="90"/>
      <c r="Z247" s="90"/>
      <c r="AA247" s="90"/>
      <c r="AB247" s="90"/>
      <c r="AC247" s="90"/>
      <c r="AD247" s="90"/>
      <c r="AE247" s="90"/>
      <c r="AF247" s="90"/>
      <c r="AG247" s="90">
        <v>246</v>
      </c>
      <c r="AH247" s="90" t="s">
        <v>1097</v>
      </c>
      <c r="AI247" s="91">
        <f t="shared" si="20"/>
        <v>41061</v>
      </c>
      <c r="AJ247" s="90">
        <f t="shared" si="21"/>
        <v>0</v>
      </c>
      <c r="AK247" s="90">
        <f t="array" ref="AK247">INDEX($P$3:$P$24,MATCH(AM247&amp;YEAR(AI247),$A$3:$A$24&amp;YEAR($B$3:$B$24),0))</f>
        <v>21934381</v>
      </c>
      <c r="AL247" s="90" t="s">
        <v>1099</v>
      </c>
      <c r="AM247" s="90" t="str">
        <f t="shared" si="22"/>
        <v>Sale of Land (390-**)</v>
      </c>
    </row>
    <row r="248" spans="1:39" ht="15.75" x14ac:dyDescent="0.2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5"/>
      <c r="S248" s="95"/>
      <c r="T248" s="95"/>
      <c r="U248" s="95"/>
      <c r="V248" s="95"/>
      <c r="W248" s="95"/>
      <c r="X248" s="95"/>
      <c r="Y248" s="90"/>
      <c r="Z248" s="90"/>
      <c r="AA248" s="90"/>
      <c r="AB248" s="90"/>
      <c r="AC248" s="90"/>
      <c r="AD248" s="90"/>
      <c r="AE248" s="90"/>
      <c r="AF248" s="90"/>
      <c r="AG248" s="90">
        <v>247</v>
      </c>
      <c r="AH248" s="90" t="s">
        <v>1097</v>
      </c>
      <c r="AI248" s="91">
        <f t="shared" si="20"/>
        <v>41091</v>
      </c>
      <c r="AJ248" s="90">
        <f t="shared" si="21"/>
        <v>0</v>
      </c>
      <c r="AK248" s="90">
        <f t="array" ref="AK248">INDEX($P$3:$P$24,MATCH(AM248&amp;YEAR(AI248),$A$3:$A$24&amp;YEAR($B$3:$B$24),0))</f>
        <v>21934381</v>
      </c>
      <c r="AL248" s="90" t="s">
        <v>1099</v>
      </c>
      <c r="AM248" s="90" t="str">
        <f t="shared" si="22"/>
        <v>Sale of Land (390-**)</v>
      </c>
    </row>
    <row r="249" spans="1:39" ht="15.75" x14ac:dyDescent="0.2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5"/>
      <c r="S249" s="95"/>
      <c r="T249" s="95"/>
      <c r="U249" s="95"/>
      <c r="V249" s="95"/>
      <c r="W249" s="95"/>
      <c r="X249" s="95"/>
      <c r="Y249" s="90"/>
      <c r="Z249" s="90"/>
      <c r="AA249" s="90"/>
      <c r="AB249" s="90"/>
      <c r="AC249" s="90"/>
      <c r="AD249" s="90"/>
      <c r="AE249" s="90"/>
      <c r="AF249" s="90"/>
      <c r="AG249" s="90">
        <v>248</v>
      </c>
      <c r="AH249" s="90" t="s">
        <v>1097</v>
      </c>
      <c r="AI249" s="91">
        <f t="shared" si="20"/>
        <v>41122</v>
      </c>
      <c r="AJ249" s="90">
        <f t="shared" si="21"/>
        <v>0</v>
      </c>
      <c r="AK249" s="90">
        <f t="array" ref="AK249">INDEX($P$3:$P$24,MATCH(AM249&amp;YEAR(AI249),$A$3:$A$24&amp;YEAR($B$3:$B$24),0))</f>
        <v>21934381</v>
      </c>
      <c r="AL249" s="90" t="s">
        <v>1099</v>
      </c>
      <c r="AM249" s="90" t="str">
        <f t="shared" si="22"/>
        <v>Sale of Land (390-**)</v>
      </c>
    </row>
    <row r="250" spans="1:39" ht="15.75" x14ac:dyDescent="0.2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5"/>
      <c r="S250" s="95"/>
      <c r="T250" s="95"/>
      <c r="U250" s="95"/>
      <c r="V250" s="95"/>
      <c r="W250" s="95"/>
      <c r="X250" s="95"/>
      <c r="Y250" s="90"/>
      <c r="Z250" s="90"/>
      <c r="AA250" s="90"/>
      <c r="AB250" s="90"/>
      <c r="AC250" s="90"/>
      <c r="AD250" s="90"/>
      <c r="AE250" s="90"/>
      <c r="AF250" s="90"/>
      <c r="AG250" s="90">
        <v>249</v>
      </c>
      <c r="AH250" s="90" t="s">
        <v>1097</v>
      </c>
      <c r="AI250" s="91">
        <f t="shared" si="20"/>
        <v>41153</v>
      </c>
      <c r="AJ250" s="90">
        <f t="shared" si="21"/>
        <v>0</v>
      </c>
      <c r="AK250" s="90">
        <f t="array" ref="AK250">INDEX($P$3:$P$24,MATCH(AM250&amp;YEAR(AI250),$A$3:$A$24&amp;YEAR($B$3:$B$24),0))</f>
        <v>21934381</v>
      </c>
      <c r="AL250" s="90" t="s">
        <v>1099</v>
      </c>
      <c r="AM250" s="90" t="str">
        <f t="shared" si="22"/>
        <v>Sale of Land (390-**)</v>
      </c>
    </row>
    <row r="251" spans="1:39" ht="15.75" x14ac:dyDescent="0.2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5"/>
      <c r="S251" s="95"/>
      <c r="T251" s="95"/>
      <c r="U251" s="95"/>
      <c r="V251" s="95"/>
      <c r="W251" s="95"/>
      <c r="X251" s="95"/>
      <c r="Y251" s="90"/>
      <c r="Z251" s="90"/>
      <c r="AA251" s="90"/>
      <c r="AB251" s="90"/>
      <c r="AC251" s="90"/>
      <c r="AD251" s="90"/>
      <c r="AE251" s="90"/>
      <c r="AF251" s="90"/>
      <c r="AG251" s="90">
        <v>250</v>
      </c>
      <c r="AH251" s="90" t="s">
        <v>1097</v>
      </c>
      <c r="AI251" s="91">
        <f t="shared" si="20"/>
        <v>41183</v>
      </c>
      <c r="AJ251" s="90">
        <f t="shared" si="21"/>
        <v>29947173.149999999</v>
      </c>
      <c r="AK251" s="90">
        <f t="array" ref="AK251">INDEX($P$3:$P$24,MATCH(AM251&amp;YEAR(AI251),$A$3:$A$24&amp;YEAR($B$3:$B$24),0))</f>
        <v>21934381</v>
      </c>
      <c r="AL251" s="90" t="s">
        <v>1099</v>
      </c>
      <c r="AM251" s="90" t="str">
        <f t="shared" si="22"/>
        <v>Sale of Land (390-**)</v>
      </c>
    </row>
    <row r="252" spans="1:39" ht="15.75" x14ac:dyDescent="0.2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5"/>
      <c r="S252" s="95"/>
      <c r="T252" s="95"/>
      <c r="U252" s="95"/>
      <c r="V252" s="95"/>
      <c r="W252" s="95"/>
      <c r="X252" s="95"/>
      <c r="Y252" s="90"/>
      <c r="Z252" s="90"/>
      <c r="AA252" s="90"/>
      <c r="AB252" s="90"/>
      <c r="AC252" s="90"/>
      <c r="AD252" s="90"/>
      <c r="AE252" s="90"/>
      <c r="AF252" s="90"/>
      <c r="AG252" s="90">
        <v>251</v>
      </c>
      <c r="AH252" s="90" t="s">
        <v>1097</v>
      </c>
      <c r="AI252" s="91">
        <f t="shared" si="20"/>
        <v>41214</v>
      </c>
      <c r="AJ252" s="90">
        <f t="shared" si="21"/>
        <v>0</v>
      </c>
      <c r="AK252" s="90">
        <f t="array" ref="AK252">INDEX($P$3:$P$24,MATCH(AM252&amp;YEAR(AI252),$A$3:$A$24&amp;YEAR($B$3:$B$24),0))</f>
        <v>21934381</v>
      </c>
      <c r="AL252" s="90" t="s">
        <v>1099</v>
      </c>
      <c r="AM252" s="90" t="str">
        <f t="shared" si="22"/>
        <v>Sale of Land (390-**)</v>
      </c>
    </row>
    <row r="253" spans="1:39" ht="15.75" x14ac:dyDescent="0.2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5"/>
      <c r="S253" s="95"/>
      <c r="T253" s="95"/>
      <c r="U253" s="95"/>
      <c r="V253" s="95"/>
      <c r="W253" s="95"/>
      <c r="X253" s="95"/>
      <c r="Y253" s="90"/>
      <c r="Z253" s="90"/>
      <c r="AA253" s="90"/>
      <c r="AB253" s="90"/>
      <c r="AC253" s="90"/>
      <c r="AD253" s="90"/>
      <c r="AE253" s="90"/>
      <c r="AF253" s="90"/>
      <c r="AG253" s="90">
        <v>252</v>
      </c>
      <c r="AH253" s="90" t="s">
        <v>1097</v>
      </c>
      <c r="AI253" s="91">
        <f t="shared" si="20"/>
        <v>41244</v>
      </c>
      <c r="AJ253" s="90">
        <f t="shared" si="21"/>
        <v>0</v>
      </c>
      <c r="AK253" s="90">
        <f t="array" ref="AK253">INDEX($P$3:$P$24,MATCH(AM253&amp;YEAR(AI253),$A$3:$A$24&amp;YEAR($B$3:$B$24),0))</f>
        <v>21934381</v>
      </c>
      <c r="AL253" s="90" t="s">
        <v>1099</v>
      </c>
      <c r="AM253" s="90" t="str">
        <f t="shared" si="22"/>
        <v>Sale of Land (390-**)</v>
      </c>
    </row>
    <row r="254" spans="1:39" ht="15.75" x14ac:dyDescent="0.25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5"/>
      <c r="S254" s="95"/>
      <c r="T254" s="95"/>
      <c r="U254" s="95"/>
      <c r="V254" s="95"/>
      <c r="W254" s="95"/>
      <c r="X254" s="95"/>
      <c r="Y254" s="90"/>
      <c r="Z254" s="90"/>
      <c r="AA254" s="90"/>
      <c r="AB254" s="90"/>
      <c r="AC254" s="90"/>
      <c r="AD254" s="90"/>
      <c r="AE254" s="90"/>
      <c r="AF254" s="90"/>
      <c r="AG254" s="90">
        <v>253</v>
      </c>
      <c r="AH254" s="90" t="s">
        <v>1097</v>
      </c>
      <c r="AI254" s="91">
        <f t="shared" si="20"/>
        <v>41275</v>
      </c>
      <c r="AJ254" s="90">
        <f t="shared" si="21"/>
        <v>0</v>
      </c>
      <c r="AK254" s="90">
        <f t="array" ref="AK254">INDEX($P$3:$P$24,MATCH(AM254&amp;YEAR(AI254),$A$3:$A$24&amp;YEAR($B$3:$B$24),0))</f>
        <v>0</v>
      </c>
      <c r="AL254" s="90" t="s">
        <v>1099</v>
      </c>
      <c r="AM254" s="90" t="str">
        <f t="shared" si="22"/>
        <v>Sale of Land (390-**)</v>
      </c>
    </row>
    <row r="255" spans="1:39" ht="15.75" x14ac:dyDescent="0.2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5"/>
      <c r="S255" s="95"/>
      <c r="T255" s="95"/>
      <c r="U255" s="95"/>
      <c r="V255" s="95"/>
      <c r="W255" s="95"/>
      <c r="X255" s="95"/>
      <c r="Y255" s="90"/>
      <c r="Z255" s="90"/>
      <c r="AA255" s="90"/>
      <c r="AB255" s="90"/>
      <c r="AC255" s="90"/>
      <c r="AD255" s="90"/>
      <c r="AE255" s="90"/>
      <c r="AF255" s="90"/>
      <c r="AG255" s="90">
        <v>254</v>
      </c>
      <c r="AH255" s="90" t="s">
        <v>1097</v>
      </c>
      <c r="AI255" s="91">
        <f t="shared" si="20"/>
        <v>41306</v>
      </c>
      <c r="AJ255" s="90">
        <f t="shared" si="21"/>
        <v>0</v>
      </c>
      <c r="AK255" s="90">
        <f t="array" ref="AK255">INDEX($P$3:$P$24,MATCH(AM255&amp;YEAR(AI255),$A$3:$A$24&amp;YEAR($B$3:$B$24),0))</f>
        <v>0</v>
      </c>
      <c r="AL255" s="90" t="s">
        <v>1099</v>
      </c>
      <c r="AM255" s="90" t="str">
        <f t="shared" si="22"/>
        <v>Sale of Land (390-**)</v>
      </c>
    </row>
    <row r="256" spans="1:39" ht="15.75" x14ac:dyDescent="0.25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5"/>
      <c r="S256" s="95"/>
      <c r="T256" s="95"/>
      <c r="U256" s="95"/>
      <c r="V256" s="95"/>
      <c r="W256" s="95"/>
      <c r="X256" s="95"/>
      <c r="Y256" s="90"/>
      <c r="Z256" s="90"/>
      <c r="AA256" s="90"/>
      <c r="AB256" s="90"/>
      <c r="AC256" s="90"/>
      <c r="AD256" s="90"/>
      <c r="AE256" s="90"/>
      <c r="AF256" s="90"/>
      <c r="AG256" s="90">
        <v>255</v>
      </c>
      <c r="AH256" s="90" t="s">
        <v>1097</v>
      </c>
      <c r="AI256" s="91">
        <f t="shared" si="20"/>
        <v>41334</v>
      </c>
      <c r="AJ256" s="90">
        <f t="shared" si="21"/>
        <v>0</v>
      </c>
      <c r="AK256" s="90">
        <f t="array" ref="AK256">INDEX($P$3:$P$24,MATCH(AM256&amp;YEAR(AI256),$A$3:$A$24&amp;YEAR($B$3:$B$24),0))</f>
        <v>0</v>
      </c>
      <c r="AL256" s="90" t="s">
        <v>1099</v>
      </c>
      <c r="AM256" s="90" t="str">
        <f t="shared" si="22"/>
        <v>Sale of Land (390-**)</v>
      </c>
    </row>
    <row r="257" spans="1:39" ht="15.75" x14ac:dyDescent="0.25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5"/>
      <c r="S257" s="95"/>
      <c r="T257" s="95"/>
      <c r="U257" s="95"/>
      <c r="V257" s="95"/>
      <c r="W257" s="95"/>
      <c r="X257" s="95"/>
      <c r="Y257" s="90"/>
      <c r="Z257" s="90"/>
      <c r="AA257" s="90"/>
      <c r="AB257" s="90"/>
      <c r="AC257" s="90"/>
      <c r="AD257" s="90"/>
      <c r="AE257" s="90"/>
      <c r="AF257" s="90"/>
      <c r="AG257" s="90">
        <v>256</v>
      </c>
      <c r="AH257" s="90" t="s">
        <v>1097</v>
      </c>
      <c r="AI257" s="91">
        <f t="shared" si="20"/>
        <v>41365</v>
      </c>
      <c r="AJ257" s="90">
        <f t="shared" si="21"/>
        <v>0</v>
      </c>
      <c r="AK257" s="90">
        <f t="array" ref="AK257">INDEX($P$3:$P$24,MATCH(AM257&amp;YEAR(AI257),$A$3:$A$24&amp;YEAR($B$3:$B$24),0))</f>
        <v>0</v>
      </c>
      <c r="AL257" s="90" t="s">
        <v>1099</v>
      </c>
      <c r="AM257" s="90" t="str">
        <f t="shared" si="22"/>
        <v>Sale of Land (390-**)</v>
      </c>
    </row>
    <row r="258" spans="1:39" ht="15.75" x14ac:dyDescent="0.25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5"/>
      <c r="S258" s="95"/>
      <c r="T258" s="95"/>
      <c r="U258" s="95"/>
      <c r="V258" s="95"/>
      <c r="W258" s="95"/>
      <c r="X258" s="95"/>
      <c r="Y258" s="90"/>
      <c r="Z258" s="90"/>
      <c r="AA258" s="90"/>
      <c r="AB258" s="90"/>
      <c r="AC258" s="90"/>
      <c r="AD258" s="90"/>
      <c r="AE258" s="90"/>
      <c r="AF258" s="90"/>
      <c r="AG258" s="90">
        <v>257</v>
      </c>
      <c r="AH258" s="90" t="s">
        <v>1097</v>
      </c>
      <c r="AI258" s="91">
        <f t="shared" ref="AI258:AI265" si="23">DATE(YEAR(INDEX($B$2:$N$24,INT((AG258+11)/12)+1,1)),IF(MOD(AG258,12)&lt;&gt;0,MOD(AG258,12),12),1)</f>
        <v>41395</v>
      </c>
      <c r="AJ258" s="90">
        <f t="shared" ref="AJ258:AJ265" si="24">INDEX($C$3:$N$24,INT((AG258+11)/12),AG258-(12*(INT((AG258+11)/12)-1)))</f>
        <v>0</v>
      </c>
      <c r="AK258" s="90">
        <f t="array" ref="AK258">INDEX($P$3:$P$24,MATCH(AM258&amp;YEAR(AI258),$A$3:$A$24&amp;YEAR($B$3:$B$24),0))</f>
        <v>0</v>
      </c>
      <c r="AL258" s="90" t="s">
        <v>1099</v>
      </c>
      <c r="AM258" s="90" t="str">
        <f t="shared" ref="AM258:AM265" si="25">INDEX($A$3:$A$24,INT((AG258+11)/12))</f>
        <v>Sale of Land (390-**)</v>
      </c>
    </row>
    <row r="259" spans="1:39" ht="15.75" x14ac:dyDescent="0.25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5"/>
      <c r="S259" s="95"/>
      <c r="T259" s="95"/>
      <c r="U259" s="95"/>
      <c r="V259" s="95"/>
      <c r="W259" s="95"/>
      <c r="X259" s="95"/>
      <c r="Y259" s="90"/>
      <c r="Z259" s="90"/>
      <c r="AA259" s="90"/>
      <c r="AB259" s="90"/>
      <c r="AC259" s="90"/>
      <c r="AD259" s="90"/>
      <c r="AE259" s="90"/>
      <c r="AF259" s="90"/>
      <c r="AG259" s="90">
        <v>258</v>
      </c>
      <c r="AH259" s="90" t="s">
        <v>1097</v>
      </c>
      <c r="AI259" s="91">
        <f t="shared" si="23"/>
        <v>41426</v>
      </c>
      <c r="AJ259" s="90">
        <f t="shared" si="24"/>
        <v>0</v>
      </c>
      <c r="AK259" s="90">
        <f t="array" ref="AK259">INDEX($P$3:$P$24,MATCH(AM259&amp;YEAR(AI259),$A$3:$A$24&amp;YEAR($B$3:$B$24),0))</f>
        <v>0</v>
      </c>
      <c r="AL259" s="90" t="s">
        <v>1099</v>
      </c>
      <c r="AM259" s="90" t="str">
        <f t="shared" si="25"/>
        <v>Sale of Land (390-**)</v>
      </c>
    </row>
    <row r="260" spans="1:39" ht="15.75" x14ac:dyDescent="0.25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5"/>
      <c r="S260" s="95"/>
      <c r="T260" s="95"/>
      <c r="U260" s="95"/>
      <c r="V260" s="95"/>
      <c r="W260" s="95"/>
      <c r="X260" s="95"/>
      <c r="Y260" s="90"/>
      <c r="Z260" s="90"/>
      <c r="AA260" s="90"/>
      <c r="AB260" s="90"/>
      <c r="AC260" s="90"/>
      <c r="AD260" s="90"/>
      <c r="AE260" s="90"/>
      <c r="AF260" s="90"/>
      <c r="AG260" s="90">
        <v>259</v>
      </c>
      <c r="AH260" s="90" t="s">
        <v>1097</v>
      </c>
      <c r="AI260" s="91">
        <f t="shared" si="23"/>
        <v>41456</v>
      </c>
      <c r="AJ260" s="90">
        <f t="shared" si="24"/>
        <v>0</v>
      </c>
      <c r="AK260" s="90">
        <f t="array" ref="AK260">INDEX($P$3:$P$24,MATCH(AM260&amp;YEAR(AI260),$A$3:$A$24&amp;YEAR($B$3:$B$24),0))</f>
        <v>0</v>
      </c>
      <c r="AL260" s="90" t="s">
        <v>1099</v>
      </c>
      <c r="AM260" s="90" t="str">
        <f t="shared" si="25"/>
        <v>Sale of Land (390-**)</v>
      </c>
    </row>
    <row r="261" spans="1:39" ht="15.75" x14ac:dyDescent="0.25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5"/>
      <c r="S261" s="95"/>
      <c r="T261" s="95"/>
      <c r="U261" s="95"/>
      <c r="V261" s="95"/>
      <c r="W261" s="95"/>
      <c r="X261" s="95"/>
      <c r="Y261" s="90"/>
      <c r="Z261" s="90"/>
      <c r="AA261" s="90"/>
      <c r="AB261" s="90"/>
      <c r="AC261" s="90"/>
      <c r="AD261" s="90"/>
      <c r="AE261" s="90"/>
      <c r="AF261" s="90"/>
      <c r="AG261" s="90">
        <v>260</v>
      </c>
      <c r="AH261" s="90" t="s">
        <v>1097</v>
      </c>
      <c r="AI261" s="91">
        <f t="shared" si="23"/>
        <v>41487</v>
      </c>
      <c r="AJ261" s="90">
        <f t="shared" si="24"/>
        <v>0</v>
      </c>
      <c r="AK261" s="90">
        <f t="array" ref="AK261">INDEX($P$3:$P$24,MATCH(AM261&amp;YEAR(AI261),$A$3:$A$24&amp;YEAR($B$3:$B$24),0))</f>
        <v>0</v>
      </c>
      <c r="AL261" s="90" t="s">
        <v>1099</v>
      </c>
      <c r="AM261" s="90" t="str">
        <f t="shared" si="25"/>
        <v>Sale of Land (390-**)</v>
      </c>
    </row>
    <row r="262" spans="1:39" ht="15.75" x14ac:dyDescent="0.25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5"/>
      <c r="S262" s="95"/>
      <c r="T262" s="95"/>
      <c r="U262" s="95"/>
      <c r="V262" s="95"/>
      <c r="W262" s="95"/>
      <c r="X262" s="95"/>
      <c r="Y262" s="90"/>
      <c r="Z262" s="90"/>
      <c r="AA262" s="90"/>
      <c r="AB262" s="90"/>
      <c r="AC262" s="90"/>
      <c r="AD262" s="90"/>
      <c r="AE262" s="90"/>
      <c r="AF262" s="90"/>
      <c r="AG262" s="90">
        <v>261</v>
      </c>
      <c r="AH262" s="90" t="s">
        <v>1097</v>
      </c>
      <c r="AI262" s="91">
        <f t="shared" si="23"/>
        <v>41518</v>
      </c>
      <c r="AJ262" s="90">
        <f t="shared" si="24"/>
        <v>0</v>
      </c>
      <c r="AK262" s="90">
        <f t="array" ref="AK262">INDEX($P$3:$P$24,MATCH(AM262&amp;YEAR(AI262),$A$3:$A$24&amp;YEAR($B$3:$B$24),0))</f>
        <v>0</v>
      </c>
      <c r="AL262" s="90" t="s">
        <v>1099</v>
      </c>
      <c r="AM262" s="90" t="str">
        <f t="shared" si="25"/>
        <v>Sale of Land (390-**)</v>
      </c>
    </row>
    <row r="263" spans="1:39" ht="15.75" x14ac:dyDescent="0.25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5"/>
      <c r="S263" s="95"/>
      <c r="T263" s="95"/>
      <c r="U263" s="95"/>
      <c r="V263" s="95"/>
      <c r="W263" s="95"/>
      <c r="X263" s="95"/>
      <c r="Y263" s="90"/>
      <c r="Z263" s="90"/>
      <c r="AA263" s="90"/>
      <c r="AB263" s="90"/>
      <c r="AC263" s="90"/>
      <c r="AD263" s="90"/>
      <c r="AE263" s="90"/>
      <c r="AF263" s="90"/>
      <c r="AG263" s="90">
        <v>262</v>
      </c>
      <c r="AH263" s="90" t="s">
        <v>1097</v>
      </c>
      <c r="AI263" s="91">
        <f t="shared" si="23"/>
        <v>41548</v>
      </c>
      <c r="AJ263" s="90">
        <f t="shared" si="24"/>
        <v>0</v>
      </c>
      <c r="AK263" s="90">
        <f t="array" ref="AK263">INDEX($P$3:$P$24,MATCH(AM263&amp;YEAR(AI263),$A$3:$A$24&amp;YEAR($B$3:$B$24),0))</f>
        <v>0</v>
      </c>
      <c r="AL263" s="90" t="s">
        <v>1099</v>
      </c>
      <c r="AM263" s="90" t="str">
        <f t="shared" si="25"/>
        <v>Sale of Land (390-**)</v>
      </c>
    </row>
    <row r="264" spans="1:39" ht="15.75" x14ac:dyDescent="0.25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5"/>
      <c r="S264" s="95"/>
      <c r="T264" s="95"/>
      <c r="U264" s="95"/>
      <c r="V264" s="95"/>
      <c r="W264" s="95"/>
      <c r="X264" s="95"/>
      <c r="Y264" s="90"/>
      <c r="Z264" s="90"/>
      <c r="AA264" s="90"/>
      <c r="AB264" s="90"/>
      <c r="AC264" s="90"/>
      <c r="AD264" s="90"/>
      <c r="AE264" s="90"/>
      <c r="AF264" s="90"/>
      <c r="AG264" s="90">
        <v>263</v>
      </c>
      <c r="AH264" s="90" t="s">
        <v>1097</v>
      </c>
      <c r="AI264" s="91">
        <f t="shared" si="23"/>
        <v>41579</v>
      </c>
      <c r="AJ264" s="90">
        <f t="shared" si="24"/>
        <v>0</v>
      </c>
      <c r="AK264" s="90">
        <f t="array" ref="AK264">INDEX($P$3:$P$24,MATCH(AM264&amp;YEAR(AI264),$A$3:$A$24&amp;YEAR($B$3:$B$24),0))</f>
        <v>0</v>
      </c>
      <c r="AL264" s="90" t="s">
        <v>1099</v>
      </c>
      <c r="AM264" s="90" t="str">
        <f t="shared" si="25"/>
        <v>Sale of Land (390-**)</v>
      </c>
    </row>
    <row r="265" spans="1:39" ht="15.75" x14ac:dyDescent="0.2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5"/>
      <c r="S265" s="95"/>
      <c r="T265" s="95"/>
      <c r="U265" s="95"/>
      <c r="V265" s="95"/>
      <c r="W265" s="95"/>
      <c r="X265" s="95"/>
      <c r="Y265" s="90"/>
      <c r="Z265" s="90"/>
      <c r="AA265" s="90"/>
      <c r="AB265" s="90"/>
      <c r="AC265" s="90"/>
      <c r="AD265" s="90"/>
      <c r="AE265" s="90"/>
      <c r="AF265" s="90"/>
      <c r="AG265" s="90">
        <v>264</v>
      </c>
      <c r="AH265" s="90" t="s">
        <v>1097</v>
      </c>
      <c r="AI265" s="91">
        <f t="shared" si="23"/>
        <v>41609</v>
      </c>
      <c r="AJ265" s="90">
        <f t="shared" si="24"/>
        <v>0</v>
      </c>
      <c r="AK265" s="90">
        <f t="array" ref="AK265">INDEX($P$3:$P$24,MATCH(AM265&amp;YEAR(AI265),$A$3:$A$24&amp;YEAR($B$3:$B$24),0))</f>
        <v>0</v>
      </c>
      <c r="AL265" s="90" t="s">
        <v>1099</v>
      </c>
      <c r="AM265" s="90" t="str">
        <f t="shared" si="25"/>
        <v>Sale of Land (390-**)</v>
      </c>
    </row>
    <row r="266" spans="1:39" ht="15.75" x14ac:dyDescent="0.25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5"/>
      <c r="S266" s="95"/>
      <c r="T266" s="95"/>
      <c r="U266" s="95"/>
      <c r="V266" s="95"/>
      <c r="W266" s="95"/>
      <c r="X266" s="95"/>
      <c r="Y266" s="90"/>
      <c r="Z266" s="90"/>
      <c r="AA266" s="90"/>
      <c r="AB266" s="90"/>
      <c r="AC266" s="90"/>
      <c r="AD266" s="90"/>
      <c r="AE266" s="90"/>
      <c r="AF266" s="90">
        <f>5*12</f>
        <v>60</v>
      </c>
      <c r="AG266" s="90">
        <v>1</v>
      </c>
      <c r="AH266" s="90" t="s">
        <v>1097</v>
      </c>
      <c r="AI266" s="91">
        <f t="shared" ref="AI266:AI297" si="26">DATE(YEAR(INDEX($B$30:$N$35,INT((AG266+11)/12)+1,1)),IF(MOD(AG266,12)&lt;&gt;0,MOD(AG266,12),12),1)</f>
        <v>41275</v>
      </c>
      <c r="AJ266" s="90">
        <f t="shared" ref="AJ266:AJ297" si="27">INDEX($C$31:$N$35,INT((AG266+11)/12),AG266-(12*(INT((AG266+11)/12)-1)))</f>
        <v>0</v>
      </c>
      <c r="AK266" s="90">
        <f t="array" ref="AK266">INDEX($P$31:$P$35,MATCH(AM266&amp;YEAR(AI266),$A$31:$A$35&amp;YEAR($B$31:$B$35),0))</f>
        <v>237429</v>
      </c>
      <c r="AL266" s="90" t="s">
        <v>1098</v>
      </c>
      <c r="AM266" s="90" t="str">
        <f t="shared" ref="AM266:AM297" si="28">INDEX($A$31:$A$35,INT((AG266+11)/12))</f>
        <v>Intergovernment Revenue (330-**)</v>
      </c>
    </row>
    <row r="267" spans="1:39" ht="15.75" x14ac:dyDescent="0.25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5"/>
      <c r="S267" s="95"/>
      <c r="T267" s="95"/>
      <c r="U267" s="95"/>
      <c r="V267" s="95"/>
      <c r="W267" s="95"/>
      <c r="X267" s="95"/>
      <c r="Y267" s="90"/>
      <c r="Z267" s="90"/>
      <c r="AA267" s="90"/>
      <c r="AB267" s="90"/>
      <c r="AC267" s="90"/>
      <c r="AD267" s="90"/>
      <c r="AE267" s="90"/>
      <c r="AF267" s="90"/>
      <c r="AG267" s="90">
        <v>2</v>
      </c>
      <c r="AH267" s="90" t="s">
        <v>1097</v>
      </c>
      <c r="AI267" s="91">
        <f t="shared" si="26"/>
        <v>41306</v>
      </c>
      <c r="AJ267" s="90">
        <f t="shared" si="27"/>
        <v>0</v>
      </c>
      <c r="AK267" s="90">
        <f t="array" ref="AK267">INDEX($P$31:$P$35,MATCH(AM267&amp;YEAR(AI267),$A$31:$A$35&amp;YEAR($B$31:$B$35),0))</f>
        <v>237429</v>
      </c>
      <c r="AL267" s="90" t="s">
        <v>1098</v>
      </c>
      <c r="AM267" s="90" t="str">
        <f t="shared" si="28"/>
        <v>Intergovernment Revenue (330-**)</v>
      </c>
    </row>
    <row r="268" spans="1:39" ht="15.75" x14ac:dyDescent="0.25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5"/>
      <c r="S268" s="95"/>
      <c r="T268" s="95"/>
      <c r="U268" s="95"/>
      <c r="V268" s="95"/>
      <c r="W268" s="95"/>
      <c r="X268" s="95"/>
      <c r="Y268" s="90"/>
      <c r="Z268" s="90"/>
      <c r="AA268" s="90"/>
      <c r="AB268" s="90"/>
      <c r="AC268" s="90"/>
      <c r="AD268" s="90"/>
      <c r="AE268" s="90"/>
      <c r="AF268" s="90"/>
      <c r="AG268" s="90">
        <v>3</v>
      </c>
      <c r="AH268" s="90" t="s">
        <v>1097</v>
      </c>
      <c r="AI268" s="91">
        <f t="shared" si="26"/>
        <v>41334</v>
      </c>
      <c r="AJ268" s="90">
        <f t="shared" si="27"/>
        <v>0</v>
      </c>
      <c r="AK268" s="90">
        <f t="array" ref="AK268">INDEX($P$31:$P$35,MATCH(AM268&amp;YEAR(AI268),$A$31:$A$35&amp;YEAR($B$31:$B$35),0))</f>
        <v>237429</v>
      </c>
      <c r="AL268" s="90" t="s">
        <v>1098</v>
      </c>
      <c r="AM268" s="90" t="str">
        <f t="shared" si="28"/>
        <v>Intergovernment Revenue (330-**)</v>
      </c>
    </row>
    <row r="269" spans="1:39" ht="15.75" x14ac:dyDescent="0.25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5"/>
      <c r="S269" s="95"/>
      <c r="T269" s="95"/>
      <c r="U269" s="95"/>
      <c r="V269" s="95"/>
      <c r="W269" s="95"/>
      <c r="X269" s="95"/>
      <c r="Y269" s="90"/>
      <c r="Z269" s="90"/>
      <c r="AA269" s="90"/>
      <c r="AB269" s="90"/>
      <c r="AC269" s="90"/>
      <c r="AD269" s="90"/>
      <c r="AE269" s="90"/>
      <c r="AF269" s="90"/>
      <c r="AG269" s="90">
        <v>4</v>
      </c>
      <c r="AH269" s="90" t="s">
        <v>1097</v>
      </c>
      <c r="AI269" s="91">
        <f t="shared" si="26"/>
        <v>41365</v>
      </c>
      <c r="AJ269" s="90">
        <f t="shared" si="27"/>
        <v>0</v>
      </c>
      <c r="AK269" s="90">
        <f t="array" ref="AK269">INDEX($P$31:$P$35,MATCH(AM269&amp;YEAR(AI269),$A$31:$A$35&amp;YEAR($B$31:$B$35),0))</f>
        <v>237429</v>
      </c>
      <c r="AL269" s="90" t="s">
        <v>1098</v>
      </c>
      <c r="AM269" s="90" t="str">
        <f t="shared" si="28"/>
        <v>Intergovernment Revenue (330-**)</v>
      </c>
    </row>
    <row r="270" spans="1:39" ht="15.75" x14ac:dyDescent="0.25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5"/>
      <c r="S270" s="95"/>
      <c r="T270" s="95"/>
      <c r="U270" s="95"/>
      <c r="V270" s="95"/>
      <c r="W270" s="95"/>
      <c r="X270" s="95"/>
      <c r="Y270" s="90"/>
      <c r="Z270" s="90"/>
      <c r="AA270" s="90"/>
      <c r="AB270" s="90"/>
      <c r="AC270" s="90"/>
      <c r="AD270" s="90"/>
      <c r="AE270" s="90"/>
      <c r="AF270" s="90"/>
      <c r="AG270" s="90">
        <v>5</v>
      </c>
      <c r="AH270" s="90" t="s">
        <v>1097</v>
      </c>
      <c r="AI270" s="91">
        <f t="shared" si="26"/>
        <v>41395</v>
      </c>
      <c r="AJ270" s="90">
        <f t="shared" si="27"/>
        <v>114241.33</v>
      </c>
      <c r="AK270" s="90">
        <f t="array" ref="AK270">INDEX($P$31:$P$35,MATCH(AM270&amp;YEAR(AI270),$A$31:$A$35&amp;YEAR($B$31:$B$35),0))</f>
        <v>237429</v>
      </c>
      <c r="AL270" s="90" t="s">
        <v>1098</v>
      </c>
      <c r="AM270" s="90" t="str">
        <f t="shared" si="28"/>
        <v>Intergovernment Revenue (330-**)</v>
      </c>
    </row>
    <row r="271" spans="1:39" ht="15.75" x14ac:dyDescent="0.25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5"/>
      <c r="S271" s="95"/>
      <c r="T271" s="95"/>
      <c r="U271" s="95"/>
      <c r="V271" s="95"/>
      <c r="W271" s="95"/>
      <c r="X271" s="95"/>
      <c r="Y271" s="90"/>
      <c r="Z271" s="90"/>
      <c r="AA271" s="90"/>
      <c r="AB271" s="90"/>
      <c r="AC271" s="90"/>
      <c r="AD271" s="90"/>
      <c r="AE271" s="90"/>
      <c r="AF271" s="90"/>
      <c r="AG271" s="90">
        <v>6</v>
      </c>
      <c r="AH271" s="90" t="s">
        <v>1097</v>
      </c>
      <c r="AI271" s="91">
        <f t="shared" si="26"/>
        <v>41426</v>
      </c>
      <c r="AJ271" s="90">
        <f t="shared" si="27"/>
        <v>0</v>
      </c>
      <c r="AK271" s="90">
        <f t="array" ref="AK271">INDEX($P$31:$P$35,MATCH(AM271&amp;YEAR(AI271),$A$31:$A$35&amp;YEAR($B$31:$B$35),0))</f>
        <v>237429</v>
      </c>
      <c r="AL271" s="90" t="s">
        <v>1098</v>
      </c>
      <c r="AM271" s="90" t="str">
        <f t="shared" si="28"/>
        <v>Intergovernment Revenue (330-**)</v>
      </c>
    </row>
    <row r="272" spans="1:39" ht="15.75" x14ac:dyDescent="0.25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5"/>
      <c r="S272" s="95"/>
      <c r="T272" s="95"/>
      <c r="U272" s="95"/>
      <c r="V272" s="95"/>
      <c r="W272" s="95"/>
      <c r="X272" s="95"/>
      <c r="Y272" s="90"/>
      <c r="Z272" s="90"/>
      <c r="AA272" s="90"/>
      <c r="AB272" s="90"/>
      <c r="AC272" s="90"/>
      <c r="AD272" s="90"/>
      <c r="AE272" s="90"/>
      <c r="AF272" s="90"/>
      <c r="AG272" s="90">
        <v>7</v>
      </c>
      <c r="AH272" s="90" t="s">
        <v>1097</v>
      </c>
      <c r="AI272" s="91">
        <f t="shared" si="26"/>
        <v>41456</v>
      </c>
      <c r="AJ272" s="90">
        <f t="shared" si="27"/>
        <v>0</v>
      </c>
      <c r="AK272" s="90">
        <f t="array" ref="AK272">INDEX($P$31:$P$35,MATCH(AM272&amp;YEAR(AI272),$A$31:$A$35&amp;YEAR($B$31:$B$35),0))</f>
        <v>237429</v>
      </c>
      <c r="AL272" s="90" t="s">
        <v>1098</v>
      </c>
      <c r="AM272" s="90" t="str">
        <f t="shared" si="28"/>
        <v>Intergovernment Revenue (330-**)</v>
      </c>
    </row>
    <row r="273" spans="1:39" ht="15.75" x14ac:dyDescent="0.25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5"/>
      <c r="S273" s="95"/>
      <c r="T273" s="95"/>
      <c r="U273" s="95"/>
      <c r="V273" s="95"/>
      <c r="W273" s="95"/>
      <c r="X273" s="95"/>
      <c r="Y273" s="90"/>
      <c r="Z273" s="90"/>
      <c r="AA273" s="90"/>
      <c r="AB273" s="90"/>
      <c r="AC273" s="90"/>
      <c r="AD273" s="90"/>
      <c r="AE273" s="90"/>
      <c r="AF273" s="90"/>
      <c r="AG273" s="90">
        <v>8</v>
      </c>
      <c r="AH273" s="90" t="s">
        <v>1097</v>
      </c>
      <c r="AI273" s="91">
        <f t="shared" si="26"/>
        <v>41487</v>
      </c>
      <c r="AJ273" s="90">
        <f t="shared" si="27"/>
        <v>0</v>
      </c>
      <c r="AK273" s="90">
        <f t="array" ref="AK273">INDEX($P$31:$P$35,MATCH(AM273&amp;YEAR(AI273),$A$31:$A$35&amp;YEAR($B$31:$B$35),0))</f>
        <v>237429</v>
      </c>
      <c r="AL273" s="90" t="s">
        <v>1098</v>
      </c>
      <c r="AM273" s="90" t="str">
        <f t="shared" si="28"/>
        <v>Intergovernment Revenue (330-**)</v>
      </c>
    </row>
    <row r="274" spans="1:39" ht="15.75" x14ac:dyDescent="0.25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5"/>
      <c r="S274" s="95"/>
      <c r="T274" s="95"/>
      <c r="U274" s="95"/>
      <c r="V274" s="95"/>
      <c r="W274" s="95"/>
      <c r="X274" s="95"/>
      <c r="Y274" s="90"/>
      <c r="Z274" s="90"/>
      <c r="AA274" s="90"/>
      <c r="AB274" s="90"/>
      <c r="AC274" s="90"/>
      <c r="AD274" s="90"/>
      <c r="AE274" s="90"/>
      <c r="AF274" s="90"/>
      <c r="AG274" s="90">
        <v>9</v>
      </c>
      <c r="AH274" s="90" t="s">
        <v>1097</v>
      </c>
      <c r="AI274" s="91">
        <f t="shared" si="26"/>
        <v>41518</v>
      </c>
      <c r="AJ274" s="90">
        <f t="shared" si="27"/>
        <v>0</v>
      </c>
      <c r="AK274" s="90">
        <f t="array" ref="AK274">INDEX($P$31:$P$35,MATCH(AM274&amp;YEAR(AI274),$A$31:$A$35&amp;YEAR($B$31:$B$35),0))</f>
        <v>237429</v>
      </c>
      <c r="AL274" s="90" t="s">
        <v>1098</v>
      </c>
      <c r="AM274" s="90" t="str">
        <f t="shared" si="28"/>
        <v>Intergovernment Revenue (330-**)</v>
      </c>
    </row>
    <row r="275" spans="1:39" ht="15.75" x14ac:dyDescent="0.2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5"/>
      <c r="S275" s="95"/>
      <c r="T275" s="95"/>
      <c r="U275" s="95"/>
      <c r="V275" s="95"/>
      <c r="W275" s="95"/>
      <c r="X275" s="95"/>
      <c r="Y275" s="90"/>
      <c r="Z275" s="90"/>
      <c r="AA275" s="90"/>
      <c r="AB275" s="90"/>
      <c r="AC275" s="90"/>
      <c r="AD275" s="90"/>
      <c r="AE275" s="90"/>
      <c r="AF275" s="90"/>
      <c r="AG275" s="90">
        <v>10</v>
      </c>
      <c r="AH275" s="90" t="s">
        <v>1097</v>
      </c>
      <c r="AI275" s="91">
        <f t="shared" si="26"/>
        <v>41548</v>
      </c>
      <c r="AJ275" s="90">
        <f t="shared" si="27"/>
        <v>0</v>
      </c>
      <c r="AK275" s="90">
        <f t="array" ref="AK275">INDEX($P$31:$P$35,MATCH(AM275&amp;YEAR(AI275),$A$31:$A$35&amp;YEAR($B$31:$B$35),0))</f>
        <v>237429</v>
      </c>
      <c r="AL275" s="90" t="s">
        <v>1098</v>
      </c>
      <c r="AM275" s="90" t="str">
        <f t="shared" si="28"/>
        <v>Intergovernment Revenue (330-**)</v>
      </c>
    </row>
    <row r="276" spans="1:39" ht="15.75" x14ac:dyDescent="0.25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5"/>
      <c r="S276" s="95"/>
      <c r="T276" s="95"/>
      <c r="U276" s="95"/>
      <c r="V276" s="95"/>
      <c r="W276" s="95"/>
      <c r="X276" s="95"/>
      <c r="Y276" s="90"/>
      <c r="Z276" s="90"/>
      <c r="AA276" s="90"/>
      <c r="AB276" s="90"/>
      <c r="AC276" s="90"/>
      <c r="AD276" s="90"/>
      <c r="AE276" s="90"/>
      <c r="AF276" s="90"/>
      <c r="AG276" s="90">
        <v>11</v>
      </c>
      <c r="AH276" s="90" t="s">
        <v>1097</v>
      </c>
      <c r="AI276" s="91">
        <f t="shared" si="26"/>
        <v>41579</v>
      </c>
      <c r="AJ276" s="90">
        <f t="shared" si="27"/>
        <v>0</v>
      </c>
      <c r="AK276" s="90">
        <f t="array" ref="AK276">INDEX($P$31:$P$35,MATCH(AM276&amp;YEAR(AI276),$A$31:$A$35&amp;YEAR($B$31:$B$35),0))</f>
        <v>237429</v>
      </c>
      <c r="AL276" s="90" t="s">
        <v>1098</v>
      </c>
      <c r="AM276" s="90" t="str">
        <f t="shared" si="28"/>
        <v>Intergovernment Revenue (330-**)</v>
      </c>
    </row>
    <row r="277" spans="1:39" ht="15.75" x14ac:dyDescent="0.25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5"/>
      <c r="S277" s="95"/>
      <c r="T277" s="95"/>
      <c r="U277" s="95"/>
      <c r="V277" s="95"/>
      <c r="W277" s="95"/>
      <c r="X277" s="95"/>
      <c r="Y277" s="90"/>
      <c r="Z277" s="90"/>
      <c r="AA277" s="90"/>
      <c r="AB277" s="90"/>
      <c r="AC277" s="90"/>
      <c r="AD277" s="90"/>
      <c r="AE277" s="90"/>
      <c r="AF277" s="90"/>
      <c r="AG277" s="90">
        <v>12</v>
      </c>
      <c r="AH277" s="90" t="s">
        <v>1097</v>
      </c>
      <c r="AI277" s="91">
        <f t="shared" si="26"/>
        <v>41609</v>
      </c>
      <c r="AJ277" s="90">
        <f t="shared" si="27"/>
        <v>0</v>
      </c>
      <c r="AK277" s="90">
        <f t="array" ref="AK277">INDEX($P$31:$P$35,MATCH(AM277&amp;YEAR(AI277),$A$31:$A$35&amp;YEAR($B$31:$B$35),0))</f>
        <v>237429</v>
      </c>
      <c r="AL277" s="90" t="s">
        <v>1098</v>
      </c>
      <c r="AM277" s="90" t="str">
        <f t="shared" si="28"/>
        <v>Intergovernment Revenue (330-**)</v>
      </c>
    </row>
    <row r="278" spans="1:39" ht="15.75" x14ac:dyDescent="0.25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5"/>
      <c r="S278" s="95"/>
      <c r="T278" s="95"/>
      <c r="U278" s="95"/>
      <c r="V278" s="95"/>
      <c r="W278" s="95"/>
      <c r="X278" s="95"/>
      <c r="Y278" s="90"/>
      <c r="Z278" s="90"/>
      <c r="AA278" s="90"/>
      <c r="AB278" s="90"/>
      <c r="AC278" s="90"/>
      <c r="AD278" s="90"/>
      <c r="AE278" s="90"/>
      <c r="AF278" s="90"/>
      <c r="AG278" s="90">
        <v>13</v>
      </c>
      <c r="AH278" s="90" t="s">
        <v>1097</v>
      </c>
      <c r="AI278" s="91">
        <f t="shared" si="26"/>
        <v>40909</v>
      </c>
      <c r="AJ278" s="90">
        <f t="shared" si="27"/>
        <v>0</v>
      </c>
      <c r="AK278" s="90">
        <f t="array" ref="AK278">INDEX($P$31:$P$35,MATCH(AM278&amp;YEAR(AI278),$A$31:$A$35&amp;YEAR($B$31:$B$35),0))</f>
        <v>0</v>
      </c>
      <c r="AL278" s="90" t="s">
        <v>1098</v>
      </c>
      <c r="AM278" s="90" t="str">
        <f t="shared" si="28"/>
        <v>Interest Earnings (361-*)</v>
      </c>
    </row>
    <row r="279" spans="1:39" ht="15.75" x14ac:dyDescent="0.25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5"/>
      <c r="S279" s="95"/>
      <c r="T279" s="95"/>
      <c r="U279" s="95"/>
      <c r="V279" s="95"/>
      <c r="W279" s="95"/>
      <c r="X279" s="95"/>
      <c r="Y279" s="90"/>
      <c r="Z279" s="90"/>
      <c r="AA279" s="90"/>
      <c r="AB279" s="90"/>
      <c r="AC279" s="90"/>
      <c r="AD279" s="90"/>
      <c r="AE279" s="90"/>
      <c r="AF279" s="90"/>
      <c r="AG279" s="90">
        <v>14</v>
      </c>
      <c r="AH279" s="90" t="s">
        <v>1097</v>
      </c>
      <c r="AI279" s="91">
        <f t="shared" si="26"/>
        <v>40940</v>
      </c>
      <c r="AJ279" s="90">
        <f t="shared" si="27"/>
        <v>739.75</v>
      </c>
      <c r="AK279" s="90">
        <f t="array" ref="AK279">INDEX($P$31:$P$35,MATCH(AM279&amp;YEAR(AI279),$A$31:$A$35&amp;YEAR($B$31:$B$35),0))</f>
        <v>0</v>
      </c>
      <c r="AL279" s="90" t="s">
        <v>1098</v>
      </c>
      <c r="AM279" s="90" t="str">
        <f t="shared" si="28"/>
        <v>Interest Earnings (361-*)</v>
      </c>
    </row>
    <row r="280" spans="1:39" ht="15.75" x14ac:dyDescent="0.25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5"/>
      <c r="S280" s="95"/>
      <c r="T280" s="95"/>
      <c r="U280" s="95"/>
      <c r="V280" s="95"/>
      <c r="W280" s="95"/>
      <c r="X280" s="95"/>
      <c r="Y280" s="90"/>
      <c r="Z280" s="90"/>
      <c r="AA280" s="90"/>
      <c r="AB280" s="90"/>
      <c r="AC280" s="90"/>
      <c r="AD280" s="90"/>
      <c r="AE280" s="90"/>
      <c r="AF280" s="90"/>
      <c r="AG280" s="90">
        <v>15</v>
      </c>
      <c r="AH280" s="90" t="s">
        <v>1097</v>
      </c>
      <c r="AI280" s="91">
        <f t="shared" si="26"/>
        <v>40969</v>
      </c>
      <c r="AJ280" s="90">
        <f t="shared" si="27"/>
        <v>1052.76</v>
      </c>
      <c r="AK280" s="90">
        <f t="array" ref="AK280">INDEX($P$31:$P$35,MATCH(AM280&amp;YEAR(AI280),$A$31:$A$35&amp;YEAR($B$31:$B$35),0))</f>
        <v>0</v>
      </c>
      <c r="AL280" s="90" t="s">
        <v>1098</v>
      </c>
      <c r="AM280" s="90" t="str">
        <f t="shared" si="28"/>
        <v>Interest Earnings (361-*)</v>
      </c>
    </row>
    <row r="281" spans="1:39" ht="15.75" x14ac:dyDescent="0.25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5"/>
      <c r="S281" s="95"/>
      <c r="T281" s="95"/>
      <c r="U281" s="95"/>
      <c r="V281" s="95"/>
      <c r="W281" s="95"/>
      <c r="X281" s="95"/>
      <c r="Y281" s="90"/>
      <c r="Z281" s="90"/>
      <c r="AA281" s="90"/>
      <c r="AB281" s="90"/>
      <c r="AC281" s="90"/>
      <c r="AD281" s="90"/>
      <c r="AE281" s="90"/>
      <c r="AF281" s="90"/>
      <c r="AG281" s="90">
        <v>16</v>
      </c>
      <c r="AH281" s="90" t="s">
        <v>1097</v>
      </c>
      <c r="AI281" s="91">
        <f t="shared" si="26"/>
        <v>41000</v>
      </c>
      <c r="AJ281" s="90">
        <f t="shared" si="27"/>
        <v>1269.5899999999999</v>
      </c>
      <c r="AK281" s="90">
        <f t="array" ref="AK281">INDEX($P$31:$P$35,MATCH(AM281&amp;YEAR(AI281),$A$31:$A$35&amp;YEAR($B$31:$B$35),0))</f>
        <v>0</v>
      </c>
      <c r="AL281" s="90" t="s">
        <v>1098</v>
      </c>
      <c r="AM281" s="90" t="str">
        <f t="shared" si="28"/>
        <v>Interest Earnings (361-*)</v>
      </c>
    </row>
    <row r="282" spans="1:39" ht="15.75" x14ac:dyDescent="0.25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5"/>
      <c r="S282" s="95"/>
      <c r="T282" s="95"/>
      <c r="U282" s="95"/>
      <c r="V282" s="95"/>
      <c r="W282" s="95"/>
      <c r="X282" s="95"/>
      <c r="Y282" s="90"/>
      <c r="Z282" s="90"/>
      <c r="AA282" s="90"/>
      <c r="AB282" s="90"/>
      <c r="AC282" s="90"/>
      <c r="AD282" s="90"/>
      <c r="AE282" s="90"/>
      <c r="AF282" s="90"/>
      <c r="AG282" s="90">
        <v>17</v>
      </c>
      <c r="AH282" s="90" t="s">
        <v>1097</v>
      </c>
      <c r="AI282" s="91">
        <f t="shared" si="26"/>
        <v>41030</v>
      </c>
      <c r="AJ282" s="90">
        <f t="shared" si="27"/>
        <v>1558.22</v>
      </c>
      <c r="AK282" s="90">
        <f t="array" ref="AK282">INDEX($P$31:$P$35,MATCH(AM282&amp;YEAR(AI282),$A$31:$A$35&amp;YEAR($B$31:$B$35),0))</f>
        <v>0</v>
      </c>
      <c r="AL282" s="90" t="s">
        <v>1098</v>
      </c>
      <c r="AM282" s="90" t="str">
        <f t="shared" si="28"/>
        <v>Interest Earnings (361-*)</v>
      </c>
    </row>
    <row r="283" spans="1:39" ht="15.75" x14ac:dyDescent="0.25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5"/>
      <c r="S283" s="95"/>
      <c r="T283" s="95"/>
      <c r="U283" s="95"/>
      <c r="V283" s="95"/>
      <c r="W283" s="95"/>
      <c r="X283" s="95"/>
      <c r="Y283" s="90"/>
      <c r="Z283" s="90"/>
      <c r="AA283" s="90"/>
      <c r="AB283" s="90"/>
      <c r="AC283" s="90"/>
      <c r="AD283" s="90"/>
      <c r="AE283" s="90"/>
      <c r="AF283" s="90"/>
      <c r="AG283" s="90">
        <v>18</v>
      </c>
      <c r="AH283" s="90" t="s">
        <v>1097</v>
      </c>
      <c r="AI283" s="91">
        <f t="shared" si="26"/>
        <v>41061</v>
      </c>
      <c r="AJ283" s="90">
        <f t="shared" si="27"/>
        <v>1549.29</v>
      </c>
      <c r="AK283" s="90">
        <f t="array" ref="AK283">INDEX($P$31:$P$35,MATCH(AM283&amp;YEAR(AI283),$A$31:$A$35&amp;YEAR($B$31:$B$35),0))</f>
        <v>0</v>
      </c>
      <c r="AL283" s="90" t="s">
        <v>1098</v>
      </c>
      <c r="AM283" s="90" t="str">
        <f t="shared" si="28"/>
        <v>Interest Earnings (361-*)</v>
      </c>
    </row>
    <row r="284" spans="1:39" ht="15.75" x14ac:dyDescent="0.25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5"/>
      <c r="S284" s="95"/>
      <c r="T284" s="95"/>
      <c r="U284" s="95"/>
      <c r="V284" s="95"/>
      <c r="W284" s="95"/>
      <c r="X284" s="95"/>
      <c r="Y284" s="90"/>
      <c r="Z284" s="90"/>
      <c r="AA284" s="90"/>
      <c r="AB284" s="90"/>
      <c r="AC284" s="90"/>
      <c r="AD284" s="90"/>
      <c r="AE284" s="90"/>
      <c r="AF284" s="90"/>
      <c r="AG284" s="90">
        <v>19</v>
      </c>
      <c r="AH284" s="90" t="s">
        <v>1097</v>
      </c>
      <c r="AI284" s="91">
        <f t="shared" si="26"/>
        <v>41091</v>
      </c>
      <c r="AJ284" s="90">
        <f t="shared" si="27"/>
        <v>1322.24</v>
      </c>
      <c r="AK284" s="90">
        <f t="array" ref="AK284">INDEX($P$31:$P$35,MATCH(AM284&amp;YEAR(AI284),$A$31:$A$35&amp;YEAR($B$31:$B$35),0))</f>
        <v>0</v>
      </c>
      <c r="AL284" s="90" t="s">
        <v>1098</v>
      </c>
      <c r="AM284" s="90" t="str">
        <f t="shared" si="28"/>
        <v>Interest Earnings (361-*)</v>
      </c>
    </row>
    <row r="285" spans="1:39" ht="15.75" x14ac:dyDescent="0.2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5"/>
      <c r="S285" s="95"/>
      <c r="T285" s="95"/>
      <c r="U285" s="95"/>
      <c r="V285" s="95"/>
      <c r="W285" s="95"/>
      <c r="X285" s="95"/>
      <c r="Y285" s="90"/>
      <c r="Z285" s="90"/>
      <c r="AA285" s="90"/>
      <c r="AB285" s="90"/>
      <c r="AC285" s="90"/>
      <c r="AD285" s="90"/>
      <c r="AE285" s="90"/>
      <c r="AF285" s="90"/>
      <c r="AG285" s="90">
        <v>20</v>
      </c>
      <c r="AH285" s="90" t="s">
        <v>1097</v>
      </c>
      <c r="AI285" s="91">
        <f t="shared" si="26"/>
        <v>41122</v>
      </c>
      <c r="AJ285" s="90">
        <f t="shared" si="27"/>
        <v>1573.63</v>
      </c>
      <c r="AK285" s="90">
        <f t="array" ref="AK285">INDEX($P$31:$P$35,MATCH(AM285&amp;YEAR(AI285),$A$31:$A$35&amp;YEAR($B$31:$B$35),0))</f>
        <v>0</v>
      </c>
      <c r="AL285" s="90" t="s">
        <v>1098</v>
      </c>
      <c r="AM285" s="90" t="str">
        <f t="shared" si="28"/>
        <v>Interest Earnings (361-*)</v>
      </c>
    </row>
    <row r="286" spans="1:39" ht="15.75" x14ac:dyDescent="0.25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5"/>
      <c r="S286" s="95"/>
      <c r="T286" s="95"/>
      <c r="U286" s="95"/>
      <c r="V286" s="95"/>
      <c r="W286" s="95"/>
      <c r="X286" s="95"/>
      <c r="Y286" s="90"/>
      <c r="Z286" s="90"/>
      <c r="AA286" s="90"/>
      <c r="AB286" s="90"/>
      <c r="AC286" s="90"/>
      <c r="AD286" s="90"/>
      <c r="AE286" s="90"/>
      <c r="AF286" s="90"/>
      <c r="AG286" s="90">
        <v>21</v>
      </c>
      <c r="AH286" s="90" t="s">
        <v>1097</v>
      </c>
      <c r="AI286" s="91">
        <f t="shared" si="26"/>
        <v>41153</v>
      </c>
      <c r="AJ286" s="90">
        <f t="shared" si="27"/>
        <v>1703.17</v>
      </c>
      <c r="AK286" s="90">
        <f t="array" ref="AK286">INDEX($P$31:$P$35,MATCH(AM286&amp;YEAR(AI286),$A$31:$A$35&amp;YEAR($B$31:$B$35),0))</f>
        <v>0</v>
      </c>
      <c r="AL286" s="90" t="s">
        <v>1098</v>
      </c>
      <c r="AM286" s="90" t="str">
        <f t="shared" si="28"/>
        <v>Interest Earnings (361-*)</v>
      </c>
    </row>
    <row r="287" spans="1:39" ht="15.75" x14ac:dyDescent="0.25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5"/>
      <c r="S287" s="95"/>
      <c r="T287" s="95"/>
      <c r="U287" s="95"/>
      <c r="V287" s="95"/>
      <c r="W287" s="95"/>
      <c r="X287" s="95"/>
      <c r="Y287" s="90"/>
      <c r="Z287" s="90"/>
      <c r="AA287" s="90"/>
      <c r="AB287" s="90"/>
      <c r="AC287" s="90"/>
      <c r="AD287" s="90"/>
      <c r="AE287" s="90"/>
      <c r="AF287" s="90"/>
      <c r="AG287" s="90">
        <v>22</v>
      </c>
      <c r="AH287" s="90" t="s">
        <v>1097</v>
      </c>
      <c r="AI287" s="91">
        <f t="shared" si="26"/>
        <v>41183</v>
      </c>
      <c r="AJ287" s="90">
        <f t="shared" si="27"/>
        <v>1880.54</v>
      </c>
      <c r="AK287" s="90">
        <f t="array" ref="AK287">INDEX($P$31:$P$35,MATCH(AM287&amp;YEAR(AI287),$A$31:$A$35&amp;YEAR($B$31:$B$35),0))</f>
        <v>0</v>
      </c>
      <c r="AL287" s="90" t="s">
        <v>1098</v>
      </c>
      <c r="AM287" s="90" t="str">
        <f t="shared" si="28"/>
        <v>Interest Earnings (361-*)</v>
      </c>
    </row>
    <row r="288" spans="1:39" ht="15.75" x14ac:dyDescent="0.25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5"/>
      <c r="S288" s="95"/>
      <c r="T288" s="95"/>
      <c r="U288" s="95"/>
      <c r="V288" s="95"/>
      <c r="W288" s="95"/>
      <c r="X288" s="95"/>
      <c r="Y288" s="90"/>
      <c r="Z288" s="90"/>
      <c r="AA288" s="90"/>
      <c r="AB288" s="90"/>
      <c r="AC288" s="90"/>
      <c r="AD288" s="90"/>
      <c r="AE288" s="90"/>
      <c r="AF288" s="90"/>
      <c r="AG288" s="90">
        <v>23</v>
      </c>
      <c r="AH288" s="90" t="s">
        <v>1097</v>
      </c>
      <c r="AI288" s="91">
        <f t="shared" si="26"/>
        <v>41214</v>
      </c>
      <c r="AJ288" s="90">
        <f t="shared" si="27"/>
        <v>2680.05</v>
      </c>
      <c r="AK288" s="90">
        <f t="array" ref="AK288">INDEX($P$31:$P$35,MATCH(AM288&amp;YEAR(AI288),$A$31:$A$35&amp;YEAR($B$31:$B$35),0))</f>
        <v>0</v>
      </c>
      <c r="AL288" s="90" t="s">
        <v>1098</v>
      </c>
      <c r="AM288" s="90" t="str">
        <f t="shared" si="28"/>
        <v>Interest Earnings (361-*)</v>
      </c>
    </row>
    <row r="289" spans="1:39" ht="15.75" x14ac:dyDescent="0.25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5"/>
      <c r="S289" s="95"/>
      <c r="T289" s="95"/>
      <c r="U289" s="95"/>
      <c r="V289" s="95"/>
      <c r="W289" s="95"/>
      <c r="X289" s="95"/>
      <c r="Y289" s="90"/>
      <c r="Z289" s="90"/>
      <c r="AA289" s="90"/>
      <c r="AB289" s="90"/>
      <c r="AC289" s="90"/>
      <c r="AD289" s="90"/>
      <c r="AE289" s="90"/>
      <c r="AF289" s="90"/>
      <c r="AG289" s="90">
        <v>24</v>
      </c>
      <c r="AH289" s="90" t="s">
        <v>1097</v>
      </c>
      <c r="AI289" s="91">
        <f t="shared" si="26"/>
        <v>41244</v>
      </c>
      <c r="AJ289" s="90">
        <f t="shared" si="27"/>
        <v>-4211.5599999999995</v>
      </c>
      <c r="AK289" s="90">
        <f t="array" ref="AK289">INDEX($P$31:$P$35,MATCH(AM289&amp;YEAR(AI289),$A$31:$A$35&amp;YEAR($B$31:$B$35),0))</f>
        <v>0</v>
      </c>
      <c r="AL289" s="90" t="s">
        <v>1098</v>
      </c>
      <c r="AM289" s="90" t="str">
        <f t="shared" si="28"/>
        <v>Interest Earnings (361-*)</v>
      </c>
    </row>
    <row r="290" spans="1:39" ht="15.75" x14ac:dyDescent="0.25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5"/>
      <c r="S290" s="95"/>
      <c r="T290" s="95"/>
      <c r="U290" s="95"/>
      <c r="V290" s="95"/>
      <c r="W290" s="95"/>
      <c r="X290" s="95"/>
      <c r="Y290" s="90"/>
      <c r="Z290" s="90"/>
      <c r="AA290" s="90"/>
      <c r="AB290" s="90"/>
      <c r="AC290" s="90"/>
      <c r="AD290" s="90"/>
      <c r="AE290" s="90"/>
      <c r="AF290" s="90"/>
      <c r="AG290" s="90">
        <v>25</v>
      </c>
      <c r="AH290" s="90" t="s">
        <v>1097</v>
      </c>
      <c r="AI290" s="91">
        <f t="shared" si="26"/>
        <v>41275</v>
      </c>
      <c r="AJ290" s="90">
        <f t="shared" si="27"/>
        <v>0</v>
      </c>
      <c r="AK290" s="90">
        <f t="array" ref="AK290">INDEX($P$31:$P$35,MATCH(AM290&amp;YEAR(AI290),$A$31:$A$35&amp;YEAR($B$31:$B$35),0))</f>
        <v>0</v>
      </c>
      <c r="AL290" s="90" t="s">
        <v>1098</v>
      </c>
      <c r="AM290" s="90" t="str">
        <f t="shared" si="28"/>
        <v>Interest Earnings (361-*)</v>
      </c>
    </row>
    <row r="291" spans="1:39" ht="15.75" x14ac:dyDescent="0.25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5"/>
      <c r="S291" s="95"/>
      <c r="T291" s="95"/>
      <c r="U291" s="95"/>
      <c r="V291" s="95"/>
      <c r="W291" s="95"/>
      <c r="X291" s="95"/>
      <c r="Y291" s="90"/>
      <c r="Z291" s="90"/>
      <c r="AA291" s="90"/>
      <c r="AB291" s="90"/>
      <c r="AC291" s="90"/>
      <c r="AD291" s="90"/>
      <c r="AE291" s="90"/>
      <c r="AF291" s="90"/>
      <c r="AG291" s="90">
        <v>26</v>
      </c>
      <c r="AH291" s="90" t="s">
        <v>1097</v>
      </c>
      <c r="AI291" s="91">
        <f t="shared" si="26"/>
        <v>41306</v>
      </c>
      <c r="AJ291" s="90">
        <f t="shared" si="27"/>
        <v>3886.42</v>
      </c>
      <c r="AK291" s="90">
        <f t="array" ref="AK291">INDEX($P$31:$P$35,MATCH(AM291&amp;YEAR(AI291),$A$31:$A$35&amp;YEAR($B$31:$B$35),0))</f>
        <v>0</v>
      </c>
      <c r="AL291" s="90" t="s">
        <v>1098</v>
      </c>
      <c r="AM291" s="90" t="str">
        <f t="shared" si="28"/>
        <v>Interest Earnings (361-*)</v>
      </c>
    </row>
    <row r="292" spans="1:39" ht="15.75" x14ac:dyDescent="0.25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5"/>
      <c r="S292" s="95"/>
      <c r="T292" s="95"/>
      <c r="U292" s="95"/>
      <c r="V292" s="95"/>
      <c r="W292" s="95"/>
      <c r="X292" s="95"/>
      <c r="Y292" s="90"/>
      <c r="Z292" s="90"/>
      <c r="AA292" s="90"/>
      <c r="AB292" s="90"/>
      <c r="AC292" s="90"/>
      <c r="AD292" s="90"/>
      <c r="AE292" s="90"/>
      <c r="AF292" s="90"/>
      <c r="AG292" s="90">
        <v>27</v>
      </c>
      <c r="AH292" s="90" t="s">
        <v>1097</v>
      </c>
      <c r="AI292" s="91">
        <f t="shared" si="26"/>
        <v>41334</v>
      </c>
      <c r="AJ292" s="90">
        <f t="shared" si="27"/>
        <v>3481</v>
      </c>
      <c r="AK292" s="90">
        <f t="array" ref="AK292">INDEX($P$31:$P$35,MATCH(AM292&amp;YEAR(AI292),$A$31:$A$35&amp;YEAR($B$31:$B$35),0))</f>
        <v>0</v>
      </c>
      <c r="AL292" s="90" t="s">
        <v>1098</v>
      </c>
      <c r="AM292" s="90" t="str">
        <f t="shared" si="28"/>
        <v>Interest Earnings (361-*)</v>
      </c>
    </row>
    <row r="293" spans="1:39" ht="15.75" x14ac:dyDescent="0.25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5"/>
      <c r="S293" s="95"/>
      <c r="T293" s="95"/>
      <c r="U293" s="95"/>
      <c r="V293" s="95"/>
      <c r="W293" s="95"/>
      <c r="X293" s="95"/>
      <c r="Y293" s="90"/>
      <c r="Z293" s="90"/>
      <c r="AA293" s="90"/>
      <c r="AB293" s="90"/>
      <c r="AC293" s="90"/>
      <c r="AD293" s="90"/>
      <c r="AE293" s="90"/>
      <c r="AF293" s="90"/>
      <c r="AG293" s="90">
        <v>28</v>
      </c>
      <c r="AH293" s="90" t="s">
        <v>1097</v>
      </c>
      <c r="AI293" s="91">
        <f t="shared" si="26"/>
        <v>41365</v>
      </c>
      <c r="AJ293" s="90">
        <f t="shared" si="27"/>
        <v>3919.18</v>
      </c>
      <c r="AK293" s="90">
        <f t="array" ref="AK293">INDEX($P$31:$P$35,MATCH(AM293&amp;YEAR(AI293),$A$31:$A$35&amp;YEAR($B$31:$B$35),0))</f>
        <v>0</v>
      </c>
      <c r="AL293" s="90" t="s">
        <v>1098</v>
      </c>
      <c r="AM293" s="90" t="str">
        <f t="shared" si="28"/>
        <v>Interest Earnings (361-*)</v>
      </c>
    </row>
    <row r="294" spans="1:39" ht="15.75" x14ac:dyDescent="0.25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5"/>
      <c r="S294" s="95"/>
      <c r="T294" s="95"/>
      <c r="U294" s="95"/>
      <c r="V294" s="95"/>
      <c r="W294" s="95"/>
      <c r="X294" s="95"/>
      <c r="Y294" s="90"/>
      <c r="Z294" s="90"/>
      <c r="AA294" s="90"/>
      <c r="AB294" s="90"/>
      <c r="AC294" s="90"/>
      <c r="AD294" s="90"/>
      <c r="AE294" s="90"/>
      <c r="AF294" s="90"/>
      <c r="AG294" s="90">
        <v>29</v>
      </c>
      <c r="AH294" s="90" t="s">
        <v>1097</v>
      </c>
      <c r="AI294" s="91">
        <f t="shared" si="26"/>
        <v>41395</v>
      </c>
      <c r="AJ294" s="90">
        <f t="shared" si="27"/>
        <v>3883.8</v>
      </c>
      <c r="AK294" s="90">
        <f t="array" ref="AK294">INDEX($P$31:$P$35,MATCH(AM294&amp;YEAR(AI294),$A$31:$A$35&amp;YEAR($B$31:$B$35),0))</f>
        <v>0</v>
      </c>
      <c r="AL294" s="90" t="s">
        <v>1098</v>
      </c>
      <c r="AM294" s="90" t="str">
        <f t="shared" si="28"/>
        <v>Interest Earnings (361-*)</v>
      </c>
    </row>
    <row r="295" spans="1:39" ht="15.75" x14ac:dyDescent="0.25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5"/>
      <c r="S295" s="95"/>
      <c r="T295" s="95"/>
      <c r="U295" s="95"/>
      <c r="V295" s="95"/>
      <c r="W295" s="95"/>
      <c r="X295" s="95"/>
      <c r="Y295" s="90"/>
      <c r="Z295" s="90"/>
      <c r="AA295" s="90"/>
      <c r="AB295" s="90"/>
      <c r="AC295" s="90"/>
      <c r="AD295" s="90"/>
      <c r="AE295" s="90"/>
      <c r="AF295" s="90"/>
      <c r="AG295" s="90">
        <v>30</v>
      </c>
      <c r="AH295" s="90" t="s">
        <v>1097</v>
      </c>
      <c r="AI295" s="91">
        <f t="shared" si="26"/>
        <v>41426</v>
      </c>
      <c r="AJ295" s="90">
        <f t="shared" si="27"/>
        <v>0</v>
      </c>
      <c r="AK295" s="90">
        <f t="array" ref="AK295">INDEX($P$31:$P$35,MATCH(AM295&amp;YEAR(AI295),$A$31:$A$35&amp;YEAR($B$31:$B$35),0))</f>
        <v>0</v>
      </c>
      <c r="AL295" s="90" t="s">
        <v>1098</v>
      </c>
      <c r="AM295" s="90" t="str">
        <f t="shared" si="28"/>
        <v>Interest Earnings (361-*)</v>
      </c>
    </row>
    <row r="296" spans="1:39" ht="15.75" x14ac:dyDescent="0.25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5"/>
      <c r="S296" s="95"/>
      <c r="T296" s="95"/>
      <c r="U296" s="95"/>
      <c r="V296" s="95"/>
      <c r="W296" s="95"/>
      <c r="X296" s="95"/>
      <c r="Y296" s="90"/>
      <c r="Z296" s="90"/>
      <c r="AA296" s="90"/>
      <c r="AB296" s="90"/>
      <c r="AC296" s="90"/>
      <c r="AD296" s="90"/>
      <c r="AE296" s="90"/>
      <c r="AF296" s="90"/>
      <c r="AG296" s="90">
        <v>31</v>
      </c>
      <c r="AH296" s="90" t="s">
        <v>1097</v>
      </c>
      <c r="AI296" s="91">
        <f t="shared" si="26"/>
        <v>41456</v>
      </c>
      <c r="AJ296" s="90">
        <f t="shared" si="27"/>
        <v>0</v>
      </c>
      <c r="AK296" s="90">
        <f t="array" ref="AK296">INDEX($P$31:$P$35,MATCH(AM296&amp;YEAR(AI296),$A$31:$A$35&amp;YEAR($B$31:$B$35),0))</f>
        <v>0</v>
      </c>
      <c r="AL296" s="90" t="s">
        <v>1098</v>
      </c>
      <c r="AM296" s="90" t="str">
        <f t="shared" si="28"/>
        <v>Interest Earnings (361-*)</v>
      </c>
    </row>
    <row r="297" spans="1:39" ht="15.75" x14ac:dyDescent="0.25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5"/>
      <c r="S297" s="95"/>
      <c r="T297" s="95"/>
      <c r="U297" s="95"/>
      <c r="V297" s="95"/>
      <c r="W297" s="95"/>
      <c r="X297" s="95"/>
      <c r="Y297" s="90"/>
      <c r="Z297" s="90"/>
      <c r="AA297" s="90"/>
      <c r="AB297" s="90"/>
      <c r="AC297" s="90"/>
      <c r="AD297" s="90"/>
      <c r="AE297" s="90"/>
      <c r="AF297" s="90"/>
      <c r="AG297" s="90">
        <v>32</v>
      </c>
      <c r="AH297" s="90" t="s">
        <v>1097</v>
      </c>
      <c r="AI297" s="91">
        <f t="shared" si="26"/>
        <v>41487</v>
      </c>
      <c r="AJ297" s="90">
        <f t="shared" si="27"/>
        <v>0</v>
      </c>
      <c r="AK297" s="90">
        <f t="array" ref="AK297">INDEX($P$31:$P$35,MATCH(AM297&amp;YEAR(AI297),$A$31:$A$35&amp;YEAR($B$31:$B$35),0))</f>
        <v>0</v>
      </c>
      <c r="AL297" s="90" t="s">
        <v>1098</v>
      </c>
      <c r="AM297" s="90" t="str">
        <f t="shared" si="28"/>
        <v>Interest Earnings (361-*)</v>
      </c>
    </row>
    <row r="298" spans="1:39" ht="15.75" x14ac:dyDescent="0.25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5"/>
      <c r="S298" s="95"/>
      <c r="T298" s="95"/>
      <c r="U298" s="95"/>
      <c r="V298" s="95"/>
      <c r="W298" s="95"/>
      <c r="X298" s="95"/>
      <c r="Y298" s="90"/>
      <c r="Z298" s="90"/>
      <c r="AA298" s="90"/>
      <c r="AB298" s="90"/>
      <c r="AC298" s="90"/>
      <c r="AD298" s="90"/>
      <c r="AE298" s="90"/>
      <c r="AF298" s="90"/>
      <c r="AG298" s="90">
        <v>33</v>
      </c>
      <c r="AH298" s="90" t="s">
        <v>1097</v>
      </c>
      <c r="AI298" s="91">
        <f t="shared" ref="AI298:AI325" si="29">DATE(YEAR(INDEX($B$30:$N$35,INT((AG298+11)/12)+1,1)),IF(MOD(AG298,12)&lt;&gt;0,MOD(AG298,12),12),1)</f>
        <v>41518</v>
      </c>
      <c r="AJ298" s="90">
        <f t="shared" ref="AJ298:AJ325" si="30">INDEX($C$31:$N$35,INT((AG298+11)/12),AG298-(12*(INT((AG298+11)/12)-1)))</f>
        <v>0</v>
      </c>
      <c r="AK298" s="90">
        <f t="array" ref="AK298">INDEX($P$31:$P$35,MATCH(AM298&amp;YEAR(AI298),$A$31:$A$35&amp;YEAR($B$31:$B$35),0))</f>
        <v>0</v>
      </c>
      <c r="AL298" s="90" t="s">
        <v>1098</v>
      </c>
      <c r="AM298" s="90" t="str">
        <f t="shared" ref="AM298:AM325" si="31">INDEX($A$31:$A$35,INT((AG298+11)/12))</f>
        <v>Interest Earnings (361-*)</v>
      </c>
    </row>
    <row r="299" spans="1:39" ht="15.75" x14ac:dyDescent="0.25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5"/>
      <c r="S299" s="95"/>
      <c r="T299" s="95"/>
      <c r="U299" s="95"/>
      <c r="V299" s="95"/>
      <c r="W299" s="95"/>
      <c r="X299" s="95"/>
      <c r="Y299" s="90"/>
      <c r="Z299" s="90"/>
      <c r="AA299" s="90"/>
      <c r="AB299" s="90"/>
      <c r="AC299" s="90"/>
      <c r="AD299" s="90"/>
      <c r="AE299" s="90"/>
      <c r="AF299" s="90"/>
      <c r="AG299" s="90">
        <v>34</v>
      </c>
      <c r="AH299" s="90" t="s">
        <v>1097</v>
      </c>
      <c r="AI299" s="91">
        <f t="shared" si="29"/>
        <v>41548</v>
      </c>
      <c r="AJ299" s="90">
        <f t="shared" si="30"/>
        <v>0</v>
      </c>
      <c r="AK299" s="90">
        <f t="array" ref="AK299">INDEX($P$31:$P$35,MATCH(AM299&amp;YEAR(AI299),$A$31:$A$35&amp;YEAR($B$31:$B$35),0))</f>
        <v>0</v>
      </c>
      <c r="AL299" s="90" t="s">
        <v>1098</v>
      </c>
      <c r="AM299" s="90" t="str">
        <f t="shared" si="31"/>
        <v>Interest Earnings (361-*)</v>
      </c>
    </row>
    <row r="300" spans="1:39" ht="15.75" x14ac:dyDescent="0.25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5"/>
      <c r="S300" s="95"/>
      <c r="T300" s="95"/>
      <c r="U300" s="95"/>
      <c r="V300" s="95"/>
      <c r="W300" s="95"/>
      <c r="X300" s="95"/>
      <c r="Y300" s="90"/>
      <c r="Z300" s="90"/>
      <c r="AA300" s="90"/>
      <c r="AB300" s="90"/>
      <c r="AC300" s="90"/>
      <c r="AD300" s="90"/>
      <c r="AE300" s="90"/>
      <c r="AF300" s="90"/>
      <c r="AG300" s="90">
        <v>35</v>
      </c>
      <c r="AH300" s="90" t="s">
        <v>1097</v>
      </c>
      <c r="AI300" s="91">
        <f t="shared" si="29"/>
        <v>41579</v>
      </c>
      <c r="AJ300" s="90">
        <f t="shared" si="30"/>
        <v>0</v>
      </c>
      <c r="AK300" s="90">
        <f t="array" ref="AK300">INDEX($P$31:$P$35,MATCH(AM300&amp;YEAR(AI300),$A$31:$A$35&amp;YEAR($B$31:$B$35),0))</f>
        <v>0</v>
      </c>
      <c r="AL300" s="90" t="s">
        <v>1098</v>
      </c>
      <c r="AM300" s="90" t="str">
        <f t="shared" si="31"/>
        <v>Interest Earnings (361-*)</v>
      </c>
    </row>
    <row r="301" spans="1:39" ht="15.75" x14ac:dyDescent="0.25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5"/>
      <c r="S301" s="95"/>
      <c r="T301" s="95"/>
      <c r="U301" s="95"/>
      <c r="V301" s="95"/>
      <c r="W301" s="95"/>
      <c r="X301" s="95"/>
      <c r="Y301" s="90"/>
      <c r="Z301" s="90"/>
      <c r="AA301" s="90"/>
      <c r="AB301" s="90"/>
      <c r="AC301" s="90"/>
      <c r="AD301" s="90"/>
      <c r="AE301" s="90"/>
      <c r="AF301" s="90"/>
      <c r="AG301" s="90">
        <v>36</v>
      </c>
      <c r="AH301" s="90" t="s">
        <v>1097</v>
      </c>
      <c r="AI301" s="91">
        <f t="shared" si="29"/>
        <v>41609</v>
      </c>
      <c r="AJ301" s="90">
        <f t="shared" si="30"/>
        <v>0</v>
      </c>
      <c r="AK301" s="90">
        <f t="array" ref="AK301">INDEX($P$31:$P$35,MATCH(AM301&amp;YEAR(AI301),$A$31:$A$35&amp;YEAR($B$31:$B$35),0))</f>
        <v>0</v>
      </c>
      <c r="AL301" s="90" t="s">
        <v>1098</v>
      </c>
      <c r="AM301" s="90" t="str">
        <f t="shared" si="31"/>
        <v>Interest Earnings (361-*)</v>
      </c>
    </row>
    <row r="302" spans="1:39" ht="15.75" x14ac:dyDescent="0.25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5"/>
      <c r="S302" s="95"/>
      <c r="T302" s="95"/>
      <c r="U302" s="95"/>
      <c r="V302" s="95"/>
      <c r="W302" s="95"/>
      <c r="X302" s="95"/>
      <c r="Y302" s="90"/>
      <c r="Z302" s="90"/>
      <c r="AA302" s="90"/>
      <c r="AB302" s="90"/>
      <c r="AC302" s="90"/>
      <c r="AD302" s="90"/>
      <c r="AE302" s="90"/>
      <c r="AF302" s="90"/>
      <c r="AG302" s="90">
        <v>37</v>
      </c>
      <c r="AH302" s="90" t="s">
        <v>1097</v>
      </c>
      <c r="AI302" s="91">
        <f t="shared" si="29"/>
        <v>40909</v>
      </c>
      <c r="AJ302" s="90">
        <f t="shared" si="30"/>
        <v>148616.32999999999</v>
      </c>
      <c r="AK302" s="90">
        <f t="array" ref="AK302">INDEX($P$31:$P$35,MATCH(AM302&amp;YEAR(AI302),$A$31:$A$35&amp;YEAR($B$31:$B$35),0))</f>
        <v>0</v>
      </c>
      <c r="AL302" s="90" t="s">
        <v>1098</v>
      </c>
      <c r="AM302" s="90" t="str">
        <f t="shared" si="31"/>
        <v>Transfer from Other Funds (370-**)</v>
      </c>
    </row>
    <row r="303" spans="1:39" ht="15.75" x14ac:dyDescent="0.25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5"/>
      <c r="S303" s="95"/>
      <c r="T303" s="95"/>
      <c r="U303" s="95"/>
      <c r="V303" s="95"/>
      <c r="W303" s="95"/>
      <c r="X303" s="95"/>
      <c r="Y303" s="90"/>
      <c r="Z303" s="90"/>
      <c r="AA303" s="90"/>
      <c r="AB303" s="90"/>
      <c r="AC303" s="90"/>
      <c r="AD303" s="90"/>
      <c r="AE303" s="90"/>
      <c r="AF303" s="90"/>
      <c r="AG303" s="90">
        <v>38</v>
      </c>
      <c r="AH303" s="90" t="s">
        <v>1097</v>
      </c>
      <c r="AI303" s="91">
        <f t="shared" si="29"/>
        <v>40940</v>
      </c>
      <c r="AJ303" s="90">
        <f t="shared" si="30"/>
        <v>148616.32999999999</v>
      </c>
      <c r="AK303" s="90">
        <f t="array" ref="AK303">INDEX($P$31:$P$35,MATCH(AM303&amp;YEAR(AI303),$A$31:$A$35&amp;YEAR($B$31:$B$35),0))</f>
        <v>0</v>
      </c>
      <c r="AL303" s="90" t="s">
        <v>1098</v>
      </c>
      <c r="AM303" s="90" t="str">
        <f t="shared" si="31"/>
        <v>Transfer from Other Funds (370-**)</v>
      </c>
    </row>
    <row r="304" spans="1:39" ht="15.75" x14ac:dyDescent="0.25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5"/>
      <c r="S304" s="95"/>
      <c r="T304" s="95"/>
      <c r="U304" s="95"/>
      <c r="V304" s="95"/>
      <c r="W304" s="95"/>
      <c r="X304" s="95"/>
      <c r="Y304" s="90"/>
      <c r="Z304" s="90"/>
      <c r="AA304" s="90"/>
      <c r="AB304" s="90"/>
      <c r="AC304" s="90"/>
      <c r="AD304" s="90"/>
      <c r="AE304" s="90"/>
      <c r="AF304" s="90"/>
      <c r="AG304" s="90">
        <v>39</v>
      </c>
      <c r="AH304" s="90" t="s">
        <v>1097</v>
      </c>
      <c r="AI304" s="91">
        <f t="shared" si="29"/>
        <v>40969</v>
      </c>
      <c r="AJ304" s="90">
        <f t="shared" si="30"/>
        <v>148616.32999999999</v>
      </c>
      <c r="AK304" s="90">
        <f t="array" ref="AK304">INDEX($P$31:$P$35,MATCH(AM304&amp;YEAR(AI304),$A$31:$A$35&amp;YEAR($B$31:$B$35),0))</f>
        <v>0</v>
      </c>
      <c r="AL304" s="90" t="s">
        <v>1098</v>
      </c>
      <c r="AM304" s="90" t="str">
        <f t="shared" si="31"/>
        <v>Transfer from Other Funds (370-**)</v>
      </c>
    </row>
    <row r="305" spans="1:39" ht="15.75" x14ac:dyDescent="0.25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5"/>
      <c r="S305" s="95"/>
      <c r="T305" s="95"/>
      <c r="U305" s="95"/>
      <c r="V305" s="95"/>
      <c r="W305" s="95"/>
      <c r="X305" s="95"/>
      <c r="Y305" s="90"/>
      <c r="Z305" s="90"/>
      <c r="AA305" s="90"/>
      <c r="AB305" s="90"/>
      <c r="AC305" s="90"/>
      <c r="AD305" s="90"/>
      <c r="AE305" s="90"/>
      <c r="AF305" s="90"/>
      <c r="AG305" s="90">
        <v>40</v>
      </c>
      <c r="AH305" s="90" t="s">
        <v>1097</v>
      </c>
      <c r="AI305" s="91">
        <f t="shared" si="29"/>
        <v>41000</v>
      </c>
      <c r="AJ305" s="90">
        <f t="shared" si="30"/>
        <v>148616.32999999999</v>
      </c>
      <c r="AK305" s="90">
        <f t="array" ref="AK305">INDEX($P$31:$P$35,MATCH(AM305&amp;YEAR(AI305),$A$31:$A$35&amp;YEAR($B$31:$B$35),0))</f>
        <v>0</v>
      </c>
      <c r="AL305" s="90" t="s">
        <v>1098</v>
      </c>
      <c r="AM305" s="90" t="str">
        <f t="shared" si="31"/>
        <v>Transfer from Other Funds (370-**)</v>
      </c>
    </row>
    <row r="306" spans="1:39" ht="15.75" x14ac:dyDescent="0.25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5"/>
      <c r="S306" s="95"/>
      <c r="T306" s="95"/>
      <c r="U306" s="95"/>
      <c r="V306" s="95"/>
      <c r="W306" s="95"/>
      <c r="X306" s="95"/>
      <c r="Y306" s="90"/>
      <c r="Z306" s="90"/>
      <c r="AA306" s="90"/>
      <c r="AB306" s="90"/>
      <c r="AC306" s="90"/>
      <c r="AD306" s="90"/>
      <c r="AE306" s="90"/>
      <c r="AF306" s="90"/>
      <c r="AG306" s="90">
        <v>41</v>
      </c>
      <c r="AH306" s="90" t="s">
        <v>1097</v>
      </c>
      <c r="AI306" s="91">
        <f t="shared" si="29"/>
        <v>41030</v>
      </c>
      <c r="AJ306" s="90">
        <f t="shared" si="30"/>
        <v>148616.32999999999</v>
      </c>
      <c r="AK306" s="90">
        <f t="array" ref="AK306">INDEX($P$31:$P$35,MATCH(AM306&amp;YEAR(AI306),$A$31:$A$35&amp;YEAR($B$31:$B$35),0))</f>
        <v>0</v>
      </c>
      <c r="AL306" s="90" t="s">
        <v>1098</v>
      </c>
      <c r="AM306" s="90" t="str">
        <f t="shared" si="31"/>
        <v>Transfer from Other Funds (370-**)</v>
      </c>
    </row>
    <row r="307" spans="1:39" ht="15.75" x14ac:dyDescent="0.25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5"/>
      <c r="S307" s="95"/>
      <c r="T307" s="95"/>
      <c r="U307" s="95"/>
      <c r="V307" s="95"/>
      <c r="W307" s="95"/>
      <c r="X307" s="95"/>
      <c r="Y307" s="90"/>
      <c r="Z307" s="90"/>
      <c r="AA307" s="90"/>
      <c r="AB307" s="90"/>
      <c r="AC307" s="90"/>
      <c r="AD307" s="90"/>
      <c r="AE307" s="90"/>
      <c r="AF307" s="90"/>
      <c r="AG307" s="90">
        <v>42</v>
      </c>
      <c r="AH307" s="90" t="s">
        <v>1097</v>
      </c>
      <c r="AI307" s="91">
        <f t="shared" si="29"/>
        <v>41061</v>
      </c>
      <c r="AJ307" s="90">
        <f t="shared" si="30"/>
        <v>148616.32999999999</v>
      </c>
      <c r="AK307" s="90">
        <f t="array" ref="AK307">INDEX($P$31:$P$35,MATCH(AM307&amp;YEAR(AI307),$A$31:$A$35&amp;YEAR($B$31:$B$35),0))</f>
        <v>0</v>
      </c>
      <c r="AL307" s="90" t="s">
        <v>1098</v>
      </c>
      <c r="AM307" s="90" t="str">
        <f t="shared" si="31"/>
        <v>Transfer from Other Funds (370-**)</v>
      </c>
    </row>
    <row r="308" spans="1:39" ht="15.75" x14ac:dyDescent="0.25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5"/>
      <c r="S308" s="95"/>
      <c r="T308" s="95"/>
      <c r="U308" s="95"/>
      <c r="V308" s="95"/>
      <c r="W308" s="95"/>
      <c r="X308" s="95"/>
      <c r="Y308" s="90"/>
      <c r="Z308" s="90"/>
      <c r="AA308" s="90"/>
      <c r="AB308" s="90"/>
      <c r="AC308" s="90"/>
      <c r="AD308" s="90"/>
      <c r="AE308" s="90"/>
      <c r="AF308" s="90"/>
      <c r="AG308" s="90">
        <v>43</v>
      </c>
      <c r="AH308" s="90" t="s">
        <v>1097</v>
      </c>
      <c r="AI308" s="91">
        <f t="shared" si="29"/>
        <v>41091</v>
      </c>
      <c r="AJ308" s="90">
        <f t="shared" si="30"/>
        <v>148616.32999999999</v>
      </c>
      <c r="AK308" s="90">
        <f t="array" ref="AK308">INDEX($P$31:$P$35,MATCH(AM308&amp;YEAR(AI308),$A$31:$A$35&amp;YEAR($B$31:$B$35),0))</f>
        <v>0</v>
      </c>
      <c r="AL308" s="90" t="s">
        <v>1098</v>
      </c>
      <c r="AM308" s="90" t="str">
        <f t="shared" si="31"/>
        <v>Transfer from Other Funds (370-**)</v>
      </c>
    </row>
    <row r="309" spans="1:39" ht="15.75" x14ac:dyDescent="0.25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5"/>
      <c r="S309" s="95"/>
      <c r="T309" s="95"/>
      <c r="U309" s="95"/>
      <c r="V309" s="95"/>
      <c r="W309" s="95"/>
      <c r="X309" s="95"/>
      <c r="Y309" s="90"/>
      <c r="Z309" s="90"/>
      <c r="AA309" s="90"/>
      <c r="AB309" s="90"/>
      <c r="AC309" s="90"/>
      <c r="AD309" s="90"/>
      <c r="AE309" s="90"/>
      <c r="AF309" s="90"/>
      <c r="AG309" s="90">
        <v>44</v>
      </c>
      <c r="AH309" s="90" t="s">
        <v>1097</v>
      </c>
      <c r="AI309" s="91">
        <f t="shared" si="29"/>
        <v>41122</v>
      </c>
      <c r="AJ309" s="90">
        <f t="shared" si="30"/>
        <v>148616.32999999999</v>
      </c>
      <c r="AK309" s="90">
        <f t="array" ref="AK309">INDEX($P$31:$P$35,MATCH(AM309&amp;YEAR(AI309),$A$31:$A$35&amp;YEAR($B$31:$B$35),0))</f>
        <v>0</v>
      </c>
      <c r="AL309" s="90" t="s">
        <v>1098</v>
      </c>
      <c r="AM309" s="90" t="str">
        <f t="shared" si="31"/>
        <v>Transfer from Other Funds (370-**)</v>
      </c>
    </row>
    <row r="310" spans="1:39" ht="15.75" x14ac:dyDescent="0.25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5"/>
      <c r="S310" s="95"/>
      <c r="T310" s="95"/>
      <c r="U310" s="95"/>
      <c r="V310" s="95"/>
      <c r="W310" s="95"/>
      <c r="X310" s="95"/>
      <c r="Y310" s="90"/>
      <c r="Z310" s="90"/>
      <c r="AA310" s="90"/>
      <c r="AB310" s="90"/>
      <c r="AC310" s="90"/>
      <c r="AD310" s="90"/>
      <c r="AE310" s="90"/>
      <c r="AF310" s="90"/>
      <c r="AG310" s="90">
        <v>45</v>
      </c>
      <c r="AH310" s="90" t="s">
        <v>1097</v>
      </c>
      <c r="AI310" s="91">
        <f t="shared" si="29"/>
        <v>41153</v>
      </c>
      <c r="AJ310" s="90">
        <f t="shared" si="30"/>
        <v>148616.32999999999</v>
      </c>
      <c r="AK310" s="90">
        <f t="array" ref="AK310">INDEX($P$31:$P$35,MATCH(AM310&amp;YEAR(AI310),$A$31:$A$35&amp;YEAR($B$31:$B$35),0))</f>
        <v>0</v>
      </c>
      <c r="AL310" s="90" t="s">
        <v>1098</v>
      </c>
      <c r="AM310" s="90" t="str">
        <f t="shared" si="31"/>
        <v>Transfer from Other Funds (370-**)</v>
      </c>
    </row>
    <row r="311" spans="1:39" ht="15.75" x14ac:dyDescent="0.25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5"/>
      <c r="S311" s="95"/>
      <c r="T311" s="95"/>
      <c r="U311" s="95"/>
      <c r="V311" s="95"/>
      <c r="W311" s="95"/>
      <c r="X311" s="95"/>
      <c r="Y311" s="90"/>
      <c r="Z311" s="90"/>
      <c r="AA311" s="90"/>
      <c r="AB311" s="90"/>
      <c r="AC311" s="90"/>
      <c r="AD311" s="90"/>
      <c r="AE311" s="90"/>
      <c r="AF311" s="90"/>
      <c r="AG311" s="90">
        <v>46</v>
      </c>
      <c r="AH311" s="90" t="s">
        <v>1097</v>
      </c>
      <c r="AI311" s="91">
        <f t="shared" si="29"/>
        <v>41183</v>
      </c>
      <c r="AJ311" s="90">
        <f t="shared" si="30"/>
        <v>934685.64</v>
      </c>
      <c r="AK311" s="90">
        <f t="array" ref="AK311">INDEX($P$31:$P$35,MATCH(AM311&amp;YEAR(AI311),$A$31:$A$35&amp;YEAR($B$31:$B$35),0))</f>
        <v>0</v>
      </c>
      <c r="AL311" s="90" t="s">
        <v>1098</v>
      </c>
      <c r="AM311" s="90" t="str">
        <f t="shared" si="31"/>
        <v>Transfer from Other Funds (370-**)</v>
      </c>
    </row>
    <row r="312" spans="1:39" ht="15.75" x14ac:dyDescent="0.25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5"/>
      <c r="S312" s="95"/>
      <c r="T312" s="95"/>
      <c r="U312" s="95"/>
      <c r="V312" s="95"/>
      <c r="W312" s="95"/>
      <c r="X312" s="95"/>
      <c r="Y312" s="90"/>
      <c r="Z312" s="90"/>
      <c r="AA312" s="90"/>
      <c r="AB312" s="90"/>
      <c r="AC312" s="90"/>
      <c r="AD312" s="90"/>
      <c r="AE312" s="90"/>
      <c r="AF312" s="90"/>
      <c r="AG312" s="90">
        <v>47</v>
      </c>
      <c r="AH312" s="90" t="s">
        <v>1097</v>
      </c>
      <c r="AI312" s="91">
        <f t="shared" si="29"/>
        <v>41214</v>
      </c>
      <c r="AJ312" s="90">
        <f t="shared" si="30"/>
        <v>187683.61</v>
      </c>
      <c r="AK312" s="90">
        <f t="array" ref="AK312">INDEX($P$31:$P$35,MATCH(AM312&amp;YEAR(AI312),$A$31:$A$35&amp;YEAR($B$31:$B$35),0))</f>
        <v>0</v>
      </c>
      <c r="AL312" s="90" t="s">
        <v>1098</v>
      </c>
      <c r="AM312" s="90" t="str">
        <f t="shared" si="31"/>
        <v>Transfer from Other Funds (370-**)</v>
      </c>
    </row>
    <row r="313" spans="1:39" ht="15.75" x14ac:dyDescent="0.25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5"/>
      <c r="S313" s="95"/>
      <c r="T313" s="95"/>
      <c r="U313" s="95"/>
      <c r="V313" s="95"/>
      <c r="W313" s="95"/>
      <c r="X313" s="95"/>
      <c r="Y313" s="90"/>
      <c r="Z313" s="90"/>
      <c r="AA313" s="90"/>
      <c r="AB313" s="90"/>
      <c r="AC313" s="90"/>
      <c r="AD313" s="90"/>
      <c r="AE313" s="90"/>
      <c r="AF313" s="90"/>
      <c r="AG313" s="90">
        <v>48</v>
      </c>
      <c r="AH313" s="90" t="s">
        <v>1097</v>
      </c>
      <c r="AI313" s="91">
        <f t="shared" si="29"/>
        <v>41244</v>
      </c>
      <c r="AJ313" s="90">
        <f t="shared" si="30"/>
        <v>187683.61</v>
      </c>
      <c r="AK313" s="90">
        <f t="array" ref="AK313">INDEX($P$31:$P$35,MATCH(AM313&amp;YEAR(AI313),$A$31:$A$35&amp;YEAR($B$31:$B$35),0))</f>
        <v>0</v>
      </c>
      <c r="AL313" s="90" t="s">
        <v>1098</v>
      </c>
      <c r="AM313" s="90" t="str">
        <f t="shared" si="31"/>
        <v>Transfer from Other Funds (370-**)</v>
      </c>
    </row>
    <row r="314" spans="1:39" ht="15.75" x14ac:dyDescent="0.25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5"/>
      <c r="S314" s="95"/>
      <c r="T314" s="95"/>
      <c r="U314" s="95"/>
      <c r="V314" s="95"/>
      <c r="W314" s="95"/>
      <c r="X314" s="95"/>
      <c r="Y314" s="90"/>
      <c r="Z314" s="90"/>
      <c r="AA314" s="90"/>
      <c r="AB314" s="90"/>
      <c r="AC314" s="90"/>
      <c r="AD314" s="90"/>
      <c r="AE314" s="90"/>
      <c r="AF314" s="90"/>
      <c r="AG314" s="90">
        <v>49</v>
      </c>
      <c r="AH314" s="90" t="s">
        <v>1097</v>
      </c>
      <c r="AI314" s="91">
        <f t="shared" si="29"/>
        <v>41275</v>
      </c>
      <c r="AJ314" s="90">
        <f t="shared" si="30"/>
        <v>187683.61</v>
      </c>
      <c r="AK314" s="90">
        <f t="array" ref="AK314">INDEX($P$31:$P$35,MATCH(AM314&amp;YEAR(AI314),$A$31:$A$35&amp;YEAR($B$31:$B$35),0))</f>
        <v>0</v>
      </c>
      <c r="AL314" s="90" t="s">
        <v>1098</v>
      </c>
      <c r="AM314" s="90" t="str">
        <f t="shared" si="31"/>
        <v>Transfer from Other Funds (370-**)</v>
      </c>
    </row>
    <row r="315" spans="1:39" ht="15.75" x14ac:dyDescent="0.25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5"/>
      <c r="S315" s="95"/>
      <c r="T315" s="95"/>
      <c r="U315" s="95"/>
      <c r="V315" s="95"/>
      <c r="W315" s="95"/>
      <c r="X315" s="95"/>
      <c r="Y315" s="90"/>
      <c r="Z315" s="90"/>
      <c r="AA315" s="90"/>
      <c r="AB315" s="90"/>
      <c r="AC315" s="90"/>
      <c r="AD315" s="90"/>
      <c r="AE315" s="90"/>
      <c r="AF315" s="90"/>
      <c r="AG315" s="90">
        <v>50</v>
      </c>
      <c r="AH315" s="90" t="s">
        <v>1097</v>
      </c>
      <c r="AI315" s="91">
        <f t="shared" si="29"/>
        <v>41306</v>
      </c>
      <c r="AJ315" s="90">
        <f t="shared" si="30"/>
        <v>187683.61</v>
      </c>
      <c r="AK315" s="90">
        <f t="array" ref="AK315">INDEX($P$31:$P$35,MATCH(AM315&amp;YEAR(AI315),$A$31:$A$35&amp;YEAR($B$31:$B$35),0))</f>
        <v>0</v>
      </c>
      <c r="AL315" s="90" t="s">
        <v>1098</v>
      </c>
      <c r="AM315" s="90" t="str">
        <f t="shared" si="31"/>
        <v>Transfer from Other Funds (370-**)</v>
      </c>
    </row>
    <row r="316" spans="1:39" ht="15.75" x14ac:dyDescent="0.25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5"/>
      <c r="S316" s="95"/>
      <c r="T316" s="95"/>
      <c r="U316" s="95"/>
      <c r="V316" s="95"/>
      <c r="W316" s="95"/>
      <c r="X316" s="95"/>
      <c r="Y316" s="90"/>
      <c r="Z316" s="90"/>
      <c r="AA316" s="90"/>
      <c r="AB316" s="90"/>
      <c r="AC316" s="90"/>
      <c r="AD316" s="90"/>
      <c r="AE316" s="90"/>
      <c r="AF316" s="90"/>
      <c r="AG316" s="90">
        <v>51</v>
      </c>
      <c r="AH316" s="90" t="s">
        <v>1097</v>
      </c>
      <c r="AI316" s="91">
        <f t="shared" si="29"/>
        <v>41334</v>
      </c>
      <c r="AJ316" s="90">
        <f t="shared" si="30"/>
        <v>188285.53</v>
      </c>
      <c r="AK316" s="90">
        <f t="array" ref="AK316">INDEX($P$31:$P$35,MATCH(AM316&amp;YEAR(AI316),$A$31:$A$35&amp;YEAR($B$31:$B$35),0))</f>
        <v>0</v>
      </c>
      <c r="AL316" s="90" t="s">
        <v>1098</v>
      </c>
      <c r="AM316" s="90" t="str">
        <f t="shared" si="31"/>
        <v>Transfer from Other Funds (370-**)</v>
      </c>
    </row>
    <row r="317" spans="1:39" ht="15.75" x14ac:dyDescent="0.25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5"/>
      <c r="S317" s="95"/>
      <c r="T317" s="95"/>
      <c r="U317" s="95"/>
      <c r="V317" s="95"/>
      <c r="W317" s="95"/>
      <c r="X317" s="95"/>
      <c r="Y317" s="90"/>
      <c r="Z317" s="90"/>
      <c r="AA317" s="90"/>
      <c r="AB317" s="90"/>
      <c r="AC317" s="90"/>
      <c r="AD317" s="90"/>
      <c r="AE317" s="90"/>
      <c r="AF317" s="90"/>
      <c r="AG317" s="90">
        <v>52</v>
      </c>
      <c r="AH317" s="90" t="s">
        <v>1097</v>
      </c>
      <c r="AI317" s="91">
        <f t="shared" si="29"/>
        <v>41365</v>
      </c>
      <c r="AJ317" s="90">
        <f t="shared" si="30"/>
        <v>188285.53</v>
      </c>
      <c r="AK317" s="90">
        <f t="array" ref="AK317">INDEX($P$31:$P$35,MATCH(AM317&amp;YEAR(AI317),$A$31:$A$35&amp;YEAR($B$31:$B$35),0))</f>
        <v>0</v>
      </c>
      <c r="AL317" s="90" t="s">
        <v>1098</v>
      </c>
      <c r="AM317" s="90" t="str">
        <f t="shared" si="31"/>
        <v>Transfer from Other Funds (370-**)</v>
      </c>
    </row>
    <row r="318" spans="1:39" ht="15.75" x14ac:dyDescent="0.25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5"/>
      <c r="S318" s="95"/>
      <c r="T318" s="95"/>
      <c r="U318" s="95"/>
      <c r="V318" s="95"/>
      <c r="W318" s="95"/>
      <c r="X318" s="95"/>
      <c r="Y318" s="90"/>
      <c r="Z318" s="90"/>
      <c r="AA318" s="90"/>
      <c r="AB318" s="90"/>
      <c r="AC318" s="90"/>
      <c r="AD318" s="90"/>
      <c r="AE318" s="90"/>
      <c r="AF318" s="90"/>
      <c r="AG318" s="90">
        <v>53</v>
      </c>
      <c r="AH318" s="90" t="s">
        <v>1097</v>
      </c>
      <c r="AI318" s="91">
        <f t="shared" si="29"/>
        <v>41395</v>
      </c>
      <c r="AJ318" s="90">
        <f t="shared" si="30"/>
        <v>188285.53</v>
      </c>
      <c r="AK318" s="90">
        <f t="array" ref="AK318">INDEX($P$31:$P$35,MATCH(AM318&amp;YEAR(AI318),$A$31:$A$35&amp;YEAR($B$31:$B$35),0))</f>
        <v>0</v>
      </c>
      <c r="AL318" s="90" t="s">
        <v>1098</v>
      </c>
      <c r="AM318" s="90" t="str">
        <f t="shared" si="31"/>
        <v>Transfer from Other Funds (370-**)</v>
      </c>
    </row>
    <row r="319" spans="1:39" ht="15.75" x14ac:dyDescent="0.25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5"/>
      <c r="S319" s="95"/>
      <c r="T319" s="95"/>
      <c r="U319" s="95"/>
      <c r="V319" s="95"/>
      <c r="W319" s="95"/>
      <c r="X319" s="95"/>
      <c r="Y319" s="90"/>
      <c r="Z319" s="90"/>
      <c r="AA319" s="90"/>
      <c r="AB319" s="90"/>
      <c r="AC319" s="90"/>
      <c r="AD319" s="90"/>
      <c r="AE319" s="90"/>
      <c r="AF319" s="90"/>
      <c r="AG319" s="90">
        <v>54</v>
      </c>
      <c r="AH319" s="90" t="s">
        <v>1097</v>
      </c>
      <c r="AI319" s="91">
        <f t="shared" si="29"/>
        <v>41426</v>
      </c>
      <c r="AJ319" s="90">
        <f t="shared" si="30"/>
        <v>0</v>
      </c>
      <c r="AK319" s="90">
        <f t="array" ref="AK319">INDEX($P$31:$P$35,MATCH(AM319&amp;YEAR(AI319),$A$31:$A$35&amp;YEAR($B$31:$B$35),0))</f>
        <v>0</v>
      </c>
      <c r="AL319" s="90" t="s">
        <v>1098</v>
      </c>
      <c r="AM319" s="90" t="str">
        <f t="shared" si="31"/>
        <v>Transfer from Other Funds (370-**)</v>
      </c>
    </row>
    <row r="320" spans="1:39" ht="15.75" x14ac:dyDescent="0.25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5"/>
      <c r="S320" s="95"/>
      <c r="T320" s="95"/>
      <c r="U320" s="95"/>
      <c r="V320" s="95"/>
      <c r="W320" s="95"/>
      <c r="X320" s="95"/>
      <c r="Y320" s="90"/>
      <c r="Z320" s="90"/>
      <c r="AA320" s="90"/>
      <c r="AB320" s="90"/>
      <c r="AC320" s="90"/>
      <c r="AD320" s="90"/>
      <c r="AE320" s="90"/>
      <c r="AF320" s="90"/>
      <c r="AG320" s="90">
        <v>55</v>
      </c>
      <c r="AH320" s="90" t="s">
        <v>1097</v>
      </c>
      <c r="AI320" s="91">
        <f t="shared" si="29"/>
        <v>41456</v>
      </c>
      <c r="AJ320" s="90">
        <f t="shared" si="30"/>
        <v>0</v>
      </c>
      <c r="AK320" s="90">
        <f t="array" ref="AK320">INDEX($P$31:$P$35,MATCH(AM320&amp;YEAR(AI320),$A$31:$A$35&amp;YEAR($B$31:$B$35),0))</f>
        <v>0</v>
      </c>
      <c r="AL320" s="90" t="s">
        <v>1098</v>
      </c>
      <c r="AM320" s="90" t="str">
        <f t="shared" si="31"/>
        <v>Transfer from Other Funds (370-**)</v>
      </c>
    </row>
    <row r="321" spans="1:39" ht="15.75" x14ac:dyDescent="0.25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5"/>
      <c r="S321" s="95"/>
      <c r="T321" s="95"/>
      <c r="U321" s="95"/>
      <c r="V321" s="95"/>
      <c r="W321" s="95"/>
      <c r="X321" s="95"/>
      <c r="Y321" s="90"/>
      <c r="Z321" s="90"/>
      <c r="AA321" s="90"/>
      <c r="AB321" s="90"/>
      <c r="AC321" s="90"/>
      <c r="AD321" s="90"/>
      <c r="AE321" s="90"/>
      <c r="AF321" s="90"/>
      <c r="AG321" s="90">
        <v>56</v>
      </c>
      <c r="AH321" s="90" t="s">
        <v>1097</v>
      </c>
      <c r="AI321" s="91">
        <f t="shared" si="29"/>
        <v>41487</v>
      </c>
      <c r="AJ321" s="90">
        <f t="shared" si="30"/>
        <v>0</v>
      </c>
      <c r="AK321" s="90">
        <f t="array" ref="AK321">INDEX($P$31:$P$35,MATCH(AM321&amp;YEAR(AI321),$A$31:$A$35&amp;YEAR($B$31:$B$35),0))</f>
        <v>0</v>
      </c>
      <c r="AL321" s="90" t="s">
        <v>1098</v>
      </c>
      <c r="AM321" s="90" t="str">
        <f t="shared" si="31"/>
        <v>Transfer from Other Funds (370-**)</v>
      </c>
    </row>
    <row r="322" spans="1:39" ht="15.75" x14ac:dyDescent="0.25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5"/>
      <c r="S322" s="95"/>
      <c r="T322" s="95"/>
      <c r="U322" s="95"/>
      <c r="V322" s="95"/>
      <c r="W322" s="95"/>
      <c r="X322" s="95"/>
      <c r="Y322" s="90"/>
      <c r="Z322" s="90"/>
      <c r="AA322" s="90"/>
      <c r="AB322" s="90"/>
      <c r="AC322" s="90"/>
      <c r="AD322" s="90"/>
      <c r="AE322" s="90"/>
      <c r="AF322" s="90"/>
      <c r="AG322" s="90">
        <v>57</v>
      </c>
      <c r="AH322" s="90" t="s">
        <v>1097</v>
      </c>
      <c r="AI322" s="91">
        <f t="shared" si="29"/>
        <v>41518</v>
      </c>
      <c r="AJ322" s="90">
        <f t="shared" si="30"/>
        <v>0</v>
      </c>
      <c r="AK322" s="90">
        <f t="array" ref="AK322">INDEX($P$31:$P$35,MATCH(AM322&amp;YEAR(AI322),$A$31:$A$35&amp;YEAR($B$31:$B$35),0))</f>
        <v>0</v>
      </c>
      <c r="AL322" s="90" t="s">
        <v>1098</v>
      </c>
      <c r="AM322" s="90" t="str">
        <f t="shared" si="31"/>
        <v>Transfer from Other Funds (370-**)</v>
      </c>
    </row>
    <row r="323" spans="1:39" ht="15.75" x14ac:dyDescent="0.25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5"/>
      <c r="S323" s="95"/>
      <c r="T323" s="95"/>
      <c r="U323" s="95"/>
      <c r="V323" s="95"/>
      <c r="W323" s="95"/>
      <c r="X323" s="95"/>
      <c r="Y323" s="90"/>
      <c r="Z323" s="90"/>
      <c r="AA323" s="90"/>
      <c r="AB323" s="90"/>
      <c r="AC323" s="90"/>
      <c r="AD323" s="90"/>
      <c r="AE323" s="90"/>
      <c r="AF323" s="90"/>
      <c r="AG323" s="90">
        <v>58</v>
      </c>
      <c r="AH323" s="90" t="s">
        <v>1097</v>
      </c>
      <c r="AI323" s="91">
        <f t="shared" si="29"/>
        <v>41548</v>
      </c>
      <c r="AJ323" s="90">
        <f t="shared" si="30"/>
        <v>0</v>
      </c>
      <c r="AK323" s="90">
        <f t="array" ref="AK323">INDEX($P$31:$P$35,MATCH(AM323&amp;YEAR(AI323),$A$31:$A$35&amp;YEAR($B$31:$B$35),0))</f>
        <v>0</v>
      </c>
      <c r="AL323" s="90" t="s">
        <v>1098</v>
      </c>
      <c r="AM323" s="90" t="str">
        <f t="shared" si="31"/>
        <v>Transfer from Other Funds (370-**)</v>
      </c>
    </row>
    <row r="324" spans="1:39" ht="15.75" x14ac:dyDescent="0.25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5"/>
      <c r="S324" s="95"/>
      <c r="T324" s="95"/>
      <c r="U324" s="95"/>
      <c r="V324" s="95"/>
      <c r="W324" s="95"/>
      <c r="X324" s="95"/>
      <c r="Y324" s="90"/>
      <c r="Z324" s="90"/>
      <c r="AA324" s="90"/>
      <c r="AB324" s="90"/>
      <c r="AC324" s="90"/>
      <c r="AD324" s="90"/>
      <c r="AE324" s="90"/>
      <c r="AF324" s="90"/>
      <c r="AG324" s="90">
        <v>59</v>
      </c>
      <c r="AH324" s="90" t="s">
        <v>1097</v>
      </c>
      <c r="AI324" s="91">
        <f t="shared" si="29"/>
        <v>41579</v>
      </c>
      <c r="AJ324" s="90">
        <f t="shared" si="30"/>
        <v>0</v>
      </c>
      <c r="AK324" s="90">
        <f t="array" ref="AK324">INDEX($P$31:$P$35,MATCH(AM324&amp;YEAR(AI324),$A$31:$A$35&amp;YEAR($B$31:$B$35),0))</f>
        <v>0</v>
      </c>
      <c r="AL324" s="90" t="s">
        <v>1098</v>
      </c>
      <c r="AM324" s="90" t="str">
        <f t="shared" si="31"/>
        <v>Transfer from Other Funds (370-**)</v>
      </c>
    </row>
    <row r="325" spans="1:39" ht="15.75" x14ac:dyDescent="0.25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5"/>
      <c r="S325" s="95"/>
      <c r="T325" s="95"/>
      <c r="U325" s="95"/>
      <c r="V325" s="95"/>
      <c r="W325" s="95"/>
      <c r="X325" s="95"/>
      <c r="Y325" s="90"/>
      <c r="Z325" s="90"/>
      <c r="AA325" s="90"/>
      <c r="AB325" s="90"/>
      <c r="AC325" s="90"/>
      <c r="AD325" s="90"/>
      <c r="AE325" s="90"/>
      <c r="AF325" s="90"/>
      <c r="AG325" s="90">
        <v>60</v>
      </c>
      <c r="AH325" s="90" t="s">
        <v>1097</v>
      </c>
      <c r="AI325" s="91">
        <f t="shared" si="29"/>
        <v>41609</v>
      </c>
      <c r="AJ325" s="90">
        <f t="shared" si="30"/>
        <v>0</v>
      </c>
      <c r="AK325" s="90">
        <f t="array" ref="AK325">INDEX($P$31:$P$35,MATCH(AM325&amp;YEAR(AI325),$A$31:$A$35&amp;YEAR($B$31:$B$35),0))</f>
        <v>0</v>
      </c>
      <c r="AL325" s="90" t="s">
        <v>1098</v>
      </c>
      <c r="AM325" s="90" t="str">
        <f t="shared" si="31"/>
        <v>Transfer from Other Funds (370-**)</v>
      </c>
    </row>
    <row r="326" spans="1:39" ht="15.75" x14ac:dyDescent="0.25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5"/>
      <c r="S326" s="95"/>
      <c r="T326" s="95"/>
      <c r="U326" s="95"/>
      <c r="V326" s="95"/>
      <c r="W326" s="95"/>
      <c r="X326" s="95"/>
      <c r="Y326" s="90"/>
      <c r="Z326" s="90"/>
      <c r="AA326" s="90"/>
      <c r="AB326" s="90"/>
      <c r="AC326" s="90"/>
      <c r="AD326" s="90"/>
      <c r="AE326" s="90"/>
      <c r="AF326" s="90">
        <f>4*12</f>
        <v>48</v>
      </c>
      <c r="AG326" s="90">
        <v>1</v>
      </c>
      <c r="AH326" s="90" t="s">
        <v>1097</v>
      </c>
      <c r="AI326" s="91">
        <f t="shared" ref="AI326:AI373" si="32">DATE(YEAR(INDEX($B$41:$N$45,INT((AG326+11)/12)+1,1)),IF(MOD(AG326,12)&lt;&gt;0,MOD(AG326,12),12),1)</f>
        <v>40909</v>
      </c>
      <c r="AJ326" s="90">
        <f t="shared" ref="AJ326:AJ373" si="33">INDEX($C$42:$N$45,INT((AG326+11)/12),AG326-(12*(INT((AG326+11)/12)-1)))</f>
        <v>0</v>
      </c>
      <c r="AK326" s="90">
        <f t="array" ref="AK326">INDEX($P$42:$P$45,MATCH(AM326&amp;YEAR(AI326),$A$42:$A$45&amp;YEAR($B$42:$B$45),0))</f>
        <v>0</v>
      </c>
      <c r="AL326" s="90" t="s">
        <v>1096</v>
      </c>
      <c r="AM326" s="90" t="str">
        <f t="shared" ref="AM326:AM373" si="34">INDEX($A$42:$A$45,INT((AG326+11)/12))</f>
        <v>Interest Earnings (361-*)</v>
      </c>
    </row>
    <row r="327" spans="1:39" ht="15.75" x14ac:dyDescent="0.25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5"/>
      <c r="S327" s="95"/>
      <c r="T327" s="95"/>
      <c r="U327" s="95"/>
      <c r="V327" s="95"/>
      <c r="W327" s="95"/>
      <c r="X327" s="95"/>
      <c r="Y327" s="90"/>
      <c r="Z327" s="90"/>
      <c r="AA327" s="90"/>
      <c r="AB327" s="90"/>
      <c r="AC327" s="90"/>
      <c r="AD327" s="90"/>
      <c r="AE327" s="90"/>
      <c r="AF327" s="90"/>
      <c r="AG327" s="90">
        <v>2</v>
      </c>
      <c r="AH327" s="90" t="s">
        <v>1097</v>
      </c>
      <c r="AI327" s="91">
        <f t="shared" si="32"/>
        <v>40940</v>
      </c>
      <c r="AJ327" s="90">
        <f t="shared" si="33"/>
        <v>0</v>
      </c>
      <c r="AK327" s="90">
        <f t="array" ref="AK327">INDEX($P$42:$P$45,MATCH(AM327&amp;YEAR(AI327),$A$42:$A$45&amp;YEAR($B$42:$B$45),0))</f>
        <v>0</v>
      </c>
      <c r="AL327" s="90" t="s">
        <v>1096</v>
      </c>
      <c r="AM327" s="90" t="str">
        <f t="shared" si="34"/>
        <v>Interest Earnings (361-*)</v>
      </c>
    </row>
    <row r="328" spans="1:39" ht="15.75" x14ac:dyDescent="0.25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5"/>
      <c r="S328" s="95"/>
      <c r="T328" s="95"/>
      <c r="U328" s="95"/>
      <c r="V328" s="95"/>
      <c r="W328" s="95"/>
      <c r="X328" s="95"/>
      <c r="Y328" s="90"/>
      <c r="Z328" s="90"/>
      <c r="AA328" s="90"/>
      <c r="AB328" s="90"/>
      <c r="AC328" s="90"/>
      <c r="AD328" s="90"/>
      <c r="AE328" s="90"/>
      <c r="AF328" s="90"/>
      <c r="AG328" s="90">
        <v>3</v>
      </c>
      <c r="AH328" s="90" t="s">
        <v>1097</v>
      </c>
      <c r="AI328" s="91">
        <f t="shared" si="32"/>
        <v>40969</v>
      </c>
      <c r="AJ328" s="90">
        <f t="shared" si="33"/>
        <v>0</v>
      </c>
      <c r="AK328" s="90">
        <f t="array" ref="AK328">INDEX($P$42:$P$45,MATCH(AM328&amp;YEAR(AI328),$A$42:$A$45&amp;YEAR($B$42:$B$45),0))</f>
        <v>0</v>
      </c>
      <c r="AL328" s="90" t="s">
        <v>1096</v>
      </c>
      <c r="AM328" s="90" t="str">
        <f t="shared" si="34"/>
        <v>Interest Earnings (361-*)</v>
      </c>
    </row>
    <row r="329" spans="1:39" ht="15.75" x14ac:dyDescent="0.25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5"/>
      <c r="S329" s="95"/>
      <c r="T329" s="95"/>
      <c r="U329" s="95"/>
      <c r="V329" s="95"/>
      <c r="W329" s="95"/>
      <c r="X329" s="95"/>
      <c r="Y329" s="90"/>
      <c r="Z329" s="90"/>
      <c r="AA329" s="90"/>
      <c r="AB329" s="90"/>
      <c r="AC329" s="90"/>
      <c r="AD329" s="90"/>
      <c r="AE329" s="90"/>
      <c r="AF329" s="90"/>
      <c r="AG329" s="90">
        <v>4</v>
      </c>
      <c r="AH329" s="90" t="s">
        <v>1097</v>
      </c>
      <c r="AI329" s="91">
        <f t="shared" si="32"/>
        <v>41000</v>
      </c>
      <c r="AJ329" s="90">
        <f t="shared" si="33"/>
        <v>0</v>
      </c>
      <c r="AK329" s="90">
        <f t="array" ref="AK329">INDEX($P$42:$P$45,MATCH(AM329&amp;YEAR(AI329),$A$42:$A$45&amp;YEAR($B$42:$B$45),0))</f>
        <v>0</v>
      </c>
      <c r="AL329" s="90" t="s">
        <v>1096</v>
      </c>
      <c r="AM329" s="90" t="str">
        <f t="shared" si="34"/>
        <v>Interest Earnings (361-*)</v>
      </c>
    </row>
    <row r="330" spans="1:39" ht="15.75" x14ac:dyDescent="0.25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5"/>
      <c r="S330" s="95"/>
      <c r="T330" s="95"/>
      <c r="U330" s="95"/>
      <c r="V330" s="95"/>
      <c r="W330" s="95"/>
      <c r="X330" s="95"/>
      <c r="Y330" s="90"/>
      <c r="Z330" s="90"/>
      <c r="AA330" s="90"/>
      <c r="AB330" s="90"/>
      <c r="AC330" s="90"/>
      <c r="AD330" s="90"/>
      <c r="AE330" s="90"/>
      <c r="AF330" s="90"/>
      <c r="AG330" s="90">
        <v>5</v>
      </c>
      <c r="AH330" s="90" t="s">
        <v>1097</v>
      </c>
      <c r="AI330" s="91">
        <f t="shared" si="32"/>
        <v>41030</v>
      </c>
      <c r="AJ330" s="90">
        <f t="shared" si="33"/>
        <v>0</v>
      </c>
      <c r="AK330" s="90">
        <f t="array" ref="AK330">INDEX($P$42:$P$45,MATCH(AM330&amp;YEAR(AI330),$A$42:$A$45&amp;YEAR($B$42:$B$45),0))</f>
        <v>0</v>
      </c>
      <c r="AL330" s="90" t="s">
        <v>1096</v>
      </c>
      <c r="AM330" s="90" t="str">
        <f t="shared" si="34"/>
        <v>Interest Earnings (361-*)</v>
      </c>
    </row>
    <row r="331" spans="1:39" ht="15.75" x14ac:dyDescent="0.25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5"/>
      <c r="S331" s="95"/>
      <c r="T331" s="95"/>
      <c r="U331" s="95"/>
      <c r="V331" s="95"/>
      <c r="W331" s="95"/>
      <c r="X331" s="95"/>
      <c r="Y331" s="90"/>
      <c r="Z331" s="90"/>
      <c r="AA331" s="90"/>
      <c r="AB331" s="90"/>
      <c r="AC331" s="90"/>
      <c r="AD331" s="90"/>
      <c r="AE331" s="90"/>
      <c r="AF331" s="90"/>
      <c r="AG331" s="90">
        <v>6</v>
      </c>
      <c r="AH331" s="90" t="s">
        <v>1097</v>
      </c>
      <c r="AI331" s="91">
        <f t="shared" si="32"/>
        <v>41061</v>
      </c>
      <c r="AJ331" s="90">
        <f t="shared" si="33"/>
        <v>0</v>
      </c>
      <c r="AK331" s="90">
        <f t="array" ref="AK331">INDEX($P$42:$P$45,MATCH(AM331&amp;YEAR(AI331),$A$42:$A$45&amp;YEAR($B$42:$B$45),0))</f>
        <v>0</v>
      </c>
      <c r="AL331" s="90" t="s">
        <v>1096</v>
      </c>
      <c r="AM331" s="90" t="str">
        <f t="shared" si="34"/>
        <v>Interest Earnings (361-*)</v>
      </c>
    </row>
    <row r="332" spans="1:39" ht="15.75" x14ac:dyDescent="0.25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5"/>
      <c r="S332" s="95"/>
      <c r="T332" s="95"/>
      <c r="U332" s="95"/>
      <c r="V332" s="95"/>
      <c r="W332" s="95"/>
      <c r="X332" s="95"/>
      <c r="Y332" s="90"/>
      <c r="Z332" s="90"/>
      <c r="AA332" s="90"/>
      <c r="AB332" s="90"/>
      <c r="AC332" s="90"/>
      <c r="AD332" s="90"/>
      <c r="AE332" s="90"/>
      <c r="AF332" s="90"/>
      <c r="AG332" s="90">
        <v>7</v>
      </c>
      <c r="AH332" s="90" t="s">
        <v>1097</v>
      </c>
      <c r="AI332" s="91">
        <f t="shared" si="32"/>
        <v>41091</v>
      </c>
      <c r="AJ332" s="90">
        <f t="shared" si="33"/>
        <v>0</v>
      </c>
      <c r="AK332" s="90">
        <f t="array" ref="AK332">INDEX($P$42:$P$45,MATCH(AM332&amp;YEAR(AI332),$A$42:$A$45&amp;YEAR($B$42:$B$45),0))</f>
        <v>0</v>
      </c>
      <c r="AL332" s="90" t="s">
        <v>1096</v>
      </c>
      <c r="AM332" s="90" t="str">
        <f t="shared" si="34"/>
        <v>Interest Earnings (361-*)</v>
      </c>
    </row>
    <row r="333" spans="1:39" ht="15.75" x14ac:dyDescent="0.25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5"/>
      <c r="S333" s="95"/>
      <c r="T333" s="95"/>
      <c r="U333" s="95"/>
      <c r="V333" s="95"/>
      <c r="W333" s="95"/>
      <c r="X333" s="95"/>
      <c r="Y333" s="90"/>
      <c r="Z333" s="90"/>
      <c r="AA333" s="90"/>
      <c r="AB333" s="90"/>
      <c r="AC333" s="90"/>
      <c r="AD333" s="90"/>
      <c r="AE333" s="90"/>
      <c r="AF333" s="90"/>
      <c r="AG333" s="90">
        <v>8</v>
      </c>
      <c r="AH333" s="90" t="s">
        <v>1097</v>
      </c>
      <c r="AI333" s="91">
        <f t="shared" si="32"/>
        <v>41122</v>
      </c>
      <c r="AJ333" s="90">
        <f t="shared" si="33"/>
        <v>0</v>
      </c>
      <c r="AK333" s="90">
        <f t="array" ref="AK333">INDEX($P$42:$P$45,MATCH(AM333&amp;YEAR(AI333),$A$42:$A$45&amp;YEAR($B$42:$B$45),0))</f>
        <v>0</v>
      </c>
      <c r="AL333" s="90" t="s">
        <v>1096</v>
      </c>
      <c r="AM333" s="90" t="str">
        <f t="shared" si="34"/>
        <v>Interest Earnings (361-*)</v>
      </c>
    </row>
    <row r="334" spans="1:39" ht="15.75" x14ac:dyDescent="0.25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5"/>
      <c r="S334" s="95"/>
      <c r="T334" s="95"/>
      <c r="U334" s="95"/>
      <c r="V334" s="95"/>
      <c r="W334" s="95"/>
      <c r="X334" s="95"/>
      <c r="Y334" s="90"/>
      <c r="Z334" s="90"/>
      <c r="AA334" s="90"/>
      <c r="AB334" s="90"/>
      <c r="AC334" s="90"/>
      <c r="AD334" s="90"/>
      <c r="AE334" s="90"/>
      <c r="AF334" s="90"/>
      <c r="AG334" s="90">
        <v>9</v>
      </c>
      <c r="AH334" s="90" t="s">
        <v>1097</v>
      </c>
      <c r="AI334" s="91">
        <f t="shared" si="32"/>
        <v>41153</v>
      </c>
      <c r="AJ334" s="90">
        <f t="shared" si="33"/>
        <v>0</v>
      </c>
      <c r="AK334" s="90">
        <f t="array" ref="AK334">INDEX($P$42:$P$45,MATCH(AM334&amp;YEAR(AI334),$A$42:$A$45&amp;YEAR($B$42:$B$45),0))</f>
        <v>0</v>
      </c>
      <c r="AL334" s="90" t="s">
        <v>1096</v>
      </c>
      <c r="AM334" s="90" t="str">
        <f t="shared" si="34"/>
        <v>Interest Earnings (361-*)</v>
      </c>
    </row>
    <row r="335" spans="1:39" ht="15.75" x14ac:dyDescent="0.25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5"/>
      <c r="S335" s="95"/>
      <c r="T335" s="95"/>
      <c r="U335" s="95"/>
      <c r="V335" s="95"/>
      <c r="W335" s="95"/>
      <c r="X335" s="95"/>
      <c r="Y335" s="90"/>
      <c r="Z335" s="90"/>
      <c r="AA335" s="90"/>
      <c r="AB335" s="90"/>
      <c r="AC335" s="90"/>
      <c r="AD335" s="90"/>
      <c r="AE335" s="90"/>
      <c r="AF335" s="90"/>
      <c r="AG335" s="90">
        <v>10</v>
      </c>
      <c r="AH335" s="90" t="s">
        <v>1097</v>
      </c>
      <c r="AI335" s="91">
        <f t="shared" si="32"/>
        <v>41183</v>
      </c>
      <c r="AJ335" s="90">
        <f t="shared" si="33"/>
        <v>0</v>
      </c>
      <c r="AK335" s="90">
        <f t="array" ref="AK335">INDEX($P$42:$P$45,MATCH(AM335&amp;YEAR(AI335),$A$42:$A$45&amp;YEAR($B$42:$B$45),0))</f>
        <v>0</v>
      </c>
      <c r="AL335" s="90" t="s">
        <v>1096</v>
      </c>
      <c r="AM335" s="90" t="str">
        <f t="shared" si="34"/>
        <v>Interest Earnings (361-*)</v>
      </c>
    </row>
    <row r="336" spans="1:39" ht="15.75" x14ac:dyDescent="0.25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5"/>
      <c r="S336" s="95"/>
      <c r="T336" s="95"/>
      <c r="U336" s="95"/>
      <c r="V336" s="95"/>
      <c r="W336" s="95"/>
      <c r="X336" s="95"/>
      <c r="Y336" s="90"/>
      <c r="Z336" s="90"/>
      <c r="AA336" s="90"/>
      <c r="AB336" s="90"/>
      <c r="AC336" s="90"/>
      <c r="AD336" s="90"/>
      <c r="AE336" s="90"/>
      <c r="AF336" s="90"/>
      <c r="AG336" s="90">
        <v>11</v>
      </c>
      <c r="AH336" s="90" t="s">
        <v>1097</v>
      </c>
      <c r="AI336" s="91">
        <f t="shared" si="32"/>
        <v>41214</v>
      </c>
      <c r="AJ336" s="90">
        <f t="shared" si="33"/>
        <v>5915.68</v>
      </c>
      <c r="AK336" s="90">
        <f t="array" ref="AK336">INDEX($P$42:$P$45,MATCH(AM336&amp;YEAR(AI336),$A$42:$A$45&amp;YEAR($B$42:$B$45),0))</f>
        <v>0</v>
      </c>
      <c r="AL336" s="90" t="s">
        <v>1096</v>
      </c>
      <c r="AM336" s="90" t="str">
        <f t="shared" si="34"/>
        <v>Interest Earnings (361-*)</v>
      </c>
    </row>
    <row r="337" spans="1:39" ht="15.75" x14ac:dyDescent="0.25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5"/>
      <c r="S337" s="95"/>
      <c r="T337" s="95"/>
      <c r="U337" s="95"/>
      <c r="V337" s="95"/>
      <c r="W337" s="95"/>
      <c r="X337" s="95"/>
      <c r="Y337" s="90"/>
      <c r="Z337" s="90"/>
      <c r="AA337" s="90"/>
      <c r="AB337" s="90"/>
      <c r="AC337" s="90"/>
      <c r="AD337" s="90"/>
      <c r="AE337" s="90"/>
      <c r="AF337" s="90"/>
      <c r="AG337" s="90">
        <v>12</v>
      </c>
      <c r="AH337" s="90" t="s">
        <v>1097</v>
      </c>
      <c r="AI337" s="91">
        <f t="shared" si="32"/>
        <v>41244</v>
      </c>
      <c r="AJ337" s="90">
        <f t="shared" si="33"/>
        <v>6593.04</v>
      </c>
      <c r="AK337" s="90">
        <f t="array" ref="AK337">INDEX($P$42:$P$45,MATCH(AM337&amp;YEAR(AI337),$A$42:$A$45&amp;YEAR($B$42:$B$45),0))</f>
        <v>0</v>
      </c>
      <c r="AL337" s="90" t="s">
        <v>1096</v>
      </c>
      <c r="AM337" s="90" t="str">
        <f t="shared" si="34"/>
        <v>Interest Earnings (361-*)</v>
      </c>
    </row>
    <row r="338" spans="1:39" ht="15.75" x14ac:dyDescent="0.25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5"/>
      <c r="S338" s="95"/>
      <c r="T338" s="95"/>
      <c r="U338" s="95"/>
      <c r="V338" s="95"/>
      <c r="W338" s="95"/>
      <c r="X338" s="95"/>
      <c r="Y338" s="90"/>
      <c r="Z338" s="90"/>
      <c r="AA338" s="90"/>
      <c r="AB338" s="90"/>
      <c r="AC338" s="90"/>
      <c r="AD338" s="90"/>
      <c r="AE338" s="90"/>
      <c r="AF338" s="90"/>
      <c r="AG338" s="90">
        <v>13</v>
      </c>
      <c r="AH338" s="90" t="s">
        <v>1097</v>
      </c>
      <c r="AI338" s="91">
        <f t="shared" si="32"/>
        <v>41275</v>
      </c>
      <c r="AJ338" s="90">
        <f t="shared" si="33"/>
        <v>1042.33</v>
      </c>
      <c r="AK338" s="90">
        <f t="array" ref="AK338">INDEX($P$42:$P$45,MATCH(AM338&amp;YEAR(AI338),$A$42:$A$45&amp;YEAR($B$42:$B$45),0))</f>
        <v>0</v>
      </c>
      <c r="AL338" s="90" t="s">
        <v>1096</v>
      </c>
      <c r="AM338" s="90" t="str">
        <f t="shared" si="34"/>
        <v>Interest Earnings (361-*)</v>
      </c>
    </row>
    <row r="339" spans="1:39" ht="15.75" x14ac:dyDescent="0.25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5"/>
      <c r="S339" s="95"/>
      <c r="T339" s="95"/>
      <c r="U339" s="95"/>
      <c r="V339" s="95"/>
      <c r="W339" s="95"/>
      <c r="X339" s="95"/>
      <c r="Y339" s="90"/>
      <c r="Z339" s="90"/>
      <c r="AA339" s="90"/>
      <c r="AB339" s="90"/>
      <c r="AC339" s="90"/>
      <c r="AD339" s="90"/>
      <c r="AE339" s="90"/>
      <c r="AF339" s="90"/>
      <c r="AG339" s="90">
        <v>14</v>
      </c>
      <c r="AH339" s="90" t="s">
        <v>1097</v>
      </c>
      <c r="AI339" s="91">
        <f t="shared" si="32"/>
        <v>41306</v>
      </c>
      <c r="AJ339" s="90">
        <f t="shared" si="33"/>
        <v>874.1</v>
      </c>
      <c r="AK339" s="90">
        <f t="array" ref="AK339">INDEX($P$42:$P$45,MATCH(AM339&amp;YEAR(AI339),$A$42:$A$45&amp;YEAR($B$42:$B$45),0))</f>
        <v>0</v>
      </c>
      <c r="AL339" s="90" t="s">
        <v>1096</v>
      </c>
      <c r="AM339" s="90" t="str">
        <f t="shared" si="34"/>
        <v>Interest Earnings (361-*)</v>
      </c>
    </row>
    <row r="340" spans="1:39" ht="15.75" x14ac:dyDescent="0.25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5"/>
      <c r="S340" s="95"/>
      <c r="T340" s="95"/>
      <c r="U340" s="95"/>
      <c r="V340" s="95"/>
      <c r="W340" s="95"/>
      <c r="X340" s="95"/>
      <c r="Y340" s="90"/>
      <c r="Z340" s="90"/>
      <c r="AA340" s="90"/>
      <c r="AB340" s="90"/>
      <c r="AC340" s="90"/>
      <c r="AD340" s="90"/>
      <c r="AE340" s="90"/>
      <c r="AF340" s="90"/>
      <c r="AG340" s="90">
        <v>15</v>
      </c>
      <c r="AH340" s="90" t="s">
        <v>1097</v>
      </c>
      <c r="AI340" s="91">
        <f t="shared" si="32"/>
        <v>41334</v>
      </c>
      <c r="AJ340" s="90">
        <f t="shared" si="33"/>
        <v>871.01</v>
      </c>
      <c r="AK340" s="90">
        <f t="array" ref="AK340">INDEX($P$42:$P$45,MATCH(AM340&amp;YEAR(AI340),$A$42:$A$45&amp;YEAR($B$42:$B$45),0))</f>
        <v>0</v>
      </c>
      <c r="AL340" s="90" t="s">
        <v>1096</v>
      </c>
      <c r="AM340" s="90" t="str">
        <f t="shared" si="34"/>
        <v>Interest Earnings (361-*)</v>
      </c>
    </row>
    <row r="341" spans="1:39" ht="15.75" x14ac:dyDescent="0.25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5"/>
      <c r="S341" s="95"/>
      <c r="T341" s="95"/>
      <c r="U341" s="95"/>
      <c r="V341" s="95"/>
      <c r="W341" s="95"/>
      <c r="X341" s="95"/>
      <c r="Y341" s="90"/>
      <c r="Z341" s="90"/>
      <c r="AA341" s="90"/>
      <c r="AB341" s="90"/>
      <c r="AC341" s="90"/>
      <c r="AD341" s="90"/>
      <c r="AE341" s="90"/>
      <c r="AF341" s="90"/>
      <c r="AG341" s="90">
        <v>16</v>
      </c>
      <c r="AH341" s="90" t="s">
        <v>1097</v>
      </c>
      <c r="AI341" s="91">
        <f t="shared" si="32"/>
        <v>41365</v>
      </c>
      <c r="AJ341" s="90">
        <f t="shared" si="33"/>
        <v>788.14</v>
      </c>
      <c r="AK341" s="90">
        <f t="array" ref="AK341">INDEX($P$42:$P$45,MATCH(AM341&amp;YEAR(AI341),$A$42:$A$45&amp;YEAR($B$42:$B$45),0))</f>
        <v>0</v>
      </c>
      <c r="AL341" s="90" t="s">
        <v>1096</v>
      </c>
      <c r="AM341" s="90" t="str">
        <f t="shared" si="34"/>
        <v>Interest Earnings (361-*)</v>
      </c>
    </row>
    <row r="342" spans="1:39" ht="15.75" x14ac:dyDescent="0.25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5"/>
      <c r="S342" s="95"/>
      <c r="T342" s="95"/>
      <c r="U342" s="95"/>
      <c r="V342" s="95"/>
      <c r="W342" s="95"/>
      <c r="X342" s="95"/>
      <c r="Y342" s="90"/>
      <c r="Z342" s="90"/>
      <c r="AA342" s="90"/>
      <c r="AB342" s="90"/>
      <c r="AC342" s="90"/>
      <c r="AD342" s="90"/>
      <c r="AE342" s="90"/>
      <c r="AF342" s="90"/>
      <c r="AG342" s="90">
        <v>17</v>
      </c>
      <c r="AH342" s="90" t="s">
        <v>1097</v>
      </c>
      <c r="AI342" s="91">
        <f t="shared" si="32"/>
        <v>41395</v>
      </c>
      <c r="AJ342" s="90">
        <f t="shared" si="33"/>
        <v>754.98</v>
      </c>
      <c r="AK342" s="90">
        <f t="array" ref="AK342">INDEX($P$42:$P$45,MATCH(AM342&amp;YEAR(AI342),$A$42:$A$45&amp;YEAR($B$42:$B$45),0))</f>
        <v>0</v>
      </c>
      <c r="AL342" s="90" t="s">
        <v>1096</v>
      </c>
      <c r="AM342" s="90" t="str">
        <f t="shared" si="34"/>
        <v>Interest Earnings (361-*)</v>
      </c>
    </row>
    <row r="343" spans="1:39" ht="15.75" x14ac:dyDescent="0.25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5"/>
      <c r="S343" s="95"/>
      <c r="T343" s="95"/>
      <c r="U343" s="95"/>
      <c r="V343" s="95"/>
      <c r="W343" s="95"/>
      <c r="X343" s="95"/>
      <c r="Y343" s="90"/>
      <c r="Z343" s="90"/>
      <c r="AA343" s="90"/>
      <c r="AB343" s="90"/>
      <c r="AC343" s="90"/>
      <c r="AD343" s="90"/>
      <c r="AE343" s="90"/>
      <c r="AF343" s="90"/>
      <c r="AG343" s="90">
        <v>18</v>
      </c>
      <c r="AH343" s="90" t="s">
        <v>1097</v>
      </c>
      <c r="AI343" s="91">
        <f t="shared" si="32"/>
        <v>41426</v>
      </c>
      <c r="AJ343" s="90">
        <f t="shared" si="33"/>
        <v>0</v>
      </c>
      <c r="AK343" s="90">
        <f t="array" ref="AK343">INDEX($P$42:$P$45,MATCH(AM343&amp;YEAR(AI343),$A$42:$A$45&amp;YEAR($B$42:$B$45),0))</f>
        <v>0</v>
      </c>
      <c r="AL343" s="90" t="s">
        <v>1096</v>
      </c>
      <c r="AM343" s="90" t="str">
        <f t="shared" si="34"/>
        <v>Interest Earnings (361-*)</v>
      </c>
    </row>
    <row r="344" spans="1:39" ht="15.75" x14ac:dyDescent="0.25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5"/>
      <c r="S344" s="95"/>
      <c r="T344" s="95"/>
      <c r="U344" s="95"/>
      <c r="V344" s="95"/>
      <c r="W344" s="95"/>
      <c r="X344" s="95"/>
      <c r="Y344" s="90"/>
      <c r="Z344" s="90"/>
      <c r="AA344" s="90"/>
      <c r="AB344" s="90"/>
      <c r="AC344" s="90"/>
      <c r="AD344" s="90"/>
      <c r="AE344" s="90"/>
      <c r="AF344" s="90"/>
      <c r="AG344" s="90">
        <v>19</v>
      </c>
      <c r="AH344" s="90" t="s">
        <v>1097</v>
      </c>
      <c r="AI344" s="91">
        <f t="shared" si="32"/>
        <v>41456</v>
      </c>
      <c r="AJ344" s="90">
        <f t="shared" si="33"/>
        <v>0</v>
      </c>
      <c r="AK344" s="90">
        <f t="array" ref="AK344">INDEX($P$42:$P$45,MATCH(AM344&amp;YEAR(AI344),$A$42:$A$45&amp;YEAR($B$42:$B$45),0))</f>
        <v>0</v>
      </c>
      <c r="AL344" s="90" t="s">
        <v>1096</v>
      </c>
      <c r="AM344" s="90" t="str">
        <f t="shared" si="34"/>
        <v>Interest Earnings (361-*)</v>
      </c>
    </row>
    <row r="345" spans="1:39" ht="15.75" x14ac:dyDescent="0.25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5"/>
      <c r="S345" s="95"/>
      <c r="T345" s="95"/>
      <c r="U345" s="95"/>
      <c r="V345" s="95"/>
      <c r="W345" s="95"/>
      <c r="X345" s="95"/>
      <c r="Y345" s="90"/>
      <c r="Z345" s="90"/>
      <c r="AA345" s="90"/>
      <c r="AB345" s="90"/>
      <c r="AC345" s="90"/>
      <c r="AD345" s="90"/>
      <c r="AE345" s="90"/>
      <c r="AF345" s="90"/>
      <c r="AG345" s="90">
        <v>20</v>
      </c>
      <c r="AH345" s="90" t="s">
        <v>1097</v>
      </c>
      <c r="AI345" s="91">
        <f t="shared" si="32"/>
        <v>41487</v>
      </c>
      <c r="AJ345" s="90">
        <f t="shared" si="33"/>
        <v>0</v>
      </c>
      <c r="AK345" s="90">
        <f t="array" ref="AK345">INDEX($P$42:$P$45,MATCH(AM345&amp;YEAR(AI345),$A$42:$A$45&amp;YEAR($B$42:$B$45),0))</f>
        <v>0</v>
      </c>
      <c r="AL345" s="90" t="s">
        <v>1096</v>
      </c>
      <c r="AM345" s="90" t="str">
        <f t="shared" si="34"/>
        <v>Interest Earnings (361-*)</v>
      </c>
    </row>
    <row r="346" spans="1:39" ht="15.75" x14ac:dyDescent="0.25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5"/>
      <c r="S346" s="95"/>
      <c r="T346" s="95"/>
      <c r="U346" s="95"/>
      <c r="V346" s="95"/>
      <c r="W346" s="95"/>
      <c r="X346" s="95"/>
      <c r="Y346" s="90"/>
      <c r="Z346" s="90"/>
      <c r="AA346" s="90"/>
      <c r="AB346" s="90"/>
      <c r="AC346" s="90"/>
      <c r="AD346" s="90"/>
      <c r="AE346" s="90"/>
      <c r="AF346" s="90"/>
      <c r="AG346" s="90">
        <v>21</v>
      </c>
      <c r="AH346" s="90" t="s">
        <v>1097</v>
      </c>
      <c r="AI346" s="91">
        <f t="shared" si="32"/>
        <v>41518</v>
      </c>
      <c r="AJ346" s="90">
        <f t="shared" si="33"/>
        <v>0</v>
      </c>
      <c r="AK346" s="90">
        <f t="array" ref="AK346">INDEX($P$42:$P$45,MATCH(AM346&amp;YEAR(AI346),$A$42:$A$45&amp;YEAR($B$42:$B$45),0))</f>
        <v>0</v>
      </c>
      <c r="AL346" s="90" t="s">
        <v>1096</v>
      </c>
      <c r="AM346" s="90" t="str">
        <f t="shared" si="34"/>
        <v>Interest Earnings (361-*)</v>
      </c>
    </row>
    <row r="347" spans="1:39" ht="15.75" x14ac:dyDescent="0.25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5"/>
      <c r="S347" s="95"/>
      <c r="T347" s="95"/>
      <c r="U347" s="95"/>
      <c r="V347" s="95"/>
      <c r="W347" s="95"/>
      <c r="X347" s="95"/>
      <c r="Y347" s="90"/>
      <c r="Z347" s="90"/>
      <c r="AA347" s="90"/>
      <c r="AB347" s="90"/>
      <c r="AC347" s="90"/>
      <c r="AD347" s="90"/>
      <c r="AE347" s="90"/>
      <c r="AF347" s="90"/>
      <c r="AG347" s="90">
        <v>22</v>
      </c>
      <c r="AH347" s="90" t="s">
        <v>1097</v>
      </c>
      <c r="AI347" s="91">
        <f t="shared" si="32"/>
        <v>41548</v>
      </c>
      <c r="AJ347" s="90">
        <f t="shared" si="33"/>
        <v>0</v>
      </c>
      <c r="AK347" s="90">
        <f t="array" ref="AK347">INDEX($P$42:$P$45,MATCH(AM347&amp;YEAR(AI347),$A$42:$A$45&amp;YEAR($B$42:$B$45),0))</f>
        <v>0</v>
      </c>
      <c r="AL347" s="90" t="s">
        <v>1096</v>
      </c>
      <c r="AM347" s="90" t="str">
        <f t="shared" si="34"/>
        <v>Interest Earnings (361-*)</v>
      </c>
    </row>
    <row r="348" spans="1:39" ht="15.75" x14ac:dyDescent="0.25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5"/>
      <c r="S348" s="95"/>
      <c r="T348" s="95"/>
      <c r="U348" s="95"/>
      <c r="V348" s="95"/>
      <c r="W348" s="95"/>
      <c r="X348" s="95"/>
      <c r="Y348" s="90"/>
      <c r="Z348" s="90"/>
      <c r="AA348" s="90"/>
      <c r="AB348" s="90"/>
      <c r="AC348" s="90"/>
      <c r="AD348" s="90"/>
      <c r="AE348" s="90"/>
      <c r="AF348" s="90"/>
      <c r="AG348" s="90">
        <v>23</v>
      </c>
      <c r="AH348" s="90" t="s">
        <v>1097</v>
      </c>
      <c r="AI348" s="91">
        <f t="shared" si="32"/>
        <v>41579</v>
      </c>
      <c r="AJ348" s="90">
        <f t="shared" si="33"/>
        <v>0</v>
      </c>
      <c r="AK348" s="90">
        <f t="array" ref="AK348">INDEX($P$42:$P$45,MATCH(AM348&amp;YEAR(AI348),$A$42:$A$45&amp;YEAR($B$42:$B$45),0))</f>
        <v>0</v>
      </c>
      <c r="AL348" s="90" t="s">
        <v>1096</v>
      </c>
      <c r="AM348" s="90" t="str">
        <f t="shared" si="34"/>
        <v>Interest Earnings (361-*)</v>
      </c>
    </row>
    <row r="349" spans="1:39" ht="15.75" x14ac:dyDescent="0.25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5"/>
      <c r="S349" s="95"/>
      <c r="T349" s="95"/>
      <c r="U349" s="95"/>
      <c r="V349" s="95"/>
      <c r="W349" s="95"/>
      <c r="X349" s="95"/>
      <c r="Y349" s="90"/>
      <c r="Z349" s="90"/>
      <c r="AA349" s="90"/>
      <c r="AB349" s="90"/>
      <c r="AC349" s="90"/>
      <c r="AD349" s="90"/>
      <c r="AE349" s="90"/>
      <c r="AF349" s="90"/>
      <c r="AG349" s="90">
        <v>24</v>
      </c>
      <c r="AH349" s="90" t="s">
        <v>1097</v>
      </c>
      <c r="AI349" s="91">
        <f t="shared" si="32"/>
        <v>41609</v>
      </c>
      <c r="AJ349" s="90">
        <f t="shared" si="33"/>
        <v>0</v>
      </c>
      <c r="AK349" s="90">
        <f t="array" ref="AK349">INDEX($P$42:$P$45,MATCH(AM349&amp;YEAR(AI349),$A$42:$A$45&amp;YEAR($B$42:$B$45),0))</f>
        <v>0</v>
      </c>
      <c r="AL349" s="90" t="s">
        <v>1096</v>
      </c>
      <c r="AM349" s="90" t="str">
        <f t="shared" si="34"/>
        <v>Interest Earnings (361-*)</v>
      </c>
    </row>
    <row r="350" spans="1:39" ht="15.75" x14ac:dyDescent="0.25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5"/>
      <c r="S350" s="95"/>
      <c r="T350" s="95"/>
      <c r="U350" s="95"/>
      <c r="V350" s="95"/>
      <c r="W350" s="95"/>
      <c r="X350" s="95"/>
      <c r="Y350" s="90"/>
      <c r="Z350" s="90"/>
      <c r="AA350" s="90"/>
      <c r="AB350" s="90"/>
      <c r="AC350" s="90"/>
      <c r="AD350" s="90"/>
      <c r="AE350" s="90"/>
      <c r="AF350" s="90"/>
      <c r="AG350" s="90">
        <v>25</v>
      </c>
      <c r="AH350" s="90" t="s">
        <v>1097</v>
      </c>
      <c r="AI350" s="91">
        <f t="shared" si="32"/>
        <v>40909</v>
      </c>
      <c r="AJ350" s="90">
        <f t="shared" si="33"/>
        <v>0</v>
      </c>
      <c r="AK350" s="90">
        <f t="array" ref="AK350">INDEX($P$42:$P$45,MATCH(AM350&amp;YEAR(AI350),$A$42:$A$45&amp;YEAR($B$42:$B$45),0))</f>
        <v>0</v>
      </c>
      <c r="AL350" s="90" t="s">
        <v>1096</v>
      </c>
      <c r="AM350" s="90" t="str">
        <f t="shared" si="34"/>
        <v>Transfer from Other Funds (370-**)</v>
      </c>
    </row>
    <row r="351" spans="1:39" ht="15.75" x14ac:dyDescent="0.25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5"/>
      <c r="S351" s="95"/>
      <c r="T351" s="95"/>
      <c r="U351" s="95"/>
      <c r="V351" s="95"/>
      <c r="W351" s="95"/>
      <c r="X351" s="95"/>
      <c r="Y351" s="90"/>
      <c r="Z351" s="90"/>
      <c r="AA351" s="90"/>
      <c r="AB351" s="90"/>
      <c r="AC351" s="90"/>
      <c r="AD351" s="90"/>
      <c r="AE351" s="90"/>
      <c r="AF351" s="90"/>
      <c r="AG351" s="90">
        <v>26</v>
      </c>
      <c r="AH351" s="90" t="s">
        <v>1097</v>
      </c>
      <c r="AI351" s="91">
        <f t="shared" si="32"/>
        <v>40940</v>
      </c>
      <c r="AJ351" s="90">
        <f t="shared" si="33"/>
        <v>0</v>
      </c>
      <c r="AK351" s="90">
        <f t="array" ref="AK351">INDEX($P$42:$P$45,MATCH(AM351&amp;YEAR(AI351),$A$42:$A$45&amp;YEAR($B$42:$B$45),0))</f>
        <v>0</v>
      </c>
      <c r="AL351" s="90" t="s">
        <v>1096</v>
      </c>
      <c r="AM351" s="90" t="str">
        <f t="shared" si="34"/>
        <v>Transfer from Other Funds (370-**)</v>
      </c>
    </row>
    <row r="352" spans="1:39" ht="15.75" x14ac:dyDescent="0.25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5"/>
      <c r="S352" s="95"/>
      <c r="T352" s="95"/>
      <c r="U352" s="95"/>
      <c r="V352" s="95"/>
      <c r="W352" s="95"/>
      <c r="X352" s="95"/>
      <c r="Y352" s="90"/>
      <c r="Z352" s="90"/>
      <c r="AA352" s="90"/>
      <c r="AB352" s="90"/>
      <c r="AC352" s="90"/>
      <c r="AD352" s="90"/>
      <c r="AE352" s="90"/>
      <c r="AF352" s="90"/>
      <c r="AG352" s="90">
        <v>27</v>
      </c>
      <c r="AH352" s="90" t="s">
        <v>1097</v>
      </c>
      <c r="AI352" s="91">
        <f t="shared" si="32"/>
        <v>40969</v>
      </c>
      <c r="AJ352" s="90">
        <f t="shared" si="33"/>
        <v>0</v>
      </c>
      <c r="AK352" s="90">
        <f t="array" ref="AK352">INDEX($P$42:$P$45,MATCH(AM352&amp;YEAR(AI352),$A$42:$A$45&amp;YEAR($B$42:$B$45),0))</f>
        <v>0</v>
      </c>
      <c r="AL352" s="90" t="s">
        <v>1096</v>
      </c>
      <c r="AM352" s="90" t="str">
        <f t="shared" si="34"/>
        <v>Transfer from Other Funds (370-**)</v>
      </c>
    </row>
    <row r="353" spans="1:39" ht="15.75" x14ac:dyDescent="0.25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5"/>
      <c r="S353" s="95"/>
      <c r="T353" s="95"/>
      <c r="U353" s="95"/>
      <c r="V353" s="95"/>
      <c r="W353" s="95"/>
      <c r="X353" s="95"/>
      <c r="Y353" s="90"/>
      <c r="Z353" s="90"/>
      <c r="AA353" s="90"/>
      <c r="AB353" s="90"/>
      <c r="AC353" s="90"/>
      <c r="AD353" s="90"/>
      <c r="AE353" s="90"/>
      <c r="AF353" s="90"/>
      <c r="AG353" s="90">
        <v>28</v>
      </c>
      <c r="AH353" s="90" t="s">
        <v>1097</v>
      </c>
      <c r="AI353" s="91">
        <f t="shared" si="32"/>
        <v>41000</v>
      </c>
      <c r="AJ353" s="90">
        <f t="shared" si="33"/>
        <v>0</v>
      </c>
      <c r="AK353" s="90">
        <f t="array" ref="AK353">INDEX($P$42:$P$45,MATCH(AM353&amp;YEAR(AI353),$A$42:$A$45&amp;YEAR($B$42:$B$45),0))</f>
        <v>0</v>
      </c>
      <c r="AL353" s="90" t="s">
        <v>1096</v>
      </c>
      <c r="AM353" s="90" t="str">
        <f t="shared" si="34"/>
        <v>Transfer from Other Funds (370-**)</v>
      </c>
    </row>
    <row r="354" spans="1:39" ht="15.75" x14ac:dyDescent="0.25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5"/>
      <c r="S354" s="95"/>
      <c r="T354" s="95"/>
      <c r="U354" s="95"/>
      <c r="V354" s="95"/>
      <c r="W354" s="95"/>
      <c r="X354" s="95"/>
      <c r="Y354" s="90"/>
      <c r="Z354" s="90"/>
      <c r="AA354" s="90"/>
      <c r="AB354" s="90"/>
      <c r="AC354" s="90"/>
      <c r="AD354" s="90"/>
      <c r="AE354" s="90"/>
      <c r="AF354" s="90"/>
      <c r="AG354" s="90">
        <v>29</v>
      </c>
      <c r="AH354" s="90" t="s">
        <v>1097</v>
      </c>
      <c r="AI354" s="91">
        <f t="shared" si="32"/>
        <v>41030</v>
      </c>
      <c r="AJ354" s="90">
        <f t="shared" si="33"/>
        <v>0</v>
      </c>
      <c r="AK354" s="90">
        <f t="array" ref="AK354">INDEX($P$42:$P$45,MATCH(AM354&amp;YEAR(AI354),$A$42:$A$45&amp;YEAR($B$42:$B$45),0))</f>
        <v>0</v>
      </c>
      <c r="AL354" s="90" t="s">
        <v>1096</v>
      </c>
      <c r="AM354" s="90" t="str">
        <f t="shared" si="34"/>
        <v>Transfer from Other Funds (370-**)</v>
      </c>
    </row>
    <row r="355" spans="1:39" ht="15.75" x14ac:dyDescent="0.25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5"/>
      <c r="S355" s="95"/>
      <c r="T355" s="95"/>
      <c r="U355" s="95"/>
      <c r="V355" s="95"/>
      <c r="W355" s="95"/>
      <c r="X355" s="95"/>
      <c r="Y355" s="90"/>
      <c r="Z355" s="90"/>
      <c r="AA355" s="90"/>
      <c r="AB355" s="90"/>
      <c r="AC355" s="90"/>
      <c r="AD355" s="90"/>
      <c r="AE355" s="90"/>
      <c r="AF355" s="90"/>
      <c r="AG355" s="90">
        <v>30</v>
      </c>
      <c r="AH355" s="90" t="s">
        <v>1097</v>
      </c>
      <c r="AI355" s="91">
        <f t="shared" si="32"/>
        <v>41061</v>
      </c>
      <c r="AJ355" s="90">
        <f t="shared" si="33"/>
        <v>0</v>
      </c>
      <c r="AK355" s="90">
        <f t="array" ref="AK355">INDEX($P$42:$P$45,MATCH(AM355&amp;YEAR(AI355),$A$42:$A$45&amp;YEAR($B$42:$B$45),0))</f>
        <v>0</v>
      </c>
      <c r="AL355" s="90" t="s">
        <v>1096</v>
      </c>
      <c r="AM355" s="90" t="str">
        <f t="shared" si="34"/>
        <v>Transfer from Other Funds (370-**)</v>
      </c>
    </row>
    <row r="356" spans="1:39" ht="15.75" x14ac:dyDescent="0.25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5"/>
      <c r="S356" s="95"/>
      <c r="T356" s="95"/>
      <c r="U356" s="95"/>
      <c r="V356" s="95"/>
      <c r="W356" s="95"/>
      <c r="X356" s="95"/>
      <c r="Y356" s="90"/>
      <c r="Z356" s="90"/>
      <c r="AA356" s="90"/>
      <c r="AB356" s="90"/>
      <c r="AC356" s="90"/>
      <c r="AD356" s="90"/>
      <c r="AE356" s="90"/>
      <c r="AF356" s="90"/>
      <c r="AG356" s="90">
        <v>31</v>
      </c>
      <c r="AH356" s="90" t="s">
        <v>1097</v>
      </c>
      <c r="AI356" s="91">
        <f t="shared" si="32"/>
        <v>41091</v>
      </c>
      <c r="AJ356" s="90">
        <f t="shared" si="33"/>
        <v>0</v>
      </c>
      <c r="AK356" s="90">
        <f t="array" ref="AK356">INDEX($P$42:$P$45,MATCH(AM356&amp;YEAR(AI356),$A$42:$A$45&amp;YEAR($B$42:$B$45),0))</f>
        <v>0</v>
      </c>
      <c r="AL356" s="90" t="s">
        <v>1096</v>
      </c>
      <c r="AM356" s="90" t="str">
        <f t="shared" si="34"/>
        <v>Transfer from Other Funds (370-**)</v>
      </c>
    </row>
    <row r="357" spans="1:39" ht="15.75" x14ac:dyDescent="0.25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5"/>
      <c r="S357" s="95"/>
      <c r="T357" s="95"/>
      <c r="U357" s="95"/>
      <c r="V357" s="95"/>
      <c r="W357" s="95"/>
      <c r="X357" s="95"/>
      <c r="Y357" s="90"/>
      <c r="Z357" s="90"/>
      <c r="AA357" s="90"/>
      <c r="AB357" s="90"/>
      <c r="AC357" s="90"/>
      <c r="AD357" s="90"/>
      <c r="AE357" s="90"/>
      <c r="AF357" s="90"/>
      <c r="AG357" s="90">
        <v>32</v>
      </c>
      <c r="AH357" s="90" t="s">
        <v>1097</v>
      </c>
      <c r="AI357" s="91">
        <f t="shared" si="32"/>
        <v>41122</v>
      </c>
      <c r="AJ357" s="90">
        <f t="shared" si="33"/>
        <v>0</v>
      </c>
      <c r="AK357" s="90">
        <f t="array" ref="AK357">INDEX($P$42:$P$45,MATCH(AM357&amp;YEAR(AI357),$A$42:$A$45&amp;YEAR($B$42:$B$45),0))</f>
        <v>0</v>
      </c>
      <c r="AL357" s="90" t="s">
        <v>1096</v>
      </c>
      <c r="AM357" s="90" t="str">
        <f t="shared" si="34"/>
        <v>Transfer from Other Funds (370-**)</v>
      </c>
    </row>
    <row r="358" spans="1:39" ht="15.75" x14ac:dyDescent="0.25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5"/>
      <c r="S358" s="95"/>
      <c r="T358" s="95"/>
      <c r="U358" s="95"/>
      <c r="V358" s="95"/>
      <c r="W358" s="95"/>
      <c r="X358" s="95"/>
      <c r="Y358" s="90"/>
      <c r="Z358" s="90"/>
      <c r="AA358" s="90"/>
      <c r="AB358" s="90"/>
      <c r="AC358" s="90"/>
      <c r="AD358" s="90"/>
      <c r="AE358" s="90"/>
      <c r="AF358" s="90"/>
      <c r="AG358" s="90">
        <v>33</v>
      </c>
      <c r="AH358" s="90" t="s">
        <v>1097</v>
      </c>
      <c r="AI358" s="91">
        <f t="shared" si="32"/>
        <v>41153</v>
      </c>
      <c r="AJ358" s="90">
        <f t="shared" si="33"/>
        <v>0</v>
      </c>
      <c r="AK358" s="90">
        <f t="array" ref="AK358">INDEX($P$42:$P$45,MATCH(AM358&amp;YEAR(AI358),$A$42:$A$45&amp;YEAR($B$42:$B$45),0))</f>
        <v>0</v>
      </c>
      <c r="AL358" s="90" t="s">
        <v>1096</v>
      </c>
      <c r="AM358" s="90" t="str">
        <f t="shared" si="34"/>
        <v>Transfer from Other Funds (370-**)</v>
      </c>
    </row>
    <row r="359" spans="1:39" ht="15.75" x14ac:dyDescent="0.25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5"/>
      <c r="S359" s="95"/>
      <c r="T359" s="95"/>
      <c r="U359" s="95"/>
      <c r="V359" s="95"/>
      <c r="W359" s="95"/>
      <c r="X359" s="95"/>
      <c r="Y359" s="90"/>
      <c r="Z359" s="90"/>
      <c r="AA359" s="90"/>
      <c r="AB359" s="90"/>
      <c r="AC359" s="90"/>
      <c r="AD359" s="90"/>
      <c r="AE359" s="90"/>
      <c r="AF359" s="90"/>
      <c r="AG359" s="90">
        <v>34</v>
      </c>
      <c r="AH359" s="90" t="s">
        <v>1097</v>
      </c>
      <c r="AI359" s="91">
        <f t="shared" si="32"/>
        <v>41183</v>
      </c>
      <c r="AJ359" s="90">
        <f t="shared" si="33"/>
        <v>7206733.8399999999</v>
      </c>
      <c r="AK359" s="90">
        <f t="array" ref="AK359">INDEX($P$42:$P$45,MATCH(AM359&amp;YEAR(AI359),$A$42:$A$45&amp;YEAR($B$42:$B$45),0))</f>
        <v>0</v>
      </c>
      <c r="AL359" s="90" t="s">
        <v>1096</v>
      </c>
      <c r="AM359" s="90" t="str">
        <f t="shared" si="34"/>
        <v>Transfer from Other Funds (370-**)</v>
      </c>
    </row>
    <row r="360" spans="1:39" ht="15.75" x14ac:dyDescent="0.25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5"/>
      <c r="S360" s="95"/>
      <c r="T360" s="95"/>
      <c r="U360" s="95"/>
      <c r="V360" s="95"/>
      <c r="W360" s="95"/>
      <c r="X360" s="95"/>
      <c r="Y360" s="90"/>
      <c r="Z360" s="90"/>
      <c r="AA360" s="90"/>
      <c r="AB360" s="90"/>
      <c r="AC360" s="90"/>
      <c r="AD360" s="90"/>
      <c r="AE360" s="90"/>
      <c r="AF360" s="90"/>
      <c r="AG360" s="90">
        <v>35</v>
      </c>
      <c r="AH360" s="90" t="s">
        <v>1097</v>
      </c>
      <c r="AI360" s="91">
        <f t="shared" si="32"/>
        <v>41214</v>
      </c>
      <c r="AJ360" s="90">
        <f t="shared" si="33"/>
        <v>0</v>
      </c>
      <c r="AK360" s="90">
        <f t="array" ref="AK360">INDEX($P$42:$P$45,MATCH(AM360&amp;YEAR(AI360),$A$42:$A$45&amp;YEAR($B$42:$B$45),0))</f>
        <v>0</v>
      </c>
      <c r="AL360" s="90" t="s">
        <v>1096</v>
      </c>
      <c r="AM360" s="90" t="str">
        <f t="shared" si="34"/>
        <v>Transfer from Other Funds (370-**)</v>
      </c>
    </row>
    <row r="361" spans="1:39" ht="15.75" x14ac:dyDescent="0.25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5"/>
      <c r="S361" s="95"/>
      <c r="T361" s="95"/>
      <c r="U361" s="95"/>
      <c r="V361" s="95"/>
      <c r="W361" s="95"/>
      <c r="X361" s="95"/>
      <c r="Y361" s="90"/>
      <c r="Z361" s="90"/>
      <c r="AA361" s="90"/>
      <c r="AB361" s="90"/>
      <c r="AC361" s="90"/>
      <c r="AD361" s="90"/>
      <c r="AE361" s="90"/>
      <c r="AF361" s="90"/>
      <c r="AG361" s="90">
        <v>36</v>
      </c>
      <c r="AH361" s="90" t="s">
        <v>1097</v>
      </c>
      <c r="AI361" s="91">
        <f t="shared" si="32"/>
        <v>41244</v>
      </c>
      <c r="AJ361" s="90">
        <f t="shared" si="33"/>
        <v>0</v>
      </c>
      <c r="AK361" s="90">
        <f t="array" ref="AK361">INDEX($P$42:$P$45,MATCH(AM361&amp;YEAR(AI361),$A$42:$A$45&amp;YEAR($B$42:$B$45),0))</f>
        <v>0</v>
      </c>
      <c r="AL361" s="90" t="s">
        <v>1096</v>
      </c>
      <c r="AM361" s="90" t="str">
        <f t="shared" si="34"/>
        <v>Transfer from Other Funds (370-**)</v>
      </c>
    </row>
    <row r="362" spans="1:39" ht="15.75" x14ac:dyDescent="0.25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5"/>
      <c r="S362" s="95"/>
      <c r="T362" s="95"/>
      <c r="U362" s="95"/>
      <c r="V362" s="95"/>
      <c r="W362" s="95"/>
      <c r="X362" s="95"/>
      <c r="Y362" s="90"/>
      <c r="Z362" s="90"/>
      <c r="AA362" s="90"/>
      <c r="AB362" s="90"/>
      <c r="AC362" s="90"/>
      <c r="AD362" s="90"/>
      <c r="AE362" s="90"/>
      <c r="AF362" s="90"/>
      <c r="AG362" s="90">
        <v>37</v>
      </c>
      <c r="AH362" s="90" t="s">
        <v>1097</v>
      </c>
      <c r="AI362" s="91">
        <f t="shared" si="32"/>
        <v>41275</v>
      </c>
      <c r="AJ362" s="90">
        <f t="shared" si="33"/>
        <v>0</v>
      </c>
      <c r="AK362" s="90">
        <f t="array" ref="AK362">INDEX($P$42:$P$45,MATCH(AM362&amp;YEAR(AI362),$A$42:$A$45&amp;YEAR($B$42:$B$45),0))</f>
        <v>0</v>
      </c>
      <c r="AL362" s="90" t="s">
        <v>1096</v>
      </c>
      <c r="AM362" s="90" t="str">
        <f t="shared" si="34"/>
        <v>Transfer from Other Funds (370-**)</v>
      </c>
    </row>
    <row r="363" spans="1:39" ht="15.75" x14ac:dyDescent="0.25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5"/>
      <c r="S363" s="95"/>
      <c r="T363" s="95"/>
      <c r="U363" s="95"/>
      <c r="V363" s="95"/>
      <c r="W363" s="95"/>
      <c r="X363" s="95"/>
      <c r="Y363" s="90"/>
      <c r="Z363" s="90"/>
      <c r="AA363" s="90"/>
      <c r="AB363" s="90"/>
      <c r="AC363" s="90"/>
      <c r="AD363" s="90"/>
      <c r="AE363" s="90"/>
      <c r="AF363" s="90"/>
      <c r="AG363" s="90">
        <v>38</v>
      </c>
      <c r="AH363" s="90" t="s">
        <v>1097</v>
      </c>
      <c r="AI363" s="91">
        <f t="shared" si="32"/>
        <v>41306</v>
      </c>
      <c r="AJ363" s="90">
        <f t="shared" si="33"/>
        <v>0</v>
      </c>
      <c r="AK363" s="90">
        <f t="array" ref="AK363">INDEX($P$42:$P$45,MATCH(AM363&amp;YEAR(AI363),$A$42:$A$45&amp;YEAR($B$42:$B$45),0))</f>
        <v>0</v>
      </c>
      <c r="AL363" s="90" t="s">
        <v>1096</v>
      </c>
      <c r="AM363" s="90" t="str">
        <f t="shared" si="34"/>
        <v>Transfer from Other Funds (370-**)</v>
      </c>
    </row>
    <row r="364" spans="1:39" ht="15.75" x14ac:dyDescent="0.25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5"/>
      <c r="S364" s="95"/>
      <c r="T364" s="95"/>
      <c r="U364" s="95"/>
      <c r="V364" s="95"/>
      <c r="W364" s="95"/>
      <c r="X364" s="95"/>
      <c r="Y364" s="90"/>
      <c r="Z364" s="90"/>
      <c r="AA364" s="90"/>
      <c r="AB364" s="90"/>
      <c r="AC364" s="90"/>
      <c r="AD364" s="90"/>
      <c r="AE364" s="90"/>
      <c r="AF364" s="90"/>
      <c r="AG364" s="90">
        <v>39</v>
      </c>
      <c r="AH364" s="90" t="s">
        <v>1097</v>
      </c>
      <c r="AI364" s="91">
        <f t="shared" si="32"/>
        <v>41334</v>
      </c>
      <c r="AJ364" s="90">
        <f t="shared" si="33"/>
        <v>0</v>
      </c>
      <c r="AK364" s="90">
        <f t="array" ref="AK364">INDEX($P$42:$P$45,MATCH(AM364&amp;YEAR(AI364),$A$42:$A$45&amp;YEAR($B$42:$B$45),0))</f>
        <v>0</v>
      </c>
      <c r="AL364" s="90" t="s">
        <v>1096</v>
      </c>
      <c r="AM364" s="90" t="str">
        <f t="shared" si="34"/>
        <v>Transfer from Other Funds (370-**)</v>
      </c>
    </row>
    <row r="365" spans="1:39" ht="15.75" x14ac:dyDescent="0.25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5"/>
      <c r="S365" s="95"/>
      <c r="T365" s="95"/>
      <c r="U365" s="95"/>
      <c r="V365" s="95"/>
      <c r="W365" s="95"/>
      <c r="X365" s="95"/>
      <c r="Y365" s="90"/>
      <c r="Z365" s="90"/>
      <c r="AA365" s="90"/>
      <c r="AB365" s="90"/>
      <c r="AC365" s="90"/>
      <c r="AD365" s="90"/>
      <c r="AE365" s="90"/>
      <c r="AF365" s="90"/>
      <c r="AG365" s="90">
        <v>40</v>
      </c>
      <c r="AH365" s="90" t="s">
        <v>1097</v>
      </c>
      <c r="AI365" s="91">
        <f t="shared" si="32"/>
        <v>41365</v>
      </c>
      <c r="AJ365" s="90">
        <f t="shared" si="33"/>
        <v>0</v>
      </c>
      <c r="AK365" s="90">
        <f t="array" ref="AK365">INDEX($P$42:$P$45,MATCH(AM365&amp;YEAR(AI365),$A$42:$A$45&amp;YEAR($B$42:$B$45),0))</f>
        <v>0</v>
      </c>
      <c r="AL365" s="90" t="s">
        <v>1096</v>
      </c>
      <c r="AM365" s="90" t="str">
        <f t="shared" si="34"/>
        <v>Transfer from Other Funds (370-**)</v>
      </c>
    </row>
    <row r="366" spans="1:39" ht="15.75" x14ac:dyDescent="0.25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5"/>
      <c r="S366" s="95"/>
      <c r="T366" s="95"/>
      <c r="U366" s="95"/>
      <c r="V366" s="95"/>
      <c r="W366" s="95"/>
      <c r="X366" s="95"/>
      <c r="Y366" s="90"/>
      <c r="Z366" s="90"/>
      <c r="AA366" s="90"/>
      <c r="AB366" s="90"/>
      <c r="AC366" s="90"/>
      <c r="AD366" s="90"/>
      <c r="AE366" s="90"/>
      <c r="AF366" s="90"/>
      <c r="AG366" s="90">
        <v>41</v>
      </c>
      <c r="AH366" s="90" t="s">
        <v>1097</v>
      </c>
      <c r="AI366" s="91">
        <f t="shared" si="32"/>
        <v>41395</v>
      </c>
      <c r="AJ366" s="90">
        <f t="shared" si="33"/>
        <v>0</v>
      </c>
      <c r="AK366" s="90">
        <f t="array" ref="AK366">INDEX($P$42:$P$45,MATCH(AM366&amp;YEAR(AI366),$A$42:$A$45&amp;YEAR($B$42:$B$45),0))</f>
        <v>0</v>
      </c>
      <c r="AL366" s="90" t="s">
        <v>1096</v>
      </c>
      <c r="AM366" s="90" t="str">
        <f t="shared" si="34"/>
        <v>Transfer from Other Funds (370-**)</v>
      </c>
    </row>
    <row r="367" spans="1:39" ht="15.75" x14ac:dyDescent="0.25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5"/>
      <c r="S367" s="95"/>
      <c r="T367" s="95"/>
      <c r="U367" s="95"/>
      <c r="V367" s="95"/>
      <c r="W367" s="95"/>
      <c r="X367" s="95"/>
      <c r="Y367" s="90"/>
      <c r="Z367" s="90"/>
      <c r="AA367" s="90"/>
      <c r="AB367" s="90"/>
      <c r="AC367" s="90"/>
      <c r="AD367" s="90"/>
      <c r="AE367" s="90"/>
      <c r="AF367" s="90"/>
      <c r="AG367" s="90">
        <v>42</v>
      </c>
      <c r="AH367" s="90" t="s">
        <v>1097</v>
      </c>
      <c r="AI367" s="91">
        <f t="shared" si="32"/>
        <v>41426</v>
      </c>
      <c r="AJ367" s="90">
        <f t="shared" si="33"/>
        <v>0</v>
      </c>
      <c r="AK367" s="90">
        <f t="array" ref="AK367">INDEX($P$42:$P$45,MATCH(AM367&amp;YEAR(AI367),$A$42:$A$45&amp;YEAR($B$42:$B$45),0))</f>
        <v>0</v>
      </c>
      <c r="AL367" s="90" t="s">
        <v>1096</v>
      </c>
      <c r="AM367" s="90" t="str">
        <f t="shared" si="34"/>
        <v>Transfer from Other Funds (370-**)</v>
      </c>
    </row>
    <row r="368" spans="1:39" ht="15.75" x14ac:dyDescent="0.25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5"/>
      <c r="S368" s="95"/>
      <c r="T368" s="95"/>
      <c r="U368" s="95"/>
      <c r="V368" s="95"/>
      <c r="W368" s="95"/>
      <c r="X368" s="95"/>
      <c r="Y368" s="90"/>
      <c r="Z368" s="90"/>
      <c r="AA368" s="90"/>
      <c r="AB368" s="90"/>
      <c r="AC368" s="90"/>
      <c r="AD368" s="90"/>
      <c r="AE368" s="90"/>
      <c r="AF368" s="90"/>
      <c r="AG368" s="90">
        <v>43</v>
      </c>
      <c r="AH368" s="90" t="s">
        <v>1097</v>
      </c>
      <c r="AI368" s="91">
        <f t="shared" si="32"/>
        <v>41456</v>
      </c>
      <c r="AJ368" s="90">
        <f t="shared" si="33"/>
        <v>0</v>
      </c>
      <c r="AK368" s="90">
        <f t="array" ref="AK368">INDEX($P$42:$P$45,MATCH(AM368&amp;YEAR(AI368),$A$42:$A$45&amp;YEAR($B$42:$B$45),0))</f>
        <v>0</v>
      </c>
      <c r="AL368" s="90" t="s">
        <v>1096</v>
      </c>
      <c r="AM368" s="90" t="str">
        <f t="shared" si="34"/>
        <v>Transfer from Other Funds (370-**)</v>
      </c>
    </row>
    <row r="369" spans="1:39" ht="15.75" x14ac:dyDescent="0.25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5"/>
      <c r="S369" s="95"/>
      <c r="T369" s="95"/>
      <c r="U369" s="95"/>
      <c r="V369" s="95"/>
      <c r="W369" s="95"/>
      <c r="X369" s="95"/>
      <c r="Y369" s="90"/>
      <c r="Z369" s="90"/>
      <c r="AA369" s="90"/>
      <c r="AB369" s="90"/>
      <c r="AC369" s="90"/>
      <c r="AD369" s="90"/>
      <c r="AE369" s="90"/>
      <c r="AF369" s="90"/>
      <c r="AG369" s="90">
        <v>44</v>
      </c>
      <c r="AH369" s="90" t="s">
        <v>1097</v>
      </c>
      <c r="AI369" s="91">
        <f t="shared" si="32"/>
        <v>41487</v>
      </c>
      <c r="AJ369" s="90">
        <f t="shared" si="33"/>
        <v>0</v>
      </c>
      <c r="AK369" s="90">
        <f t="array" ref="AK369">INDEX($P$42:$P$45,MATCH(AM369&amp;YEAR(AI369),$A$42:$A$45&amp;YEAR($B$42:$B$45),0))</f>
        <v>0</v>
      </c>
      <c r="AL369" s="90" t="s">
        <v>1096</v>
      </c>
      <c r="AM369" s="90" t="str">
        <f t="shared" si="34"/>
        <v>Transfer from Other Funds (370-**)</v>
      </c>
    </row>
    <row r="370" spans="1:39" ht="15.75" x14ac:dyDescent="0.25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5"/>
      <c r="S370" s="95"/>
      <c r="T370" s="95"/>
      <c r="U370" s="95"/>
      <c r="V370" s="95"/>
      <c r="W370" s="95"/>
      <c r="X370" s="95"/>
      <c r="Y370" s="90"/>
      <c r="Z370" s="90"/>
      <c r="AA370" s="90"/>
      <c r="AB370" s="90"/>
      <c r="AC370" s="90"/>
      <c r="AD370" s="90"/>
      <c r="AE370" s="90"/>
      <c r="AF370" s="90"/>
      <c r="AG370" s="90">
        <v>45</v>
      </c>
      <c r="AH370" s="90" t="s">
        <v>1097</v>
      </c>
      <c r="AI370" s="91">
        <f t="shared" si="32"/>
        <v>41518</v>
      </c>
      <c r="AJ370" s="90">
        <f t="shared" si="33"/>
        <v>0</v>
      </c>
      <c r="AK370" s="90">
        <f t="array" ref="AK370">INDEX($P$42:$P$45,MATCH(AM370&amp;YEAR(AI370),$A$42:$A$45&amp;YEAR($B$42:$B$45),0))</f>
        <v>0</v>
      </c>
      <c r="AL370" s="90" t="s">
        <v>1096</v>
      </c>
      <c r="AM370" s="90" t="str">
        <f t="shared" si="34"/>
        <v>Transfer from Other Funds (370-**)</v>
      </c>
    </row>
    <row r="371" spans="1:39" ht="15.75" x14ac:dyDescent="0.25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5"/>
      <c r="S371" s="95"/>
      <c r="T371" s="95"/>
      <c r="U371" s="95"/>
      <c r="V371" s="95"/>
      <c r="W371" s="95"/>
      <c r="X371" s="95"/>
      <c r="Y371" s="90"/>
      <c r="Z371" s="90"/>
      <c r="AA371" s="90"/>
      <c r="AB371" s="90"/>
      <c r="AC371" s="90"/>
      <c r="AD371" s="90"/>
      <c r="AE371" s="90"/>
      <c r="AF371" s="90"/>
      <c r="AG371" s="90">
        <v>46</v>
      </c>
      <c r="AH371" s="90" t="s">
        <v>1097</v>
      </c>
      <c r="AI371" s="91">
        <f t="shared" si="32"/>
        <v>41548</v>
      </c>
      <c r="AJ371" s="90">
        <f t="shared" si="33"/>
        <v>0</v>
      </c>
      <c r="AK371" s="90">
        <f t="array" ref="AK371">INDEX($P$42:$P$45,MATCH(AM371&amp;YEAR(AI371),$A$42:$A$45&amp;YEAR($B$42:$B$45),0))</f>
        <v>0</v>
      </c>
      <c r="AL371" s="90" t="s">
        <v>1096</v>
      </c>
      <c r="AM371" s="90" t="str">
        <f t="shared" si="34"/>
        <v>Transfer from Other Funds (370-**)</v>
      </c>
    </row>
    <row r="372" spans="1:39" ht="15.75" x14ac:dyDescent="0.25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5"/>
      <c r="S372" s="95"/>
      <c r="T372" s="95"/>
      <c r="U372" s="95"/>
      <c r="V372" s="95"/>
      <c r="W372" s="95"/>
      <c r="X372" s="95"/>
      <c r="Y372" s="90"/>
      <c r="Z372" s="90"/>
      <c r="AA372" s="90"/>
      <c r="AB372" s="90"/>
      <c r="AC372" s="90"/>
      <c r="AD372" s="90"/>
      <c r="AE372" s="90"/>
      <c r="AF372" s="90"/>
      <c r="AG372" s="90">
        <v>47</v>
      </c>
      <c r="AH372" s="90" t="s">
        <v>1097</v>
      </c>
      <c r="AI372" s="91">
        <f t="shared" si="32"/>
        <v>41579</v>
      </c>
      <c r="AJ372" s="90">
        <f t="shared" si="33"/>
        <v>0</v>
      </c>
      <c r="AK372" s="90">
        <f t="array" ref="AK372">INDEX($P$42:$P$45,MATCH(AM372&amp;YEAR(AI372),$A$42:$A$45&amp;YEAR($B$42:$B$45),0))</f>
        <v>0</v>
      </c>
      <c r="AL372" s="90" t="s">
        <v>1096</v>
      </c>
      <c r="AM372" s="90" t="str">
        <f t="shared" si="34"/>
        <v>Transfer from Other Funds (370-**)</v>
      </c>
    </row>
    <row r="373" spans="1:39" ht="15.75" x14ac:dyDescent="0.25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5"/>
      <c r="S373" s="95"/>
      <c r="T373" s="95"/>
      <c r="U373" s="95"/>
      <c r="V373" s="95"/>
      <c r="W373" s="95"/>
      <c r="X373" s="95"/>
      <c r="Y373" s="90"/>
      <c r="Z373" s="90"/>
      <c r="AA373" s="90"/>
      <c r="AB373" s="90"/>
      <c r="AC373" s="90"/>
      <c r="AD373" s="90"/>
      <c r="AE373" s="90"/>
      <c r="AF373" s="90"/>
      <c r="AG373" s="90">
        <v>48</v>
      </c>
      <c r="AH373" s="90" t="s">
        <v>1097</v>
      </c>
      <c r="AI373" s="91">
        <f t="shared" si="32"/>
        <v>41609</v>
      </c>
      <c r="AJ373" s="90">
        <f t="shared" si="33"/>
        <v>0</v>
      </c>
      <c r="AK373" s="90">
        <f t="array" ref="AK373">INDEX($P$42:$P$45,MATCH(AM373&amp;YEAR(AI373),$A$42:$A$45&amp;YEAR($B$42:$B$45),0))</f>
        <v>0</v>
      </c>
      <c r="AL373" s="90" t="s">
        <v>1096</v>
      </c>
      <c r="AM373" s="90" t="str">
        <f t="shared" si="34"/>
        <v>Transfer from Other Funds (370-**)</v>
      </c>
    </row>
  </sheetData>
  <printOptions gridLines="1"/>
  <pageMargins left="0.75" right="0.75" top="1" bottom="1" header="0.5" footer="0.5"/>
  <pageSetup scale="54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80"/>
  <sheetViews>
    <sheetView zoomScaleNormal="100" workbookViewId="0">
      <selection activeCell="M26" sqref="M26"/>
    </sheetView>
  </sheetViews>
  <sheetFormatPr defaultRowHeight="15" customHeight="1" x14ac:dyDescent="0.25"/>
  <cols>
    <col min="2" max="2" width="25.140625" customWidth="1"/>
    <col min="3" max="6" width="10.28515625" hidden="1" customWidth="1"/>
    <col min="7" max="7" width="4.28515625" customWidth="1"/>
    <col min="8" max="8" width="20" customWidth="1"/>
    <col min="9" max="9" width="18.42578125" customWidth="1"/>
    <col min="11" max="11" width="22.28515625" customWidth="1"/>
  </cols>
  <sheetData>
    <row r="1" spans="1:16" x14ac:dyDescent="0.25">
      <c r="A1" s="82"/>
      <c r="B1" s="82" t="s">
        <v>1095</v>
      </c>
      <c r="C1" s="82" t="s">
        <v>1094</v>
      </c>
      <c r="D1" s="82" t="s">
        <v>1093</v>
      </c>
      <c r="E1" s="82" t="s">
        <v>1092</v>
      </c>
      <c r="F1" s="110" t="s">
        <v>1200</v>
      </c>
      <c r="G1" s="82"/>
      <c r="H1" s="82" t="s">
        <v>1295</v>
      </c>
      <c r="I1" s="82"/>
      <c r="K1" s="82" t="s">
        <v>1287</v>
      </c>
      <c r="L1" s="80"/>
    </row>
    <row r="2" spans="1:16" x14ac:dyDescent="0.25">
      <c r="A2" s="80"/>
      <c r="B2" s="80" t="s">
        <v>1128</v>
      </c>
      <c r="C2" s="80" t="s">
        <v>1090</v>
      </c>
      <c r="D2" s="80" t="s">
        <v>1089</v>
      </c>
      <c r="E2" s="81" t="s">
        <v>1088</v>
      </c>
      <c r="F2" s="80" t="s">
        <v>1201</v>
      </c>
      <c r="G2" s="80"/>
      <c r="H2" s="82" t="s">
        <v>1294</v>
      </c>
      <c r="I2" s="114" t="s">
        <v>1296</v>
      </c>
      <c r="K2" s="80" t="s">
        <v>1283</v>
      </c>
      <c r="L2" t="str">
        <f>LEFT(K2, SEARCH(" ",K2))</f>
        <v xml:space="preserve">Rolin </v>
      </c>
      <c r="N2" t="str">
        <f>IF(ISERROR(SEARCH(" ", RIGHT(K2, LEN(K2) - SEARCH(" ", K2, 1)), 1)) = TRUE, "", LEFT(RIGHT(K2,LEN(K2) - SEARCH(" ", K2, 1)), SEARCH(" ", RIGHT(K2, LEN(K2) - SEARCH(" ", K2, 1)), 1) - 1))</f>
        <v>T.</v>
      </c>
      <c r="P2" t="s">
        <v>1303</v>
      </c>
    </row>
    <row r="3" spans="1:16" x14ac:dyDescent="0.25">
      <c r="A3" s="80"/>
      <c r="B3" s="80" t="s">
        <v>1129</v>
      </c>
      <c r="C3" s="80" t="s">
        <v>1087</v>
      </c>
      <c r="D3" s="80" t="s">
        <v>1086</v>
      </c>
      <c r="E3" s="81" t="s">
        <v>1085</v>
      </c>
      <c r="F3" s="80" t="s">
        <v>1202</v>
      </c>
      <c r="G3" s="80"/>
      <c r="H3" s="115" t="s">
        <v>1297</v>
      </c>
      <c r="I3" s="80">
        <f>SEARCH("l",H3,1)</f>
        <v>5</v>
      </c>
      <c r="K3" s="80" t="s">
        <v>1283</v>
      </c>
      <c r="L3" t="str">
        <f>MID(K3,SEARCH(" ",K3,1)+1,SEARCH(" ",K3,SEARCH(" ",K3,1)+1)-SEARCH(" ",K3,1))</f>
        <v xml:space="preserve">T. </v>
      </c>
      <c r="N3" t="str">
        <f t="shared" ref="N3:N4" si="0">IF(ISERROR(SEARCH(" ", RIGHT(K3, LEN(K3) - SEARCH(" ", K3, 1)), 1)) = TRUE, "", LEFT(RIGHT(K3,LEN(K3) - SEARCH(" ", K3, 1)), SEARCH(" ", RIGHT(K3, LEN(K3) - SEARCH(" ", K3, 1)), 1) - 1))</f>
        <v>T.</v>
      </c>
    </row>
    <row r="4" spans="1:16" x14ac:dyDescent="0.25">
      <c r="A4" s="80">
        <v>1</v>
      </c>
      <c r="B4" s="113" t="s">
        <v>1283</v>
      </c>
      <c r="C4" s="80" t="s">
        <v>1084</v>
      </c>
      <c r="D4" s="80" t="s">
        <v>1083</v>
      </c>
      <c r="E4" s="81" t="s">
        <v>1082</v>
      </c>
      <c r="F4" s="80" t="s">
        <v>1203</v>
      </c>
      <c r="G4" s="80"/>
      <c r="K4" s="80" t="s">
        <v>1283</v>
      </c>
      <c r="L4" t="str">
        <f>RIGHT(K4,LEN(K4)-SEARCH(" ",K4,SEARCH(" ",K4,1)+1))</f>
        <v>Evans</v>
      </c>
      <c r="N4" t="str">
        <f t="shared" si="0"/>
        <v>T.</v>
      </c>
    </row>
    <row r="5" spans="1:16" x14ac:dyDescent="0.25">
      <c r="A5" s="80"/>
      <c r="B5" s="80" t="s">
        <v>1131</v>
      </c>
      <c r="C5" s="80" t="s">
        <v>1081</v>
      </c>
      <c r="D5" s="80" t="s">
        <v>1080</v>
      </c>
      <c r="E5" s="81" t="s">
        <v>1079</v>
      </c>
      <c r="F5" s="80" t="s">
        <v>1204</v>
      </c>
      <c r="G5" s="80"/>
      <c r="H5" s="82" t="s">
        <v>1301</v>
      </c>
      <c r="K5" s="80"/>
    </row>
    <row r="6" spans="1:16" x14ac:dyDescent="0.25">
      <c r="A6" s="80"/>
      <c r="B6" s="80" t="s">
        <v>1132</v>
      </c>
      <c r="C6" s="80" t="s">
        <v>1078</v>
      </c>
      <c r="D6" s="80" t="s">
        <v>1077</v>
      </c>
      <c r="E6" s="81" t="s">
        <v>1076</v>
      </c>
      <c r="F6" s="80" t="s">
        <v>1205</v>
      </c>
      <c r="G6" s="80"/>
      <c r="H6" s="115" t="s">
        <v>1297</v>
      </c>
      <c r="I6" s="80" t="str">
        <f>MID(H6,5,4)</f>
        <v>lulu</v>
      </c>
      <c r="K6" s="82" t="s">
        <v>1288</v>
      </c>
    </row>
    <row r="7" spans="1:16" x14ac:dyDescent="0.25">
      <c r="A7" s="80"/>
      <c r="B7" s="80" t="s">
        <v>1133</v>
      </c>
      <c r="C7" s="80" t="s">
        <v>1075</v>
      </c>
      <c r="D7" s="80" t="s">
        <v>1074</v>
      </c>
      <c r="E7" s="81" t="s">
        <v>1073</v>
      </c>
      <c r="F7" s="80" t="s">
        <v>1206</v>
      </c>
      <c r="G7" s="80"/>
      <c r="K7" t="s">
        <v>1285</v>
      </c>
      <c r="L7" t="str">
        <f>MID(K7,SEARCH(" ",K7,1)+1,SEARCH(" ",K7,SEARCH(" ",K7,1)+1)-SEARCH(" ",K7,1))</f>
        <v xml:space="preserve">Beth </v>
      </c>
      <c r="P7" t="s">
        <v>1304</v>
      </c>
    </row>
    <row r="8" spans="1:16" x14ac:dyDescent="0.25">
      <c r="A8" s="80"/>
      <c r="B8" s="80" t="s">
        <v>1134</v>
      </c>
      <c r="C8" s="80" t="s">
        <v>1072</v>
      </c>
      <c r="D8" s="80" t="s">
        <v>1071</v>
      </c>
      <c r="E8" s="81" t="s">
        <v>1070</v>
      </c>
      <c r="F8" s="80" t="s">
        <v>1207</v>
      </c>
      <c r="G8" s="80"/>
      <c r="H8" s="117" t="s">
        <v>1302</v>
      </c>
      <c r="K8" t="s">
        <v>1285</v>
      </c>
      <c r="L8" t="str">
        <f>RIGHT(K8,LEN(K8)-SEARCH(" ",K8,SEARCH(" ",K8,1)+1))</f>
        <v>Kahn</v>
      </c>
    </row>
    <row r="9" spans="1:16" x14ac:dyDescent="0.25">
      <c r="A9" s="80"/>
      <c r="B9" s="80" t="s">
        <v>1135</v>
      </c>
      <c r="C9" s="80" t="s">
        <v>1069</v>
      </c>
      <c r="D9" s="80" t="s">
        <v>1068</v>
      </c>
      <c r="E9" s="81" t="s">
        <v>1067</v>
      </c>
      <c r="F9" s="80" t="s">
        <v>1208</v>
      </c>
      <c r="G9" s="80"/>
      <c r="H9" s="115" t="s">
        <v>1297</v>
      </c>
      <c r="I9" s="80" t="str">
        <f>MID(H9,SEARCH("l",H3,1),4)</f>
        <v>lulu</v>
      </c>
      <c r="K9" t="s">
        <v>1285</v>
      </c>
      <c r="L9" t="str">
        <f>LEFT(K9, SEARCH(" ",K9,1)-2)</f>
        <v>Wend</v>
      </c>
    </row>
    <row r="10" spans="1:16" x14ac:dyDescent="0.25">
      <c r="A10" s="80"/>
      <c r="B10" s="80" t="s">
        <v>1136</v>
      </c>
      <c r="C10" s="80" t="s">
        <v>1066</v>
      </c>
      <c r="D10" s="80" t="s">
        <v>1065</v>
      </c>
      <c r="E10" s="81" t="s">
        <v>1064</v>
      </c>
      <c r="F10" s="80" t="s">
        <v>1209</v>
      </c>
      <c r="G10" s="80"/>
    </row>
    <row r="11" spans="1:16" x14ac:dyDescent="0.25">
      <c r="A11" s="80">
        <v>2</v>
      </c>
      <c r="B11" s="112" t="s">
        <v>1285</v>
      </c>
      <c r="C11" s="80" t="s">
        <v>1063</v>
      </c>
      <c r="D11" s="80" t="s">
        <v>1062</v>
      </c>
      <c r="E11" s="81" t="s">
        <v>1061</v>
      </c>
      <c r="F11" s="80" t="s">
        <v>1210</v>
      </c>
      <c r="G11" s="80"/>
      <c r="K11" s="82" t="s">
        <v>1289</v>
      </c>
    </row>
    <row r="12" spans="1:16" x14ac:dyDescent="0.25">
      <c r="A12" s="80"/>
      <c r="B12" s="80" t="s">
        <v>1138</v>
      </c>
      <c r="C12" s="80" t="s">
        <v>1060</v>
      </c>
      <c r="D12" s="80" t="s">
        <v>1059</v>
      </c>
      <c r="E12" s="81" t="s">
        <v>1058</v>
      </c>
      <c r="F12" s="80" t="s">
        <v>1211</v>
      </c>
      <c r="G12" s="80"/>
      <c r="H12" s="115" t="s">
        <v>1298</v>
      </c>
      <c r="K12" t="s">
        <v>1291</v>
      </c>
      <c r="L12" t="str">
        <f>MID(K12,SEARCH(" ",K12,1)+1,SEARCH(" ",K12,SEARCH(" ",K12,1)+1)-SEARCH(" ",K12,1))</f>
        <v xml:space="preserve">Cynthia </v>
      </c>
      <c r="P12" t="s">
        <v>1305</v>
      </c>
    </row>
    <row r="13" spans="1:16" x14ac:dyDescent="0.25">
      <c r="A13" s="80"/>
      <c r="B13" s="80" t="s">
        <v>1139</v>
      </c>
      <c r="C13" s="80" t="s">
        <v>1057</v>
      </c>
      <c r="D13" s="80" t="s">
        <v>1056</v>
      </c>
      <c r="E13" s="81" t="s">
        <v>1055</v>
      </c>
      <c r="F13" s="80" t="s">
        <v>1212</v>
      </c>
      <c r="G13" s="80"/>
      <c r="H13" s="115" t="s">
        <v>1299</v>
      </c>
      <c r="K13" t="s">
        <v>1291</v>
      </c>
      <c r="L13" t="str">
        <f>RIGHT(K13,LEN(K13)-SEARCH(" ",K13,SEARCH(" ",K13,1)+1))</f>
        <v>June</v>
      </c>
    </row>
    <row r="14" spans="1:16" x14ac:dyDescent="0.25">
      <c r="A14" s="80"/>
      <c r="B14" s="80" t="s">
        <v>1140</v>
      </c>
      <c r="C14" s="80" t="s">
        <v>1054</v>
      </c>
      <c r="D14" s="80" t="s">
        <v>1053</v>
      </c>
      <c r="E14" s="81" t="s">
        <v>1052</v>
      </c>
      <c r="F14" s="80" t="s">
        <v>1213</v>
      </c>
      <c r="G14" s="80"/>
      <c r="H14" s="115" t="s">
        <v>1300</v>
      </c>
      <c r="K14" t="s">
        <v>1291</v>
      </c>
      <c r="L14" t="str">
        <f>LEFT(K14, SEARCH(" ",K14,1)-2)</f>
        <v>Booker</v>
      </c>
    </row>
    <row r="15" spans="1:16" x14ac:dyDescent="0.25">
      <c r="A15" s="80">
        <v>3</v>
      </c>
      <c r="B15" s="112" t="s">
        <v>1291</v>
      </c>
      <c r="C15" s="80" t="s">
        <v>1051</v>
      </c>
      <c r="D15" s="80" t="s">
        <v>1050</v>
      </c>
      <c r="E15" s="81" t="s">
        <v>1049</v>
      </c>
      <c r="F15" s="80" t="s">
        <v>1214</v>
      </c>
      <c r="G15" s="80"/>
      <c r="H15" s="80"/>
      <c r="I15" s="80"/>
      <c r="K15" s="80"/>
    </row>
    <row r="16" spans="1:16" x14ac:dyDescent="0.25">
      <c r="A16" s="80"/>
      <c r="B16" s="80" t="s">
        <v>1142</v>
      </c>
      <c r="C16" s="80" t="s">
        <v>1047</v>
      </c>
      <c r="D16" s="80" t="s">
        <v>1046</v>
      </c>
      <c r="E16" s="81" t="s">
        <v>1045</v>
      </c>
      <c r="F16" s="80" t="s">
        <v>1215</v>
      </c>
      <c r="G16" s="80"/>
      <c r="K16" s="82" t="s">
        <v>1290</v>
      </c>
      <c r="L16" s="80"/>
    </row>
    <row r="17" spans="1:16" x14ac:dyDescent="0.25">
      <c r="A17" s="80"/>
      <c r="B17" t="s">
        <v>1284</v>
      </c>
      <c r="C17" s="80" t="s">
        <v>1043</v>
      </c>
      <c r="D17" s="80" t="s">
        <v>1042</v>
      </c>
      <c r="E17" s="81" t="s">
        <v>1041</v>
      </c>
      <c r="F17" s="80" t="s">
        <v>1216</v>
      </c>
      <c r="G17" s="80"/>
      <c r="K17" t="s">
        <v>1281</v>
      </c>
      <c r="L17" t="str">
        <f>LEFT(K17, SEARCH(" ",K17,SEARCH(" ",K17,1)+1))</f>
        <v xml:space="preserve">Mary Kay </v>
      </c>
      <c r="N17" s="116"/>
    </row>
    <row r="18" spans="1:16" x14ac:dyDescent="0.25">
      <c r="A18" s="80"/>
      <c r="B18" s="80" t="s">
        <v>905</v>
      </c>
      <c r="C18" s="80" t="s">
        <v>1040</v>
      </c>
      <c r="D18" s="80" t="s">
        <v>1039</v>
      </c>
      <c r="E18" s="81" t="s">
        <v>1038</v>
      </c>
      <c r="F18" s="80" t="s">
        <v>1217</v>
      </c>
      <c r="G18" s="80"/>
      <c r="K18" t="s">
        <v>1281</v>
      </c>
      <c r="L18" t="str">
        <f>MID(K18,SEARCH(" ",K18,SEARCH(" ",K18,1)+1)+1,SEARCH(" ",K18,SEARCH(" ",K18,SEARCH(" ",K18,1)+1)+1)-(SEARCH(" ",K18,SEARCH(" ",K18,1)+1)+1))</f>
        <v>D.</v>
      </c>
      <c r="N18" s="116"/>
    </row>
    <row r="19" spans="1:16" x14ac:dyDescent="0.25">
      <c r="A19" s="80"/>
      <c r="B19" s="80" t="s">
        <v>1144</v>
      </c>
      <c r="C19" s="80" t="s">
        <v>1037</v>
      </c>
      <c r="D19" s="80" t="s">
        <v>1036</v>
      </c>
      <c r="E19" s="81" t="s">
        <v>1035</v>
      </c>
      <c r="F19" s="80" t="s">
        <v>1218</v>
      </c>
      <c r="G19" s="80"/>
      <c r="K19" t="s">
        <v>1281</v>
      </c>
      <c r="L19" t="str">
        <f>RIGHT(K19,LEN(K19)-SEARCH(" ",K19,SEARCH(" ",K19,SEARCH(" ",K19,1)+1)+1))</f>
        <v>Andersen</v>
      </c>
      <c r="N19" s="116"/>
    </row>
    <row r="20" spans="1:16" x14ac:dyDescent="0.25">
      <c r="A20" s="80">
        <v>4</v>
      </c>
      <c r="B20" s="112" t="s">
        <v>1286</v>
      </c>
      <c r="C20" s="80" t="s">
        <v>1034</v>
      </c>
      <c r="D20" s="80" t="s">
        <v>1033</v>
      </c>
      <c r="E20" s="81" t="s">
        <v>1032</v>
      </c>
      <c r="F20" s="80" t="s">
        <v>1219</v>
      </c>
      <c r="G20" s="80"/>
      <c r="K20" s="80"/>
      <c r="L20" s="80"/>
    </row>
    <row r="21" spans="1:16" x14ac:dyDescent="0.25">
      <c r="A21" s="80"/>
      <c r="B21" s="80" t="s">
        <v>1146</v>
      </c>
      <c r="C21" s="80" t="s">
        <v>1031</v>
      </c>
      <c r="D21" s="80" t="s">
        <v>1030</v>
      </c>
      <c r="E21" s="81" t="s">
        <v>1029</v>
      </c>
      <c r="F21" s="80" t="s">
        <v>1220</v>
      </c>
      <c r="G21" s="80"/>
      <c r="K21" s="82" t="s">
        <v>1292</v>
      </c>
      <c r="P21" t="s">
        <v>1306</v>
      </c>
    </row>
    <row r="22" spans="1:16" x14ac:dyDescent="0.25">
      <c r="A22" s="80"/>
      <c r="B22" s="80" t="s">
        <v>1147</v>
      </c>
      <c r="C22" s="80" t="s">
        <v>1028</v>
      </c>
      <c r="D22" s="80" t="s">
        <v>1027</v>
      </c>
      <c r="E22" s="81" t="s">
        <v>1026</v>
      </c>
      <c r="F22" s="80" t="s">
        <v>1221</v>
      </c>
      <c r="G22" s="80"/>
      <c r="K22" t="s">
        <v>1286</v>
      </c>
      <c r="L22" t="str">
        <f>LEFT(K22, SEARCH(" ",K22,1))</f>
        <v xml:space="preserve">Julie </v>
      </c>
      <c r="N22" s="116" t="str">
        <f>IF(ISERROR(SEARCH(" ", RIGHT(K22, LEN(K22) - SEARCH(" ", K22, 1)), 1)) = TRUE, "", LEFT(RIGHT(K22,LEN(K22) - SEARCH(" ", K22, 1)), SEARCH(" ", RIGHT(K22, LEN(K22) - SEARCH(" ", K22, 1)), 1) - 1))</f>
        <v/>
      </c>
    </row>
    <row r="23" spans="1:16" x14ac:dyDescent="0.25">
      <c r="A23" s="80"/>
      <c r="B23" s="80" t="s">
        <v>1148</v>
      </c>
      <c r="C23" s="80" t="s">
        <v>1025</v>
      </c>
      <c r="D23" s="80" t="s">
        <v>1024</v>
      </c>
      <c r="E23" s="81" t="s">
        <v>1023</v>
      </c>
      <c r="F23" s="80" t="s">
        <v>1222</v>
      </c>
      <c r="G23" s="80"/>
      <c r="K23" t="s">
        <v>1286</v>
      </c>
      <c r="L23" t="str">
        <f>RIGHT(K23,LEN(K23)-SEARCH(" ",K23,1))</f>
        <v>Taft-Rider</v>
      </c>
      <c r="N23" s="116" t="str">
        <f>IF(ISERROR(SEARCH(" ", RIGHT(K23, LEN(K23) - SEARCH(" ", K23, 1)), 1)) = TRUE, "", LEFT(RIGHT(K23,LEN(K23) - SEARCH(" ", K23, 1)), SEARCH(" ", RIGHT(K23, LEN(K23) - SEARCH(" ", K23, 1)), 1) - 1))</f>
        <v/>
      </c>
    </row>
    <row r="24" spans="1:16" x14ac:dyDescent="0.25">
      <c r="A24" s="80"/>
      <c r="B24" s="80" t="s">
        <v>1149</v>
      </c>
      <c r="C24" s="80" t="s">
        <v>1022</v>
      </c>
      <c r="D24" s="80" t="s">
        <v>1021</v>
      </c>
      <c r="E24" s="81" t="s">
        <v>1020</v>
      </c>
      <c r="F24" s="80" t="s">
        <v>1223</v>
      </c>
      <c r="G24" s="80"/>
      <c r="K24" s="80"/>
      <c r="L24" s="80"/>
    </row>
    <row r="25" spans="1:16" x14ac:dyDescent="0.25">
      <c r="A25" s="80">
        <v>5</v>
      </c>
      <c r="B25" s="112" t="s">
        <v>1286</v>
      </c>
      <c r="C25" s="80" t="s">
        <v>1019</v>
      </c>
      <c r="D25" s="80" t="s">
        <v>1018</v>
      </c>
      <c r="E25" s="81" t="s">
        <v>1017</v>
      </c>
      <c r="F25" s="80" t="s">
        <v>1224</v>
      </c>
      <c r="G25" s="80"/>
      <c r="K25" s="82" t="s">
        <v>1293</v>
      </c>
      <c r="L25" s="80"/>
    </row>
    <row r="26" spans="1:16" x14ac:dyDescent="0.25">
      <c r="A26" s="80"/>
      <c r="B26" s="80" t="s">
        <v>1151</v>
      </c>
      <c r="C26" s="80" t="s">
        <v>1016</v>
      </c>
      <c r="D26" s="80" t="s">
        <v>1015</v>
      </c>
      <c r="E26" s="81" t="s">
        <v>1014</v>
      </c>
      <c r="F26" s="80" t="s">
        <v>1225</v>
      </c>
      <c r="G26" s="80"/>
      <c r="K26" t="s">
        <v>1280</v>
      </c>
      <c r="L26" t="str">
        <f>MID(K26,SEARCH(" ",K26,SEARCH(" ",K26,1)+1)+1,SEARCH(" ",K26,SEARCH(" ",K26,SEARCH(" ",K26,1)+1)+1)-SEARCH(" ",K26,SEARCH(" ",K26,1)+1))</f>
        <v xml:space="preserve">Dan </v>
      </c>
      <c r="N26" s="116"/>
    </row>
    <row r="27" spans="1:16" x14ac:dyDescent="0.25">
      <c r="A27" s="80"/>
      <c r="B27" s="80" t="s">
        <v>1152</v>
      </c>
      <c r="C27" s="80" t="s">
        <v>1013</v>
      </c>
      <c r="D27" s="80" t="s">
        <v>1012</v>
      </c>
      <c r="E27" s="81" t="s">
        <v>1011</v>
      </c>
      <c r="F27" s="80" t="s">
        <v>1226</v>
      </c>
      <c r="G27" s="80"/>
      <c r="K27" t="s">
        <v>1280</v>
      </c>
      <c r="L27" s="111" t="str">
        <f>RIGHT(K27,LEN(K27)-SEARCH(" ",K27,SEARCH(" ",K27,SEARCH(" ",K27,1)+1)+1))</f>
        <v>K.</v>
      </c>
      <c r="N27" s="116"/>
    </row>
    <row r="28" spans="1:16" x14ac:dyDescent="0.25">
      <c r="A28" s="80"/>
      <c r="B28" s="80" t="s">
        <v>1282</v>
      </c>
      <c r="C28" s="80" t="s">
        <v>1009</v>
      </c>
      <c r="D28" s="80" t="s">
        <v>885</v>
      </c>
      <c r="E28" s="81" t="s">
        <v>1008</v>
      </c>
      <c r="F28" s="80" t="s">
        <v>1227</v>
      </c>
      <c r="G28" s="80"/>
      <c r="K28" t="s">
        <v>1280</v>
      </c>
      <c r="L28" t="str">
        <f>LEFT(K28, SEARCH(" ",K28,1))</f>
        <v xml:space="preserve">Bacon </v>
      </c>
      <c r="N28" s="116"/>
    </row>
    <row r="29" spans="1:16" x14ac:dyDescent="0.25">
      <c r="A29" s="80"/>
      <c r="B29" s="80" t="s">
        <v>1154</v>
      </c>
      <c r="C29" s="80" t="s">
        <v>1007</v>
      </c>
      <c r="D29" s="80" t="s">
        <v>1006</v>
      </c>
      <c r="E29" s="81" t="s">
        <v>1005</v>
      </c>
      <c r="F29" s="80" t="s">
        <v>1228</v>
      </c>
      <c r="G29" s="80"/>
      <c r="K29" t="s">
        <v>1280</v>
      </c>
      <c r="L29" t="str">
        <f>MID(K29,SEARCH(" ", K29,1)+1,(SEARCH(" ",K29,SEARCH(" ",K29,1)+1)-2)-SEARCH(" ",K29,1))</f>
        <v>Jr.</v>
      </c>
      <c r="N29" s="116"/>
    </row>
    <row r="30" spans="1:16" x14ac:dyDescent="0.25">
      <c r="A30" s="80"/>
      <c r="B30" s="80" t="s">
        <v>1155</v>
      </c>
      <c r="C30" s="80" t="s">
        <v>1004</v>
      </c>
      <c r="D30" s="80" t="s">
        <v>1003</v>
      </c>
      <c r="E30" s="81" t="s">
        <v>1002</v>
      </c>
      <c r="F30" s="80" t="s">
        <v>1229</v>
      </c>
      <c r="G30" s="80"/>
    </row>
    <row r="31" spans="1:16" x14ac:dyDescent="0.25">
      <c r="A31" s="80"/>
      <c r="B31" s="80" t="s">
        <v>1156</v>
      </c>
      <c r="C31" s="80" t="s">
        <v>1001</v>
      </c>
      <c r="D31" s="80" t="s">
        <v>980</v>
      </c>
      <c r="E31" s="81" t="s">
        <v>1000</v>
      </c>
      <c r="F31" s="80" t="s">
        <v>1230</v>
      </c>
      <c r="G31" s="80"/>
    </row>
    <row r="32" spans="1:16" x14ac:dyDescent="0.25">
      <c r="A32" s="80"/>
      <c r="B32" s="80" t="s">
        <v>1157</v>
      </c>
      <c r="C32" s="80" t="s">
        <v>999</v>
      </c>
      <c r="D32" s="80" t="s">
        <v>998</v>
      </c>
      <c r="E32" s="81" t="s">
        <v>997</v>
      </c>
      <c r="F32" s="80" t="s">
        <v>1231</v>
      </c>
      <c r="G32" s="80"/>
    </row>
    <row r="33" spans="1:9" x14ac:dyDescent="0.25">
      <c r="A33" s="80"/>
      <c r="B33" s="80" t="s">
        <v>1158</v>
      </c>
      <c r="C33" s="80" t="s">
        <v>996</v>
      </c>
      <c r="D33" s="80" t="s">
        <v>995</v>
      </c>
      <c r="E33" s="81" t="s">
        <v>994</v>
      </c>
      <c r="F33" s="80" t="s">
        <v>1232</v>
      </c>
      <c r="G33" s="80"/>
    </row>
    <row r="34" spans="1:9" x14ac:dyDescent="0.25">
      <c r="A34" s="80"/>
      <c r="B34" s="80" t="s">
        <v>1159</v>
      </c>
      <c r="C34" s="80" t="s">
        <v>993</v>
      </c>
      <c r="D34" s="80" t="s">
        <v>992</v>
      </c>
      <c r="E34" s="81" t="s">
        <v>991</v>
      </c>
      <c r="F34" s="80" t="s">
        <v>1233</v>
      </c>
      <c r="G34" s="80"/>
    </row>
    <row r="35" spans="1:9" x14ac:dyDescent="0.25">
      <c r="A35" s="80"/>
      <c r="B35" s="80" t="s">
        <v>1160</v>
      </c>
      <c r="C35" s="80" t="s">
        <v>990</v>
      </c>
      <c r="D35" s="80" t="s">
        <v>989</v>
      </c>
      <c r="E35" s="81" t="s">
        <v>988</v>
      </c>
      <c r="F35" s="80" t="s">
        <v>1234</v>
      </c>
      <c r="G35" s="80"/>
    </row>
    <row r="36" spans="1:9" x14ac:dyDescent="0.25">
      <c r="A36" s="80"/>
      <c r="B36" s="80" t="s">
        <v>1161</v>
      </c>
      <c r="C36" s="80" t="s">
        <v>987</v>
      </c>
      <c r="D36" s="80" t="s">
        <v>986</v>
      </c>
      <c r="E36" s="81" t="s">
        <v>985</v>
      </c>
      <c r="F36" s="80" t="s">
        <v>1235</v>
      </c>
      <c r="G36" s="80"/>
    </row>
    <row r="37" spans="1:9" x14ac:dyDescent="0.25">
      <c r="A37" s="80"/>
      <c r="B37" s="80" t="s">
        <v>1162</v>
      </c>
      <c r="C37" s="80" t="s">
        <v>983</v>
      </c>
      <c r="D37" s="80" t="s">
        <v>982</v>
      </c>
      <c r="E37" s="81" t="s">
        <v>918</v>
      </c>
      <c r="F37" s="80" t="s">
        <v>1236</v>
      </c>
      <c r="G37" s="80"/>
    </row>
    <row r="38" spans="1:9" x14ac:dyDescent="0.25">
      <c r="A38" s="80"/>
      <c r="B38" s="80" t="s">
        <v>1163</v>
      </c>
      <c r="C38" s="80" t="s">
        <v>981</v>
      </c>
      <c r="D38" s="80" t="s">
        <v>980</v>
      </c>
      <c r="E38" s="81" t="s">
        <v>979</v>
      </c>
      <c r="F38" s="80" t="s">
        <v>1237</v>
      </c>
      <c r="G38" s="80"/>
    </row>
    <row r="39" spans="1:9" x14ac:dyDescent="0.25">
      <c r="A39" s="80">
        <v>6</v>
      </c>
      <c r="B39" s="112" t="s">
        <v>1280</v>
      </c>
      <c r="C39" s="80" t="s">
        <v>978</v>
      </c>
      <c r="D39" s="80" t="s">
        <v>977</v>
      </c>
      <c r="E39" s="81" t="s">
        <v>976</v>
      </c>
      <c r="F39" s="80" t="s">
        <v>1238</v>
      </c>
      <c r="G39" s="80"/>
    </row>
    <row r="40" spans="1:9" x14ac:dyDescent="0.25">
      <c r="A40" s="80"/>
      <c r="B40" s="80" t="s">
        <v>1165</v>
      </c>
      <c r="C40" s="80" t="s">
        <v>975</v>
      </c>
      <c r="D40" s="80" t="s">
        <v>974</v>
      </c>
      <c r="E40" s="81" t="s">
        <v>973</v>
      </c>
      <c r="F40" s="80" t="s">
        <v>1239</v>
      </c>
      <c r="G40" s="80"/>
    </row>
    <row r="41" spans="1:9" x14ac:dyDescent="0.25">
      <c r="A41" s="80"/>
      <c r="B41" s="80" t="s">
        <v>1166</v>
      </c>
      <c r="C41" s="80" t="s">
        <v>972</v>
      </c>
      <c r="D41" s="80" t="s">
        <v>971</v>
      </c>
      <c r="E41" s="81" t="s">
        <v>970</v>
      </c>
      <c r="F41" s="80" t="s">
        <v>1240</v>
      </c>
      <c r="G41" s="80"/>
      <c r="H41" s="80"/>
      <c r="I41" s="80"/>
    </row>
    <row r="42" spans="1:9" x14ac:dyDescent="0.25">
      <c r="A42" s="80"/>
      <c r="B42" s="80" t="s">
        <v>1167</v>
      </c>
      <c r="C42" s="80" t="s">
        <v>969</v>
      </c>
      <c r="D42" s="80" t="s">
        <v>968</v>
      </c>
      <c r="E42" s="81" t="s">
        <v>967</v>
      </c>
      <c r="F42" s="80" t="s">
        <v>1241</v>
      </c>
      <c r="G42" s="80"/>
      <c r="H42" s="80"/>
      <c r="I42" s="80"/>
    </row>
    <row r="43" spans="1:9" x14ac:dyDescent="0.25">
      <c r="A43" s="80"/>
      <c r="B43" s="80" t="s">
        <v>1168</v>
      </c>
      <c r="C43" s="80" t="s">
        <v>966</v>
      </c>
      <c r="D43" s="80" t="s">
        <v>965</v>
      </c>
      <c r="E43" s="81" t="s">
        <v>964</v>
      </c>
      <c r="F43" s="80" t="s">
        <v>1242</v>
      </c>
      <c r="G43" s="80"/>
      <c r="H43" s="80"/>
      <c r="I43" s="80"/>
    </row>
    <row r="44" spans="1:9" x14ac:dyDescent="0.25">
      <c r="A44" s="80"/>
      <c r="B44" s="80" t="s">
        <v>1169</v>
      </c>
      <c r="C44" s="80" t="s">
        <v>962</v>
      </c>
      <c r="D44" s="80" t="s">
        <v>961</v>
      </c>
      <c r="E44" s="81" t="s">
        <v>960</v>
      </c>
      <c r="F44" s="80" t="s">
        <v>1243</v>
      </c>
      <c r="G44" s="80"/>
      <c r="H44" s="80"/>
      <c r="I44" s="80"/>
    </row>
    <row r="45" spans="1:9" x14ac:dyDescent="0.25">
      <c r="A45" s="80"/>
      <c r="B45" s="80" t="s">
        <v>1170</v>
      </c>
      <c r="C45" s="80" t="s">
        <v>958</v>
      </c>
      <c r="D45" s="80" t="s">
        <v>957</v>
      </c>
      <c r="E45" s="81" t="s">
        <v>956</v>
      </c>
      <c r="F45" s="80" t="s">
        <v>1244</v>
      </c>
      <c r="G45" s="80"/>
      <c r="H45" s="80"/>
      <c r="I45" s="80"/>
    </row>
    <row r="46" spans="1:9" x14ac:dyDescent="0.25">
      <c r="A46" s="80"/>
      <c r="B46" s="80" t="s">
        <v>1171</v>
      </c>
      <c r="C46" s="80" t="s">
        <v>1127</v>
      </c>
      <c r="D46" s="80" t="s">
        <v>934</v>
      </c>
      <c r="E46" s="81" t="s">
        <v>955</v>
      </c>
      <c r="F46" s="80" t="s">
        <v>1245</v>
      </c>
      <c r="G46" s="80"/>
      <c r="H46" s="80"/>
      <c r="I46" s="80"/>
    </row>
    <row r="47" spans="1:9" x14ac:dyDescent="0.25">
      <c r="A47" s="80"/>
      <c r="B47" s="80" t="s">
        <v>1172</v>
      </c>
      <c r="C47" s="80" t="s">
        <v>954</v>
      </c>
      <c r="D47" s="80" t="s">
        <v>953</v>
      </c>
      <c r="E47" s="81" t="s">
        <v>952</v>
      </c>
      <c r="F47" s="80" t="s">
        <v>1246</v>
      </c>
      <c r="G47" s="80"/>
      <c r="H47" s="80"/>
      <c r="I47" s="80"/>
    </row>
    <row r="48" spans="1:9" x14ac:dyDescent="0.25">
      <c r="A48" s="80"/>
      <c r="B48" s="80" t="s">
        <v>1173</v>
      </c>
      <c r="C48" s="80" t="s">
        <v>951</v>
      </c>
      <c r="D48" s="80" t="s">
        <v>950</v>
      </c>
      <c r="E48" s="81" t="s">
        <v>949</v>
      </c>
      <c r="F48" s="80" t="s">
        <v>1247</v>
      </c>
      <c r="G48" s="80"/>
      <c r="H48" s="80"/>
      <c r="I48" s="80"/>
    </row>
    <row r="49" spans="1:9" x14ac:dyDescent="0.25">
      <c r="A49" s="80"/>
      <c r="B49" s="80" t="s">
        <v>1174</v>
      </c>
      <c r="C49" s="80" t="s">
        <v>948</v>
      </c>
      <c r="D49" s="80" t="s">
        <v>947</v>
      </c>
      <c r="E49" s="81" t="s">
        <v>946</v>
      </c>
      <c r="F49" s="80" t="s">
        <v>1248</v>
      </c>
      <c r="G49" s="80"/>
      <c r="H49" s="80"/>
      <c r="I49" s="80"/>
    </row>
    <row r="50" spans="1:9" x14ac:dyDescent="0.25">
      <c r="A50" s="80"/>
      <c r="B50" s="80" t="s">
        <v>1175</v>
      </c>
      <c r="C50" s="80" t="s">
        <v>945</v>
      </c>
      <c r="D50" s="80" t="s">
        <v>944</v>
      </c>
      <c r="E50" s="81" t="s">
        <v>943</v>
      </c>
      <c r="F50" s="80" t="s">
        <v>1249</v>
      </c>
      <c r="G50" s="80"/>
      <c r="H50" s="80"/>
      <c r="I50" s="80"/>
    </row>
    <row r="51" spans="1:9" x14ac:dyDescent="0.25">
      <c r="A51" s="80"/>
      <c r="B51" s="80" t="s">
        <v>1176</v>
      </c>
      <c r="C51" s="80" t="s">
        <v>941</v>
      </c>
      <c r="D51" s="80" t="s">
        <v>940</v>
      </c>
      <c r="E51" s="81" t="s">
        <v>939</v>
      </c>
      <c r="F51" s="80" t="s">
        <v>1250</v>
      </c>
      <c r="G51" s="80"/>
      <c r="H51" s="80"/>
      <c r="I51" s="80"/>
    </row>
    <row r="52" spans="1:9" x14ac:dyDescent="0.25">
      <c r="A52" s="80"/>
      <c r="B52" s="80" t="s">
        <v>1177</v>
      </c>
      <c r="C52" s="80" t="s">
        <v>938</v>
      </c>
      <c r="D52" s="80" t="s">
        <v>937</v>
      </c>
      <c r="E52" s="81" t="s">
        <v>936</v>
      </c>
      <c r="F52" s="80" t="s">
        <v>1251</v>
      </c>
      <c r="G52" s="80"/>
      <c r="H52" s="80"/>
      <c r="I52" s="80"/>
    </row>
    <row r="53" spans="1:9" x14ac:dyDescent="0.25">
      <c r="A53" s="80"/>
      <c r="B53" s="80" t="s">
        <v>1178</v>
      </c>
      <c r="C53" s="80" t="s">
        <v>935</v>
      </c>
      <c r="D53" s="80" t="s">
        <v>934</v>
      </c>
      <c r="E53" s="81" t="s">
        <v>933</v>
      </c>
      <c r="F53" s="80" t="s">
        <v>1252</v>
      </c>
      <c r="G53" s="80"/>
      <c r="H53" s="80"/>
      <c r="I53" s="80"/>
    </row>
    <row r="54" spans="1:9" x14ac:dyDescent="0.25">
      <c r="A54" s="80"/>
      <c r="B54" s="80" t="s">
        <v>1179</v>
      </c>
      <c r="C54" s="80" t="s">
        <v>932</v>
      </c>
      <c r="D54" s="80" t="s">
        <v>931</v>
      </c>
      <c r="E54" s="81" t="s">
        <v>930</v>
      </c>
      <c r="F54" s="80" t="s">
        <v>1253</v>
      </c>
      <c r="G54" s="80"/>
      <c r="H54" s="80"/>
      <c r="I54" s="80"/>
    </row>
    <row r="55" spans="1:9" x14ac:dyDescent="0.25">
      <c r="A55" s="80"/>
      <c r="B55" s="80" t="s">
        <v>1180</v>
      </c>
      <c r="C55" s="80" t="s">
        <v>929</v>
      </c>
      <c r="D55" s="80" t="s">
        <v>928</v>
      </c>
      <c r="E55" s="81" t="s">
        <v>927</v>
      </c>
      <c r="F55" s="80" t="s">
        <v>1254</v>
      </c>
      <c r="G55" s="80"/>
      <c r="H55" s="80"/>
      <c r="I55" s="80"/>
    </row>
    <row r="56" spans="1:9" x14ac:dyDescent="0.25">
      <c r="A56" s="80"/>
      <c r="B56" s="80" t="s">
        <v>1181</v>
      </c>
      <c r="C56" s="80" t="s">
        <v>926</v>
      </c>
      <c r="D56" s="80" t="s">
        <v>925</v>
      </c>
      <c r="E56" s="81" t="s">
        <v>924</v>
      </c>
      <c r="F56" s="80" t="s">
        <v>1255</v>
      </c>
      <c r="G56" s="80"/>
      <c r="H56" s="80"/>
      <c r="I56" s="80"/>
    </row>
    <row r="57" spans="1:9" x14ac:dyDescent="0.25">
      <c r="A57" s="80"/>
      <c r="B57" s="80" t="s">
        <v>1182</v>
      </c>
      <c r="C57" s="80" t="s">
        <v>923</v>
      </c>
      <c r="D57" s="80" t="s">
        <v>922</v>
      </c>
      <c r="E57" s="81" t="s">
        <v>921</v>
      </c>
      <c r="F57" s="80" t="s">
        <v>1256</v>
      </c>
      <c r="G57" s="80"/>
      <c r="H57" s="80"/>
      <c r="I57" s="80"/>
    </row>
    <row r="58" spans="1:9" x14ac:dyDescent="0.25">
      <c r="A58" s="80"/>
      <c r="B58" s="80" t="s">
        <v>1183</v>
      </c>
      <c r="C58" s="80" t="s">
        <v>920</v>
      </c>
      <c r="D58" s="80" t="s">
        <v>919</v>
      </c>
      <c r="E58" s="81" t="s">
        <v>918</v>
      </c>
      <c r="F58" s="80" t="s">
        <v>1257</v>
      </c>
      <c r="G58" s="80"/>
      <c r="H58" s="80"/>
      <c r="I58" s="80"/>
    </row>
    <row r="59" spans="1:9" x14ac:dyDescent="0.25">
      <c r="A59" s="80"/>
      <c r="B59" s="80" t="s">
        <v>1184</v>
      </c>
      <c r="C59" s="80" t="s">
        <v>917</v>
      </c>
      <c r="D59" s="80" t="s">
        <v>916</v>
      </c>
      <c r="E59" s="81" t="s">
        <v>915</v>
      </c>
      <c r="F59" s="80" t="s">
        <v>1258</v>
      </c>
      <c r="G59" s="80"/>
      <c r="H59" s="80"/>
      <c r="I59" s="80"/>
    </row>
    <row r="60" spans="1:9" x14ac:dyDescent="0.25">
      <c r="A60" s="80"/>
      <c r="B60" s="80" t="s">
        <v>1185</v>
      </c>
      <c r="C60" s="80" t="s">
        <v>914</v>
      </c>
      <c r="D60" s="80" t="s">
        <v>913</v>
      </c>
      <c r="E60" s="81" t="s">
        <v>912</v>
      </c>
      <c r="F60" s="80" t="s">
        <v>1259</v>
      </c>
      <c r="G60" s="80"/>
      <c r="H60" s="80"/>
      <c r="I60" s="80"/>
    </row>
    <row r="61" spans="1:9" x14ac:dyDescent="0.25">
      <c r="A61" s="80"/>
      <c r="B61" s="80" t="s">
        <v>1186</v>
      </c>
      <c r="C61" s="80" t="s">
        <v>911</v>
      </c>
      <c r="D61" s="80" t="s">
        <v>910</v>
      </c>
      <c r="E61" s="81" t="s">
        <v>909</v>
      </c>
      <c r="F61" s="80" t="s">
        <v>1260</v>
      </c>
      <c r="G61" s="80"/>
      <c r="H61" s="80"/>
      <c r="I61" s="80"/>
    </row>
    <row r="62" spans="1:9" x14ac:dyDescent="0.25">
      <c r="A62" s="80"/>
      <c r="B62" s="80" t="s">
        <v>1187</v>
      </c>
      <c r="C62" s="80" t="s">
        <v>908</v>
      </c>
      <c r="D62" s="80" t="s">
        <v>907</v>
      </c>
      <c r="E62" s="81" t="s">
        <v>906</v>
      </c>
      <c r="F62" s="80" t="s">
        <v>1261</v>
      </c>
      <c r="G62" s="80"/>
      <c r="H62" s="80"/>
      <c r="I62" s="80"/>
    </row>
    <row r="63" spans="1:9" x14ac:dyDescent="0.25">
      <c r="A63" s="80"/>
      <c r="B63" s="80" t="s">
        <v>1188</v>
      </c>
      <c r="C63" s="80" t="s">
        <v>904</v>
      </c>
      <c r="D63" s="80" t="s">
        <v>903</v>
      </c>
      <c r="E63" s="81" t="s">
        <v>902</v>
      </c>
      <c r="F63" s="80" t="s">
        <v>1262</v>
      </c>
      <c r="G63" s="80"/>
      <c r="H63" s="80"/>
      <c r="I63" s="80"/>
    </row>
    <row r="64" spans="1:9" x14ac:dyDescent="0.25">
      <c r="A64" s="80"/>
      <c r="B64" s="80" t="s">
        <v>1189</v>
      </c>
      <c r="C64" s="80" t="s">
        <v>901</v>
      </c>
      <c r="D64" s="80" t="s">
        <v>900</v>
      </c>
      <c r="E64" s="81" t="s">
        <v>899</v>
      </c>
      <c r="F64" s="80" t="s">
        <v>1263</v>
      </c>
      <c r="G64" s="80"/>
      <c r="H64" s="80"/>
      <c r="I64" s="80"/>
    </row>
    <row r="65" spans="1:9" x14ac:dyDescent="0.25">
      <c r="A65" s="80"/>
      <c r="B65" s="80" t="s">
        <v>1190</v>
      </c>
      <c r="C65" s="80" t="s">
        <v>898</v>
      </c>
      <c r="D65" s="80" t="s">
        <v>897</v>
      </c>
      <c r="E65" s="81" t="s">
        <v>896</v>
      </c>
      <c r="F65" s="80" t="s">
        <v>1264</v>
      </c>
      <c r="G65" s="80"/>
      <c r="H65" s="80"/>
      <c r="I65" s="80"/>
    </row>
    <row r="66" spans="1:9" x14ac:dyDescent="0.25">
      <c r="A66" s="80"/>
      <c r="B66" s="80" t="s">
        <v>1191</v>
      </c>
      <c r="C66" s="80" t="s">
        <v>895</v>
      </c>
      <c r="D66" s="80" t="s">
        <v>894</v>
      </c>
      <c r="E66" s="81" t="s">
        <v>893</v>
      </c>
      <c r="F66" s="80" t="s">
        <v>1265</v>
      </c>
      <c r="G66" s="80"/>
      <c r="H66" s="80"/>
      <c r="I66" s="80"/>
    </row>
    <row r="67" spans="1:9" x14ac:dyDescent="0.25">
      <c r="A67" s="80"/>
      <c r="B67" s="80" t="s">
        <v>1192</v>
      </c>
      <c r="C67" s="80" t="s">
        <v>892</v>
      </c>
      <c r="D67" s="80" t="s">
        <v>891</v>
      </c>
      <c r="E67" s="81" t="s">
        <v>890</v>
      </c>
      <c r="F67" s="80" t="s">
        <v>1266</v>
      </c>
      <c r="G67" s="80"/>
      <c r="H67" s="80"/>
      <c r="I67" s="80"/>
    </row>
    <row r="68" spans="1:9" x14ac:dyDescent="0.25">
      <c r="A68" s="80"/>
      <c r="B68" s="80" t="s">
        <v>1193</v>
      </c>
      <c r="C68" s="80" t="s">
        <v>889</v>
      </c>
      <c r="D68" s="80" t="s">
        <v>888</v>
      </c>
      <c r="E68" s="81" t="s">
        <v>887</v>
      </c>
      <c r="F68" s="80" t="s">
        <v>1267</v>
      </c>
      <c r="G68" s="80"/>
      <c r="H68" s="80"/>
      <c r="I68" s="80"/>
    </row>
    <row r="69" spans="1:9" x14ac:dyDescent="0.25">
      <c r="A69" s="80"/>
      <c r="B69" s="80" t="s">
        <v>1194</v>
      </c>
      <c r="C69" s="80" t="s">
        <v>886</v>
      </c>
      <c r="D69" s="80" t="s">
        <v>885</v>
      </c>
      <c r="E69" s="81" t="s">
        <v>884</v>
      </c>
      <c r="F69" s="80" t="s">
        <v>1268</v>
      </c>
      <c r="G69" s="80"/>
      <c r="H69" s="80"/>
      <c r="I69" s="80"/>
    </row>
    <row r="70" spans="1:9" x14ac:dyDescent="0.25">
      <c r="A70" s="80"/>
      <c r="B70" s="80" t="s">
        <v>1195</v>
      </c>
      <c r="C70" s="80" t="s">
        <v>883</v>
      </c>
      <c r="D70" s="80" t="s">
        <v>882</v>
      </c>
      <c r="E70" s="81" t="s">
        <v>881</v>
      </c>
      <c r="F70" s="80" t="s">
        <v>1269</v>
      </c>
      <c r="G70" s="80"/>
      <c r="H70" s="80"/>
      <c r="I70" s="80"/>
    </row>
    <row r="71" spans="1:9" x14ac:dyDescent="0.25">
      <c r="A71" s="80"/>
      <c r="B71" s="80" t="s">
        <v>1196</v>
      </c>
      <c r="C71" s="80" t="s">
        <v>880</v>
      </c>
      <c r="D71" s="80" t="s">
        <v>879</v>
      </c>
      <c r="E71" s="81" t="s">
        <v>878</v>
      </c>
      <c r="F71" s="80" t="s">
        <v>1270</v>
      </c>
      <c r="G71" s="80"/>
      <c r="H71" s="80"/>
      <c r="I71" s="80"/>
    </row>
    <row r="72" spans="1:9" x14ac:dyDescent="0.25">
      <c r="A72" s="80"/>
      <c r="B72" s="80" t="s">
        <v>1197</v>
      </c>
      <c r="C72" s="80" t="s">
        <v>877</v>
      </c>
      <c r="D72" s="80" t="s">
        <v>876</v>
      </c>
      <c r="E72" s="81" t="s">
        <v>875</v>
      </c>
      <c r="F72" s="80" t="s">
        <v>1271</v>
      </c>
      <c r="G72" s="80"/>
      <c r="H72" s="80"/>
      <c r="I72" s="80"/>
    </row>
    <row r="73" spans="1:9" x14ac:dyDescent="0.25">
      <c r="A73" s="80"/>
      <c r="B73" s="80" t="s">
        <v>942</v>
      </c>
      <c r="C73" s="80" t="s">
        <v>874</v>
      </c>
      <c r="D73" s="80" t="s">
        <v>873</v>
      </c>
      <c r="E73" s="81" t="s">
        <v>872</v>
      </c>
      <c r="F73" s="80" t="s">
        <v>1272</v>
      </c>
      <c r="G73" s="80"/>
      <c r="H73" s="80"/>
      <c r="I73" s="80"/>
    </row>
    <row r="74" spans="1:9" x14ac:dyDescent="0.25">
      <c r="A74" s="80"/>
      <c r="B74" s="80" t="s">
        <v>1044</v>
      </c>
      <c r="C74" s="80" t="s">
        <v>871</v>
      </c>
      <c r="D74" s="80" t="s">
        <v>870</v>
      </c>
      <c r="E74" s="81" t="s">
        <v>869</v>
      </c>
      <c r="F74" s="80" t="s">
        <v>1273</v>
      </c>
      <c r="G74" s="80"/>
      <c r="H74" s="80"/>
      <c r="I74" s="80"/>
    </row>
    <row r="75" spans="1:9" x14ac:dyDescent="0.25">
      <c r="A75" s="80"/>
      <c r="B75" s="80" t="s">
        <v>984</v>
      </c>
      <c r="C75" s="80" t="s">
        <v>868</v>
      </c>
      <c r="D75" s="80" t="s">
        <v>867</v>
      </c>
      <c r="E75" s="81" t="s">
        <v>866</v>
      </c>
      <c r="F75" s="80" t="s">
        <v>1274</v>
      </c>
      <c r="G75" s="80"/>
      <c r="H75" s="80"/>
      <c r="I75" s="80"/>
    </row>
    <row r="76" spans="1:9" x14ac:dyDescent="0.25">
      <c r="A76" s="80"/>
      <c r="B76" s="80" t="s">
        <v>959</v>
      </c>
      <c r="C76" s="80" t="s">
        <v>865</v>
      </c>
      <c r="D76" s="80" t="s">
        <v>864</v>
      </c>
      <c r="E76" s="81" t="s">
        <v>863</v>
      </c>
      <c r="F76" s="80" t="s">
        <v>1275</v>
      </c>
      <c r="G76" s="80"/>
      <c r="H76" s="80"/>
      <c r="I76" s="80"/>
    </row>
    <row r="77" spans="1:9" x14ac:dyDescent="0.25">
      <c r="A77" s="80"/>
      <c r="B77" s="80" t="s">
        <v>1048</v>
      </c>
      <c r="C77" s="80" t="s">
        <v>862</v>
      </c>
      <c r="D77" s="80" t="s">
        <v>861</v>
      </c>
      <c r="E77" s="81" t="s">
        <v>860</v>
      </c>
      <c r="F77" s="80" t="s">
        <v>1276</v>
      </c>
      <c r="G77" s="80"/>
      <c r="H77" s="80"/>
      <c r="I77" s="80"/>
    </row>
    <row r="78" spans="1:9" x14ac:dyDescent="0.25">
      <c r="A78" s="80"/>
      <c r="B78" s="80" t="s">
        <v>1010</v>
      </c>
      <c r="C78" s="80" t="s">
        <v>859</v>
      </c>
      <c r="D78" s="80" t="s">
        <v>858</v>
      </c>
      <c r="E78" s="81" t="s">
        <v>857</v>
      </c>
      <c r="F78" s="80" t="s">
        <v>1277</v>
      </c>
      <c r="G78" s="80"/>
      <c r="H78" s="80"/>
      <c r="I78" s="80"/>
    </row>
    <row r="79" spans="1:9" x14ac:dyDescent="0.25">
      <c r="A79" s="80"/>
      <c r="B79" s="80" t="s">
        <v>963</v>
      </c>
      <c r="C79" s="80" t="s">
        <v>856</v>
      </c>
      <c r="D79" s="80" t="s">
        <v>855</v>
      </c>
      <c r="E79" s="81" t="s">
        <v>854</v>
      </c>
      <c r="F79" s="80" t="s">
        <v>1278</v>
      </c>
      <c r="G79" s="80"/>
      <c r="H79" s="80"/>
      <c r="I79" s="80"/>
    </row>
    <row r="80" spans="1:9" x14ac:dyDescent="0.25">
      <c r="A80" s="80"/>
      <c r="B80" s="80" t="s">
        <v>1091</v>
      </c>
      <c r="C80" s="80" t="s">
        <v>853</v>
      </c>
      <c r="D80" s="80" t="s">
        <v>852</v>
      </c>
      <c r="E80" s="81" t="s">
        <v>851</v>
      </c>
      <c r="F80" s="80" t="s">
        <v>1279</v>
      </c>
      <c r="G80" s="80"/>
      <c r="H80" s="80"/>
      <c r="I80" s="8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0"/>
  <sheetViews>
    <sheetView tabSelected="1" zoomScale="130" zoomScaleNormal="130" workbookViewId="0">
      <selection activeCell="C4" sqref="C4"/>
    </sheetView>
  </sheetViews>
  <sheetFormatPr defaultRowHeight="15" customHeight="1" x14ac:dyDescent="0.25"/>
  <cols>
    <col min="1" max="1" width="17.5703125" customWidth="1"/>
    <col min="2" max="2" width="21.85546875" bestFit="1" customWidth="1"/>
    <col min="3" max="3" width="30.28515625" bestFit="1" customWidth="1"/>
    <col min="4" max="4" width="18" bestFit="1" customWidth="1"/>
    <col min="5" max="5" width="22.28515625" bestFit="1" customWidth="1"/>
  </cols>
  <sheetData>
    <row r="1" spans="1:5" x14ac:dyDescent="0.25">
      <c r="A1" s="82" t="s">
        <v>1095</v>
      </c>
      <c r="B1" s="82" t="s">
        <v>1094</v>
      </c>
      <c r="C1" s="82" t="s">
        <v>1093</v>
      </c>
      <c r="D1" s="82" t="s">
        <v>1092</v>
      </c>
      <c r="E1" s="110" t="s">
        <v>1200</v>
      </c>
    </row>
    <row r="2" spans="1:5" x14ac:dyDescent="0.25">
      <c r="A2" s="80" t="s">
        <v>1128</v>
      </c>
      <c r="B2" s="80" t="s">
        <v>1090</v>
      </c>
      <c r="C2" s="80" t="s">
        <v>1089</v>
      </c>
      <c r="D2" s="81" t="s">
        <v>1088</v>
      </c>
      <c r="E2" s="80" t="s">
        <v>1201</v>
      </c>
    </row>
    <row r="3" spans="1:5" x14ac:dyDescent="0.25">
      <c r="A3" s="80" t="s">
        <v>1129</v>
      </c>
      <c r="B3" s="80" t="s">
        <v>1087</v>
      </c>
      <c r="C3" s="80" t="s">
        <v>1086</v>
      </c>
      <c r="D3" s="81" t="s">
        <v>1085</v>
      </c>
      <c r="E3" s="80" t="s">
        <v>1202</v>
      </c>
    </row>
    <row r="4" spans="1:5" x14ac:dyDescent="0.25">
      <c r="A4" s="80" t="s">
        <v>1130</v>
      </c>
      <c r="B4" s="80" t="s">
        <v>1084</v>
      </c>
      <c r="C4" s="80" t="s">
        <v>1083</v>
      </c>
      <c r="D4" s="81" t="s">
        <v>1082</v>
      </c>
      <c r="E4" s="80" t="s">
        <v>1203</v>
      </c>
    </row>
    <row r="5" spans="1:5" x14ac:dyDescent="0.25">
      <c r="A5" s="80" t="s">
        <v>1131</v>
      </c>
      <c r="B5" s="80" t="s">
        <v>1081</v>
      </c>
      <c r="C5" s="80" t="s">
        <v>1080</v>
      </c>
      <c r="D5" s="81" t="s">
        <v>1079</v>
      </c>
      <c r="E5" s="80" t="s">
        <v>1204</v>
      </c>
    </row>
    <row r="6" spans="1:5" x14ac:dyDescent="0.25">
      <c r="A6" s="80" t="s">
        <v>1132</v>
      </c>
      <c r="B6" s="80" t="s">
        <v>1078</v>
      </c>
      <c r="C6" s="80" t="s">
        <v>1077</v>
      </c>
      <c r="D6" s="81" t="s">
        <v>1076</v>
      </c>
      <c r="E6" s="80" t="s">
        <v>1205</v>
      </c>
    </row>
    <row r="7" spans="1:5" x14ac:dyDescent="0.25">
      <c r="A7" s="80" t="s">
        <v>1133</v>
      </c>
      <c r="B7" s="80" t="s">
        <v>1075</v>
      </c>
      <c r="C7" s="80" t="s">
        <v>1074</v>
      </c>
      <c r="D7" s="81" t="s">
        <v>1073</v>
      </c>
      <c r="E7" s="80" t="s">
        <v>1206</v>
      </c>
    </row>
    <row r="8" spans="1:5" x14ac:dyDescent="0.25">
      <c r="A8" s="80" t="s">
        <v>1134</v>
      </c>
      <c r="B8" s="80" t="s">
        <v>1072</v>
      </c>
      <c r="C8" s="80" t="s">
        <v>1071</v>
      </c>
      <c r="D8" s="81" t="s">
        <v>1070</v>
      </c>
      <c r="E8" s="80" t="s">
        <v>1207</v>
      </c>
    </row>
    <row r="9" spans="1:5" x14ac:dyDescent="0.25">
      <c r="A9" s="80" t="s">
        <v>1135</v>
      </c>
      <c r="B9" s="80" t="s">
        <v>1069</v>
      </c>
      <c r="C9" s="80" t="s">
        <v>1068</v>
      </c>
      <c r="D9" s="81" t="s">
        <v>1067</v>
      </c>
      <c r="E9" s="80" t="s">
        <v>1208</v>
      </c>
    </row>
    <row r="10" spans="1:5" x14ac:dyDescent="0.25">
      <c r="A10" s="80" t="s">
        <v>1136</v>
      </c>
      <c r="B10" s="80" t="s">
        <v>1066</v>
      </c>
      <c r="C10" s="80" t="s">
        <v>1065</v>
      </c>
      <c r="D10" s="81" t="s">
        <v>1064</v>
      </c>
      <c r="E10" s="80" t="s">
        <v>1209</v>
      </c>
    </row>
    <row r="11" spans="1:5" x14ac:dyDescent="0.25">
      <c r="A11" s="80" t="s">
        <v>1137</v>
      </c>
      <c r="B11" s="80" t="s">
        <v>1063</v>
      </c>
      <c r="C11" s="80" t="s">
        <v>1062</v>
      </c>
      <c r="D11" s="81" t="s">
        <v>1061</v>
      </c>
      <c r="E11" s="80" t="s">
        <v>1210</v>
      </c>
    </row>
    <row r="12" spans="1:5" x14ac:dyDescent="0.25">
      <c r="A12" s="80" t="s">
        <v>1138</v>
      </c>
      <c r="B12" s="80" t="s">
        <v>1060</v>
      </c>
      <c r="C12" s="80" t="s">
        <v>1059</v>
      </c>
      <c r="D12" s="81" t="s">
        <v>1058</v>
      </c>
      <c r="E12" s="80" t="s">
        <v>1211</v>
      </c>
    </row>
    <row r="13" spans="1:5" x14ac:dyDescent="0.25">
      <c r="A13" s="80" t="s">
        <v>1139</v>
      </c>
      <c r="B13" s="80" t="s">
        <v>1057</v>
      </c>
      <c r="C13" s="80" t="s">
        <v>1056</v>
      </c>
      <c r="D13" s="81" t="s">
        <v>1055</v>
      </c>
      <c r="E13" s="80" t="s">
        <v>1212</v>
      </c>
    </row>
    <row r="14" spans="1:5" x14ac:dyDescent="0.25">
      <c r="A14" s="80" t="s">
        <v>1140</v>
      </c>
      <c r="B14" s="80" t="s">
        <v>1054</v>
      </c>
      <c r="C14" s="80" t="s">
        <v>1053</v>
      </c>
      <c r="D14" s="81" t="s">
        <v>1052</v>
      </c>
      <c r="E14" s="80" t="s">
        <v>1213</v>
      </c>
    </row>
    <row r="15" spans="1:5" x14ac:dyDescent="0.25">
      <c r="A15" s="80" t="s">
        <v>1141</v>
      </c>
      <c r="B15" s="80" t="s">
        <v>1051</v>
      </c>
      <c r="C15" s="80" t="s">
        <v>1050</v>
      </c>
      <c r="D15" s="81" t="s">
        <v>1049</v>
      </c>
      <c r="E15" s="80" t="s">
        <v>1214</v>
      </c>
    </row>
    <row r="16" spans="1:5" x14ac:dyDescent="0.25">
      <c r="A16" s="80" t="s">
        <v>1142</v>
      </c>
      <c r="B16" s="80" t="s">
        <v>1047</v>
      </c>
      <c r="C16" s="80" t="s">
        <v>1046</v>
      </c>
      <c r="D16" s="81" t="s">
        <v>1045</v>
      </c>
      <c r="E16" s="80" t="s">
        <v>1215</v>
      </c>
    </row>
    <row r="17" spans="1:5" x14ac:dyDescent="0.25">
      <c r="A17" s="80" t="s">
        <v>1143</v>
      </c>
      <c r="B17" s="80" t="s">
        <v>1043</v>
      </c>
      <c r="C17" s="80" t="s">
        <v>1042</v>
      </c>
      <c r="D17" s="81" t="s">
        <v>1041</v>
      </c>
      <c r="E17" s="80" t="s">
        <v>1216</v>
      </c>
    </row>
    <row r="18" spans="1:5" x14ac:dyDescent="0.25">
      <c r="A18" s="80" t="s">
        <v>905</v>
      </c>
      <c r="B18" s="80" t="s">
        <v>1040</v>
      </c>
      <c r="C18" s="80" t="s">
        <v>1039</v>
      </c>
      <c r="D18" s="81" t="s">
        <v>1038</v>
      </c>
      <c r="E18" s="80" t="s">
        <v>1217</v>
      </c>
    </row>
    <row r="19" spans="1:5" x14ac:dyDescent="0.25">
      <c r="A19" s="80" t="s">
        <v>1144</v>
      </c>
      <c r="B19" s="80" t="s">
        <v>1037</v>
      </c>
      <c r="C19" s="80" t="s">
        <v>1036</v>
      </c>
      <c r="D19" s="81" t="s">
        <v>1035</v>
      </c>
      <c r="E19" s="80" t="s">
        <v>1218</v>
      </c>
    </row>
    <row r="20" spans="1:5" x14ac:dyDescent="0.25">
      <c r="A20" s="80" t="s">
        <v>1145</v>
      </c>
      <c r="B20" s="80" t="s">
        <v>1034</v>
      </c>
      <c r="C20" s="80" t="s">
        <v>1033</v>
      </c>
      <c r="D20" s="81" t="s">
        <v>1032</v>
      </c>
      <c r="E20" s="80" t="s">
        <v>1219</v>
      </c>
    </row>
    <row r="21" spans="1:5" x14ac:dyDescent="0.25">
      <c r="A21" s="80" t="s">
        <v>1146</v>
      </c>
      <c r="B21" s="80" t="s">
        <v>1031</v>
      </c>
      <c r="C21" s="80" t="s">
        <v>1030</v>
      </c>
      <c r="D21" s="81" t="s">
        <v>1029</v>
      </c>
      <c r="E21" s="80" t="s">
        <v>1220</v>
      </c>
    </row>
    <row r="22" spans="1:5" x14ac:dyDescent="0.25">
      <c r="A22" s="80" t="s">
        <v>1147</v>
      </c>
      <c r="B22" s="80" t="s">
        <v>1028</v>
      </c>
      <c r="C22" s="80" t="s">
        <v>1027</v>
      </c>
      <c r="D22" s="81" t="s">
        <v>1026</v>
      </c>
      <c r="E22" s="80" t="s">
        <v>1221</v>
      </c>
    </row>
    <row r="23" spans="1:5" x14ac:dyDescent="0.25">
      <c r="A23" s="80" t="s">
        <v>1148</v>
      </c>
      <c r="B23" s="80" t="s">
        <v>1025</v>
      </c>
      <c r="C23" s="80" t="s">
        <v>1024</v>
      </c>
      <c r="D23" s="81" t="s">
        <v>1023</v>
      </c>
      <c r="E23" s="80" t="s">
        <v>1222</v>
      </c>
    </row>
    <row r="24" spans="1:5" x14ac:dyDescent="0.25">
      <c r="A24" s="80" t="s">
        <v>1149</v>
      </c>
      <c r="B24" s="80" t="s">
        <v>1022</v>
      </c>
      <c r="C24" s="80" t="s">
        <v>1021</v>
      </c>
      <c r="D24" s="81" t="s">
        <v>1020</v>
      </c>
      <c r="E24" s="80" t="s">
        <v>1223</v>
      </c>
    </row>
    <row r="25" spans="1:5" x14ac:dyDescent="0.25">
      <c r="A25" s="80" t="s">
        <v>1150</v>
      </c>
      <c r="B25" s="80" t="s">
        <v>1019</v>
      </c>
      <c r="C25" s="80" t="s">
        <v>1018</v>
      </c>
      <c r="D25" s="81" t="s">
        <v>1017</v>
      </c>
      <c r="E25" s="80" t="s">
        <v>1224</v>
      </c>
    </row>
    <row r="26" spans="1:5" x14ac:dyDescent="0.25">
      <c r="A26" s="80" t="s">
        <v>1151</v>
      </c>
      <c r="B26" s="80" t="s">
        <v>1016</v>
      </c>
      <c r="C26" s="80" t="s">
        <v>1015</v>
      </c>
      <c r="D26" s="81" t="s">
        <v>1014</v>
      </c>
      <c r="E26" s="80" t="s">
        <v>1225</v>
      </c>
    </row>
    <row r="27" spans="1:5" x14ac:dyDescent="0.25">
      <c r="A27" s="80" t="s">
        <v>1152</v>
      </c>
      <c r="B27" s="80" t="s">
        <v>1013</v>
      </c>
      <c r="C27" s="80" t="s">
        <v>1012</v>
      </c>
      <c r="D27" s="81" t="s">
        <v>1011</v>
      </c>
      <c r="E27" s="80" t="s">
        <v>1226</v>
      </c>
    </row>
    <row r="28" spans="1:5" x14ac:dyDescent="0.25">
      <c r="A28" s="80" t="s">
        <v>1153</v>
      </c>
      <c r="B28" s="80" t="s">
        <v>1009</v>
      </c>
      <c r="C28" s="80" t="s">
        <v>885</v>
      </c>
      <c r="D28" s="81" t="s">
        <v>1008</v>
      </c>
      <c r="E28" s="80" t="s">
        <v>1227</v>
      </c>
    </row>
    <row r="29" spans="1:5" x14ac:dyDescent="0.25">
      <c r="A29" s="80" t="s">
        <v>1154</v>
      </c>
      <c r="B29" s="80" t="s">
        <v>1007</v>
      </c>
      <c r="C29" s="80" t="s">
        <v>1006</v>
      </c>
      <c r="D29" s="81" t="s">
        <v>1005</v>
      </c>
      <c r="E29" s="80" t="s">
        <v>1228</v>
      </c>
    </row>
    <row r="30" spans="1:5" x14ac:dyDescent="0.25">
      <c r="A30" s="80" t="s">
        <v>1155</v>
      </c>
      <c r="B30" s="80" t="s">
        <v>1004</v>
      </c>
      <c r="C30" s="80" t="s">
        <v>1003</v>
      </c>
      <c r="D30" s="81" t="s">
        <v>1002</v>
      </c>
      <c r="E30" s="80" t="s">
        <v>1229</v>
      </c>
    </row>
    <row r="31" spans="1:5" x14ac:dyDescent="0.25">
      <c r="A31" s="80" t="s">
        <v>1156</v>
      </c>
      <c r="B31" s="80" t="s">
        <v>1001</v>
      </c>
      <c r="C31" s="80" t="s">
        <v>980</v>
      </c>
      <c r="D31" s="81" t="s">
        <v>1000</v>
      </c>
      <c r="E31" s="80" t="s">
        <v>1230</v>
      </c>
    </row>
    <row r="32" spans="1:5" x14ac:dyDescent="0.25">
      <c r="A32" s="80" t="s">
        <v>1157</v>
      </c>
      <c r="B32" s="80" t="s">
        <v>999</v>
      </c>
      <c r="C32" s="80" t="s">
        <v>998</v>
      </c>
      <c r="D32" s="81" t="s">
        <v>997</v>
      </c>
      <c r="E32" s="80" t="s">
        <v>1231</v>
      </c>
    </row>
    <row r="33" spans="1:5" x14ac:dyDescent="0.25">
      <c r="A33" s="80" t="s">
        <v>1158</v>
      </c>
      <c r="B33" s="80" t="s">
        <v>996</v>
      </c>
      <c r="C33" s="80" t="s">
        <v>995</v>
      </c>
      <c r="D33" s="81" t="s">
        <v>994</v>
      </c>
      <c r="E33" s="80" t="s">
        <v>1232</v>
      </c>
    </row>
    <row r="34" spans="1:5" x14ac:dyDescent="0.25">
      <c r="A34" s="80" t="s">
        <v>1159</v>
      </c>
      <c r="B34" s="80" t="s">
        <v>993</v>
      </c>
      <c r="C34" s="80" t="s">
        <v>992</v>
      </c>
      <c r="D34" s="81" t="s">
        <v>991</v>
      </c>
      <c r="E34" s="80" t="s">
        <v>1233</v>
      </c>
    </row>
    <row r="35" spans="1:5" x14ac:dyDescent="0.25">
      <c r="A35" s="80" t="s">
        <v>1160</v>
      </c>
      <c r="B35" s="80" t="s">
        <v>990</v>
      </c>
      <c r="C35" s="80" t="s">
        <v>989</v>
      </c>
      <c r="D35" s="81" t="s">
        <v>988</v>
      </c>
      <c r="E35" s="80" t="s">
        <v>1234</v>
      </c>
    </row>
    <row r="36" spans="1:5" x14ac:dyDescent="0.25">
      <c r="A36" s="80" t="s">
        <v>1161</v>
      </c>
      <c r="B36" s="80" t="s">
        <v>987</v>
      </c>
      <c r="C36" s="80" t="s">
        <v>986</v>
      </c>
      <c r="D36" s="81" t="s">
        <v>985</v>
      </c>
      <c r="E36" s="80" t="s">
        <v>1235</v>
      </c>
    </row>
    <row r="37" spans="1:5" x14ac:dyDescent="0.25">
      <c r="A37" s="80" t="s">
        <v>1162</v>
      </c>
      <c r="B37" s="80" t="s">
        <v>983</v>
      </c>
      <c r="C37" s="80" t="s">
        <v>982</v>
      </c>
      <c r="D37" s="81" t="s">
        <v>918</v>
      </c>
      <c r="E37" s="80" t="s">
        <v>1236</v>
      </c>
    </row>
    <row r="38" spans="1:5" x14ac:dyDescent="0.25">
      <c r="A38" s="80" t="s">
        <v>1163</v>
      </c>
      <c r="B38" s="80" t="s">
        <v>981</v>
      </c>
      <c r="C38" s="80" t="s">
        <v>980</v>
      </c>
      <c r="D38" s="81" t="s">
        <v>979</v>
      </c>
      <c r="E38" s="80" t="s">
        <v>1237</v>
      </c>
    </row>
    <row r="39" spans="1:5" x14ac:dyDescent="0.25">
      <c r="A39" s="80" t="s">
        <v>1164</v>
      </c>
      <c r="B39" s="80" t="s">
        <v>978</v>
      </c>
      <c r="C39" s="80" t="s">
        <v>977</v>
      </c>
      <c r="D39" s="81" t="s">
        <v>976</v>
      </c>
      <c r="E39" s="80" t="s">
        <v>1238</v>
      </c>
    </row>
    <row r="40" spans="1:5" x14ac:dyDescent="0.25">
      <c r="A40" s="80" t="s">
        <v>1165</v>
      </c>
      <c r="B40" s="80" t="s">
        <v>975</v>
      </c>
      <c r="C40" s="80" t="s">
        <v>974</v>
      </c>
      <c r="D40" s="81" t="s">
        <v>973</v>
      </c>
      <c r="E40" s="80" t="s">
        <v>1239</v>
      </c>
    </row>
    <row r="41" spans="1:5" x14ac:dyDescent="0.25">
      <c r="A41" s="80" t="s">
        <v>1166</v>
      </c>
      <c r="B41" s="80" t="s">
        <v>972</v>
      </c>
      <c r="C41" s="80" t="s">
        <v>971</v>
      </c>
      <c r="D41" s="81" t="s">
        <v>970</v>
      </c>
      <c r="E41" s="80" t="s">
        <v>1240</v>
      </c>
    </row>
    <row r="42" spans="1:5" x14ac:dyDescent="0.25">
      <c r="A42" s="80" t="s">
        <v>1167</v>
      </c>
      <c r="B42" s="80" t="s">
        <v>969</v>
      </c>
      <c r="C42" s="80" t="s">
        <v>968</v>
      </c>
      <c r="D42" s="81" t="s">
        <v>967</v>
      </c>
      <c r="E42" s="80" t="s">
        <v>1241</v>
      </c>
    </row>
    <row r="43" spans="1:5" x14ac:dyDescent="0.25">
      <c r="A43" s="80" t="s">
        <v>1168</v>
      </c>
      <c r="B43" s="80" t="s">
        <v>966</v>
      </c>
      <c r="C43" s="80" t="s">
        <v>965</v>
      </c>
      <c r="D43" s="81" t="s">
        <v>964</v>
      </c>
      <c r="E43" s="80" t="s">
        <v>1242</v>
      </c>
    </row>
    <row r="44" spans="1:5" x14ac:dyDescent="0.25">
      <c r="A44" s="80" t="s">
        <v>1169</v>
      </c>
      <c r="B44" s="80" t="s">
        <v>962</v>
      </c>
      <c r="C44" s="80" t="s">
        <v>961</v>
      </c>
      <c r="D44" s="81" t="s">
        <v>960</v>
      </c>
      <c r="E44" s="80" t="s">
        <v>1243</v>
      </c>
    </row>
    <row r="45" spans="1:5" x14ac:dyDescent="0.25">
      <c r="A45" s="80" t="s">
        <v>1170</v>
      </c>
      <c r="B45" s="80" t="s">
        <v>958</v>
      </c>
      <c r="C45" s="80" t="s">
        <v>957</v>
      </c>
      <c r="D45" s="81" t="s">
        <v>956</v>
      </c>
      <c r="E45" s="80" t="s">
        <v>1244</v>
      </c>
    </row>
    <row r="46" spans="1:5" x14ac:dyDescent="0.25">
      <c r="A46" s="80" t="s">
        <v>1171</v>
      </c>
      <c r="B46" s="80" t="s">
        <v>1127</v>
      </c>
      <c r="C46" s="80" t="s">
        <v>934</v>
      </c>
      <c r="D46" s="81" t="s">
        <v>955</v>
      </c>
      <c r="E46" s="80" t="s">
        <v>1245</v>
      </c>
    </row>
    <row r="47" spans="1:5" x14ac:dyDescent="0.25">
      <c r="A47" s="80" t="s">
        <v>1172</v>
      </c>
      <c r="B47" s="80" t="s">
        <v>954</v>
      </c>
      <c r="C47" s="80" t="s">
        <v>953</v>
      </c>
      <c r="D47" s="81" t="s">
        <v>952</v>
      </c>
      <c r="E47" s="80" t="s">
        <v>1246</v>
      </c>
    </row>
    <row r="48" spans="1:5" x14ac:dyDescent="0.25">
      <c r="A48" s="80" t="s">
        <v>1173</v>
      </c>
      <c r="B48" s="80" t="s">
        <v>951</v>
      </c>
      <c r="C48" s="80" t="s">
        <v>950</v>
      </c>
      <c r="D48" s="81" t="s">
        <v>949</v>
      </c>
      <c r="E48" s="80" t="s">
        <v>1247</v>
      </c>
    </row>
    <row r="49" spans="1:5" x14ac:dyDescent="0.25">
      <c r="A49" s="80" t="s">
        <v>1174</v>
      </c>
      <c r="B49" s="80" t="s">
        <v>948</v>
      </c>
      <c r="C49" s="80" t="s">
        <v>947</v>
      </c>
      <c r="D49" s="81" t="s">
        <v>946</v>
      </c>
      <c r="E49" s="80" t="s">
        <v>1248</v>
      </c>
    </row>
    <row r="50" spans="1:5" x14ac:dyDescent="0.25">
      <c r="A50" s="80" t="s">
        <v>1175</v>
      </c>
      <c r="B50" s="80" t="s">
        <v>945</v>
      </c>
      <c r="C50" s="80" t="s">
        <v>944</v>
      </c>
      <c r="D50" s="81" t="s">
        <v>943</v>
      </c>
      <c r="E50" s="80" t="s">
        <v>1249</v>
      </c>
    </row>
    <row r="51" spans="1:5" x14ac:dyDescent="0.25">
      <c r="A51" s="80" t="s">
        <v>1176</v>
      </c>
      <c r="B51" s="80" t="s">
        <v>941</v>
      </c>
      <c r="C51" s="80" t="s">
        <v>940</v>
      </c>
      <c r="D51" s="81" t="s">
        <v>939</v>
      </c>
      <c r="E51" s="80" t="s">
        <v>1250</v>
      </c>
    </row>
    <row r="52" spans="1:5" x14ac:dyDescent="0.25">
      <c r="A52" s="80" t="s">
        <v>1177</v>
      </c>
      <c r="B52" s="80" t="s">
        <v>938</v>
      </c>
      <c r="C52" s="80" t="s">
        <v>937</v>
      </c>
      <c r="D52" s="81" t="s">
        <v>936</v>
      </c>
      <c r="E52" s="80" t="s">
        <v>1251</v>
      </c>
    </row>
    <row r="53" spans="1:5" x14ac:dyDescent="0.25">
      <c r="A53" s="80" t="s">
        <v>1178</v>
      </c>
      <c r="B53" s="80" t="s">
        <v>935</v>
      </c>
      <c r="C53" s="80" t="s">
        <v>934</v>
      </c>
      <c r="D53" s="81" t="s">
        <v>933</v>
      </c>
      <c r="E53" s="80" t="s">
        <v>1252</v>
      </c>
    </row>
    <row r="54" spans="1:5" x14ac:dyDescent="0.25">
      <c r="A54" s="80" t="s">
        <v>1179</v>
      </c>
      <c r="B54" s="80" t="s">
        <v>932</v>
      </c>
      <c r="C54" s="80" t="s">
        <v>931</v>
      </c>
      <c r="D54" s="81" t="s">
        <v>930</v>
      </c>
      <c r="E54" s="80" t="s">
        <v>1253</v>
      </c>
    </row>
    <row r="55" spans="1:5" x14ac:dyDescent="0.25">
      <c r="A55" s="80" t="s">
        <v>1180</v>
      </c>
      <c r="B55" s="80" t="s">
        <v>929</v>
      </c>
      <c r="C55" s="80" t="s">
        <v>928</v>
      </c>
      <c r="D55" s="81" t="s">
        <v>927</v>
      </c>
      <c r="E55" s="80" t="s">
        <v>1254</v>
      </c>
    </row>
    <row r="56" spans="1:5" x14ac:dyDescent="0.25">
      <c r="A56" s="80" t="s">
        <v>1181</v>
      </c>
      <c r="B56" s="80" t="s">
        <v>926</v>
      </c>
      <c r="C56" s="80" t="s">
        <v>925</v>
      </c>
      <c r="D56" s="81" t="s">
        <v>924</v>
      </c>
      <c r="E56" s="80" t="s">
        <v>1255</v>
      </c>
    </row>
    <row r="57" spans="1:5" x14ac:dyDescent="0.25">
      <c r="A57" s="80" t="s">
        <v>1182</v>
      </c>
      <c r="B57" s="80" t="s">
        <v>923</v>
      </c>
      <c r="C57" s="80" t="s">
        <v>922</v>
      </c>
      <c r="D57" s="81" t="s">
        <v>921</v>
      </c>
      <c r="E57" s="80" t="s">
        <v>1256</v>
      </c>
    </row>
    <row r="58" spans="1:5" x14ac:dyDescent="0.25">
      <c r="A58" s="80" t="s">
        <v>1183</v>
      </c>
      <c r="B58" s="80" t="s">
        <v>920</v>
      </c>
      <c r="C58" s="80" t="s">
        <v>919</v>
      </c>
      <c r="D58" s="81" t="s">
        <v>918</v>
      </c>
      <c r="E58" s="80" t="s">
        <v>1257</v>
      </c>
    </row>
    <row r="59" spans="1:5" x14ac:dyDescent="0.25">
      <c r="A59" s="80" t="s">
        <v>1184</v>
      </c>
      <c r="B59" s="80" t="s">
        <v>917</v>
      </c>
      <c r="C59" s="80" t="s">
        <v>916</v>
      </c>
      <c r="D59" s="81" t="s">
        <v>915</v>
      </c>
      <c r="E59" s="80" t="s">
        <v>1258</v>
      </c>
    </row>
    <row r="60" spans="1:5" x14ac:dyDescent="0.25">
      <c r="A60" s="80" t="s">
        <v>1185</v>
      </c>
      <c r="B60" s="80" t="s">
        <v>914</v>
      </c>
      <c r="C60" s="80" t="s">
        <v>913</v>
      </c>
      <c r="D60" s="81" t="s">
        <v>912</v>
      </c>
      <c r="E60" s="80" t="s">
        <v>1259</v>
      </c>
    </row>
    <row r="61" spans="1:5" x14ac:dyDescent="0.25">
      <c r="A61" s="80" t="s">
        <v>1186</v>
      </c>
      <c r="B61" s="80" t="s">
        <v>911</v>
      </c>
      <c r="C61" s="80" t="s">
        <v>910</v>
      </c>
      <c r="D61" s="81" t="s">
        <v>909</v>
      </c>
      <c r="E61" s="80" t="s">
        <v>1260</v>
      </c>
    </row>
    <row r="62" spans="1:5" x14ac:dyDescent="0.25">
      <c r="A62" s="80" t="s">
        <v>1187</v>
      </c>
      <c r="B62" s="80" t="s">
        <v>908</v>
      </c>
      <c r="C62" s="80" t="s">
        <v>907</v>
      </c>
      <c r="D62" s="81" t="s">
        <v>906</v>
      </c>
      <c r="E62" s="80" t="s">
        <v>1261</v>
      </c>
    </row>
    <row r="63" spans="1:5" x14ac:dyDescent="0.25">
      <c r="A63" s="80" t="s">
        <v>1188</v>
      </c>
      <c r="B63" s="80" t="s">
        <v>904</v>
      </c>
      <c r="C63" s="80" t="s">
        <v>903</v>
      </c>
      <c r="D63" s="81" t="s">
        <v>902</v>
      </c>
      <c r="E63" s="80" t="s">
        <v>1262</v>
      </c>
    </row>
    <row r="64" spans="1:5" x14ac:dyDescent="0.25">
      <c r="A64" s="80" t="s">
        <v>1189</v>
      </c>
      <c r="B64" s="80" t="s">
        <v>901</v>
      </c>
      <c r="C64" s="80" t="s">
        <v>900</v>
      </c>
      <c r="D64" s="81" t="s">
        <v>899</v>
      </c>
      <c r="E64" s="80" t="s">
        <v>1263</v>
      </c>
    </row>
    <row r="65" spans="1:5" x14ac:dyDescent="0.25">
      <c r="A65" s="80" t="s">
        <v>1190</v>
      </c>
      <c r="B65" s="80" t="s">
        <v>898</v>
      </c>
      <c r="C65" s="80" t="s">
        <v>897</v>
      </c>
      <c r="D65" s="81" t="s">
        <v>896</v>
      </c>
      <c r="E65" s="80" t="s">
        <v>1264</v>
      </c>
    </row>
    <row r="66" spans="1:5" x14ac:dyDescent="0.25">
      <c r="A66" s="80" t="s">
        <v>1191</v>
      </c>
      <c r="B66" s="80" t="s">
        <v>895</v>
      </c>
      <c r="C66" s="80" t="s">
        <v>894</v>
      </c>
      <c r="D66" s="81" t="s">
        <v>893</v>
      </c>
      <c r="E66" s="80" t="s">
        <v>1265</v>
      </c>
    </row>
    <row r="67" spans="1:5" x14ac:dyDescent="0.25">
      <c r="A67" s="80" t="s">
        <v>1192</v>
      </c>
      <c r="B67" s="80" t="s">
        <v>892</v>
      </c>
      <c r="C67" s="80" t="s">
        <v>891</v>
      </c>
      <c r="D67" s="81" t="s">
        <v>890</v>
      </c>
      <c r="E67" s="80" t="s">
        <v>1266</v>
      </c>
    </row>
    <row r="68" spans="1:5" x14ac:dyDescent="0.25">
      <c r="A68" s="80" t="s">
        <v>1193</v>
      </c>
      <c r="B68" s="80" t="s">
        <v>889</v>
      </c>
      <c r="C68" s="80" t="s">
        <v>888</v>
      </c>
      <c r="D68" s="81" t="s">
        <v>887</v>
      </c>
      <c r="E68" s="80" t="s">
        <v>1267</v>
      </c>
    </row>
    <row r="69" spans="1:5" x14ac:dyDescent="0.25">
      <c r="A69" s="80" t="s">
        <v>1194</v>
      </c>
      <c r="B69" s="80" t="s">
        <v>886</v>
      </c>
      <c r="C69" s="80" t="s">
        <v>885</v>
      </c>
      <c r="D69" s="81" t="s">
        <v>884</v>
      </c>
      <c r="E69" s="80" t="s">
        <v>1268</v>
      </c>
    </row>
    <row r="70" spans="1:5" x14ac:dyDescent="0.25">
      <c r="A70" s="80" t="s">
        <v>1195</v>
      </c>
      <c r="B70" s="80" t="s">
        <v>883</v>
      </c>
      <c r="C70" s="80" t="s">
        <v>882</v>
      </c>
      <c r="D70" s="81" t="s">
        <v>881</v>
      </c>
      <c r="E70" s="80" t="s">
        <v>1269</v>
      </c>
    </row>
    <row r="71" spans="1:5" x14ac:dyDescent="0.25">
      <c r="A71" s="80" t="s">
        <v>1196</v>
      </c>
      <c r="B71" s="80" t="s">
        <v>880</v>
      </c>
      <c r="C71" s="80" t="s">
        <v>879</v>
      </c>
      <c r="D71" s="81" t="s">
        <v>878</v>
      </c>
      <c r="E71" s="80" t="s">
        <v>1270</v>
      </c>
    </row>
    <row r="72" spans="1:5" x14ac:dyDescent="0.25">
      <c r="A72" s="80" t="s">
        <v>1197</v>
      </c>
      <c r="B72" s="80" t="s">
        <v>877</v>
      </c>
      <c r="C72" s="80" t="s">
        <v>876</v>
      </c>
      <c r="D72" s="81" t="s">
        <v>875</v>
      </c>
      <c r="E72" s="80" t="s">
        <v>1271</v>
      </c>
    </row>
    <row r="73" spans="1:5" x14ac:dyDescent="0.25">
      <c r="A73" s="80" t="s">
        <v>942</v>
      </c>
      <c r="B73" s="80" t="s">
        <v>874</v>
      </c>
      <c r="C73" s="80" t="s">
        <v>873</v>
      </c>
      <c r="D73" s="81" t="s">
        <v>872</v>
      </c>
      <c r="E73" s="80" t="s">
        <v>1272</v>
      </c>
    </row>
    <row r="74" spans="1:5" x14ac:dyDescent="0.25">
      <c r="A74" s="80" t="s">
        <v>1044</v>
      </c>
      <c r="B74" s="80" t="s">
        <v>871</v>
      </c>
      <c r="C74" s="80" t="s">
        <v>870</v>
      </c>
      <c r="D74" s="81" t="s">
        <v>869</v>
      </c>
      <c r="E74" s="80" t="s">
        <v>1273</v>
      </c>
    </row>
    <row r="75" spans="1:5" x14ac:dyDescent="0.25">
      <c r="A75" s="80" t="s">
        <v>984</v>
      </c>
      <c r="B75" s="80" t="s">
        <v>868</v>
      </c>
      <c r="C75" s="80" t="s">
        <v>867</v>
      </c>
      <c r="D75" s="81" t="s">
        <v>866</v>
      </c>
      <c r="E75" s="80" t="s">
        <v>1274</v>
      </c>
    </row>
    <row r="76" spans="1:5" x14ac:dyDescent="0.25">
      <c r="A76" s="80" t="s">
        <v>959</v>
      </c>
      <c r="B76" s="80" t="s">
        <v>865</v>
      </c>
      <c r="C76" s="80" t="s">
        <v>864</v>
      </c>
      <c r="D76" s="81" t="s">
        <v>863</v>
      </c>
      <c r="E76" s="80" t="s">
        <v>1275</v>
      </c>
    </row>
    <row r="77" spans="1:5" x14ac:dyDescent="0.25">
      <c r="A77" s="80" t="s">
        <v>1048</v>
      </c>
      <c r="B77" s="80" t="s">
        <v>862</v>
      </c>
      <c r="C77" s="80" t="s">
        <v>861</v>
      </c>
      <c r="D77" s="81" t="s">
        <v>860</v>
      </c>
      <c r="E77" s="80" t="s">
        <v>1276</v>
      </c>
    </row>
    <row r="78" spans="1:5" x14ac:dyDescent="0.25">
      <c r="A78" s="80" t="s">
        <v>1010</v>
      </c>
      <c r="B78" s="80" t="s">
        <v>859</v>
      </c>
      <c r="C78" s="80" t="s">
        <v>858</v>
      </c>
      <c r="D78" s="81" t="s">
        <v>857</v>
      </c>
      <c r="E78" s="80" t="s">
        <v>1277</v>
      </c>
    </row>
    <row r="79" spans="1:5" x14ac:dyDescent="0.25">
      <c r="A79" s="80" t="s">
        <v>963</v>
      </c>
      <c r="B79" s="80" t="s">
        <v>856</v>
      </c>
      <c r="C79" s="80" t="s">
        <v>855</v>
      </c>
      <c r="D79" s="81" t="s">
        <v>854</v>
      </c>
      <c r="E79" s="80" t="s">
        <v>1278</v>
      </c>
    </row>
    <row r="80" spans="1:5" x14ac:dyDescent="0.25">
      <c r="A80" s="80" t="s">
        <v>1091</v>
      </c>
      <c r="B80" s="80" t="s">
        <v>853</v>
      </c>
      <c r="C80" s="80" t="s">
        <v>852</v>
      </c>
      <c r="D80" s="81" t="s">
        <v>851</v>
      </c>
      <c r="E80" s="80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Interim Totals</vt:lpstr>
      <vt:lpstr>Separated Groups</vt:lpstr>
      <vt:lpstr>Multi-row Titles</vt:lpstr>
      <vt:lpstr>OS Tax</vt:lpstr>
      <vt:lpstr>Contact Names</vt:lpstr>
      <vt:lpstr>Contact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Billy</cp:lastModifiedBy>
  <dcterms:created xsi:type="dcterms:W3CDTF">2011-10-06T04:43:20Z</dcterms:created>
  <dcterms:modified xsi:type="dcterms:W3CDTF">2016-11-02T13:50:38Z</dcterms:modified>
</cp:coreProperties>
</file>